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khushi.jadhav\Desktop\"/>
    </mc:Choice>
  </mc:AlternateContent>
  <bookViews>
    <workbookView xWindow="0" yWindow="0" windowWidth="27460" windowHeight="10480" tabRatio="924" firstSheet="1" activeTab="1"/>
  </bookViews>
  <sheets>
    <sheet name="Instructions for completion" sheetId="28" r:id="rId1"/>
    <sheet name="Form 1307 Application Page" sheetId="6" r:id="rId2"/>
    <sheet name="Compliance - RVSM" sheetId="31" state="hidden" r:id="rId3"/>
    <sheet name="Compliance RNAV-RNP 10" sheetId="20" state="hidden" r:id="rId4"/>
    <sheet name="Compliance - RNP 4" sheetId="23" state="hidden" r:id="rId5"/>
    <sheet name="Compliance - RNP AR" sheetId="16" state="hidden" r:id="rId6"/>
    <sheet name="Compliance - RNP 0.3" sheetId="14" state="hidden" r:id="rId7"/>
    <sheet name="Compliance - ARNP" sheetId="21" state="hidden" r:id="rId8"/>
    <sheet name="Compliance - NAT HLA" sheetId="22" state="hidden" r:id="rId9"/>
    <sheet name="Compliance - RNAV 5" sheetId="10" state="hidden" r:id="rId10"/>
    <sheet name="Compliance - RNAV 1 &amp; 2" sheetId="11" state="hidden" r:id="rId11"/>
    <sheet name="Compliance - RNP 2" sheetId="12" state="hidden" r:id="rId12"/>
    <sheet name="Compliance - RNP 1" sheetId="13" state="hidden" r:id="rId13"/>
    <sheet name="Compliance - RNP APCH" sheetId="15" state="hidden" r:id="rId14"/>
    <sheet name="Compliance - Baro VNAV" sheetId="25" state="hidden" r:id="rId15"/>
    <sheet name="Compliance - RF Legs" sheetId="26" state="hidden" r:id="rId16"/>
    <sheet name="Compliance - FRT" sheetId="27" state="hidden" r:id="rId17"/>
    <sheet name="Compliance - TOAC" sheetId="29" state="hidden" r:id="rId18"/>
    <sheet name="Compliance - Conventional Route" sheetId="32" state="hidden" r:id="rId19"/>
    <sheet name="Compliance - EFVS EFS" sheetId="33" state="hidden" r:id="rId20"/>
    <sheet name="LVTO - TBD" sheetId="34" state="hidden" r:id="rId21"/>
    <sheet name="LVOPS APCH - TBD" sheetId="35" state="hidden" r:id="rId22"/>
    <sheet name="AUTOLAND and ROLLOUT - TBD" sheetId="36" state="hidden" r:id="rId23"/>
    <sheet name="HUD HGS - TBD" sheetId="37" state="hidden" r:id="rId24"/>
    <sheet name="Dropdowns" sheetId="9" state="hidden" r:id="rId25"/>
  </sheets>
  <definedNames>
    <definedName name="_xlnm._FilterDatabase" localSheetId="10" hidden="1">'Compliance - RNAV 1 &amp; 2'!$L$4:$L$299</definedName>
    <definedName name="_xlnm._FilterDatabase" localSheetId="9" hidden="1">'Compliance - RNAV 5'!$L$4:$L$128</definedName>
    <definedName name="_xlnm._FilterDatabase" localSheetId="13" hidden="1">'Compliance - RNP APCH'!$L$4:$L$141</definedName>
    <definedName name="_xlnm._FilterDatabase" localSheetId="5" hidden="1">'Compliance - RNP AR'!$D$4:$D$7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55" i="31" l="1"/>
  <c r="W45" i="33" l="1"/>
  <c r="W37" i="33"/>
  <c r="W33" i="33"/>
  <c r="W112" i="33"/>
  <c r="W111" i="33" s="1"/>
  <c r="W110" i="33"/>
  <c r="W106" i="33"/>
  <c r="W105" i="33"/>
  <c r="W103" i="33"/>
  <c r="W100" i="33"/>
  <c r="W99" i="33" s="1"/>
  <c r="W98" i="33"/>
  <c r="W97" i="33"/>
  <c r="W96" i="33"/>
  <c r="W95" i="33"/>
  <c r="W94" i="33"/>
  <c r="W93" i="33"/>
  <c r="W91" i="33"/>
  <c r="W88" i="33"/>
  <c r="W87" i="33" s="1"/>
  <c r="W86" i="33"/>
  <c r="W85" i="33"/>
  <c r="W84" i="33"/>
  <c r="W83" i="33"/>
  <c r="W82" i="33"/>
  <c r="W81" i="33"/>
  <c r="W80" i="33"/>
  <c r="W79" i="33"/>
  <c r="W74" i="33"/>
  <c r="W68" i="33"/>
  <c r="W64" i="33"/>
  <c r="W63" i="33"/>
  <c r="R113" i="33"/>
  <c r="R112" i="33"/>
  <c r="R111" i="33" s="1"/>
  <c r="R110" i="33"/>
  <c r="R109" i="33"/>
  <c r="R108" i="33"/>
  <c r="R107" i="33"/>
  <c r="R106" i="33"/>
  <c r="R105" i="33"/>
  <c r="R104" i="33"/>
  <c r="R103" i="33"/>
  <c r="R100" i="33"/>
  <c r="R99" i="33" s="1"/>
  <c r="R98" i="33"/>
  <c r="R97" i="33"/>
  <c r="R96" i="33"/>
  <c r="R95" i="33"/>
  <c r="R94" i="33"/>
  <c r="R93" i="33"/>
  <c r="R92" i="33"/>
  <c r="R91" i="33"/>
  <c r="R89" i="33"/>
  <c r="R87" i="33" s="1"/>
  <c r="R88" i="33"/>
  <c r="R86" i="33"/>
  <c r="R85" i="33"/>
  <c r="R84" i="33"/>
  <c r="R83" i="33"/>
  <c r="R82" i="33"/>
  <c r="R81" i="33"/>
  <c r="R80" i="33"/>
  <c r="R79" i="33"/>
  <c r="R77" i="33"/>
  <c r="R76" i="33"/>
  <c r="R75" i="33"/>
  <c r="R73" i="33"/>
  <c r="R72" i="33"/>
  <c r="R71" i="33"/>
  <c r="R70" i="33"/>
  <c r="R69" i="33"/>
  <c r="R67" i="33"/>
  <c r="R66" i="33"/>
  <c r="R65" i="33"/>
  <c r="R62" i="33"/>
  <c r="R61" i="33"/>
  <c r="R60" i="33" s="1"/>
  <c r="R58" i="33"/>
  <c r="R57" i="33"/>
  <c r="R56" i="33"/>
  <c r="R50" i="33"/>
  <c r="R49" i="33"/>
  <c r="R48" i="33"/>
  <c r="R47" i="33"/>
  <c r="R46" i="33"/>
  <c r="R44" i="33"/>
  <c r="R43" i="33"/>
  <c r="R42" i="33"/>
  <c r="R41" i="33"/>
  <c r="R40" i="33"/>
  <c r="R39" i="33"/>
  <c r="R38" i="33"/>
  <c r="R36" i="33"/>
  <c r="R35" i="33"/>
  <c r="R34" i="33"/>
  <c r="R21" i="33"/>
  <c r="R20" i="33"/>
  <c r="R19" i="33"/>
  <c r="R28" i="33"/>
  <c r="R27" i="33"/>
  <c r="R26" i="33"/>
  <c r="R25" i="33" s="1"/>
  <c r="W19" i="33"/>
  <c r="W18" i="33" s="1"/>
  <c r="W26" i="33"/>
  <c r="W25" i="33" s="1"/>
  <c r="W62" i="33"/>
  <c r="W61" i="33"/>
  <c r="W60" i="33"/>
  <c r="W58" i="33"/>
  <c r="W57" i="33"/>
  <c r="W56" i="33"/>
  <c r="W55" i="33"/>
  <c r="W54" i="33" s="1"/>
  <c r="W50" i="33"/>
  <c r="O103" i="33"/>
  <c r="O86" i="33"/>
  <c r="O85" i="33"/>
  <c r="O84" i="33"/>
  <c r="O83" i="33"/>
  <c r="O82" i="33"/>
  <c r="O81" i="33"/>
  <c r="O80" i="33"/>
  <c r="O88" i="33"/>
  <c r="O87" i="33" s="1"/>
  <c r="O98" i="33"/>
  <c r="O97" i="33"/>
  <c r="O96" i="33"/>
  <c r="O95" i="33"/>
  <c r="O94" i="33"/>
  <c r="O93" i="33"/>
  <c r="O106" i="33"/>
  <c r="O105" i="33"/>
  <c r="O112" i="33"/>
  <c r="O111" i="33" s="1"/>
  <c r="O110" i="33"/>
  <c r="O100" i="33"/>
  <c r="O99" i="33" s="1"/>
  <c r="O91" i="33"/>
  <c r="O79" i="33"/>
  <c r="O74" i="33"/>
  <c r="O68" i="33"/>
  <c r="O64" i="33"/>
  <c r="O62" i="33"/>
  <c r="O61" i="33"/>
  <c r="O60" i="33"/>
  <c r="O59" i="33" s="1"/>
  <c r="O19" i="33"/>
  <c r="O18" i="33" s="1"/>
  <c r="O11" i="33" s="1"/>
  <c r="O26" i="33"/>
  <c r="O33" i="33"/>
  <c r="K87" i="33"/>
  <c r="F87" i="33"/>
  <c r="G113" i="33"/>
  <c r="E113" i="33"/>
  <c r="G112" i="33"/>
  <c r="E112" i="33"/>
  <c r="G110" i="33"/>
  <c r="E110" i="33"/>
  <c r="G109" i="33"/>
  <c r="E109" i="33"/>
  <c r="G108" i="33"/>
  <c r="E108" i="33"/>
  <c r="G107" i="33"/>
  <c r="E107" i="33"/>
  <c r="G106" i="33"/>
  <c r="E106" i="33"/>
  <c r="G105" i="33"/>
  <c r="E105" i="33"/>
  <c r="G104" i="33"/>
  <c r="E104" i="33"/>
  <c r="G103" i="33"/>
  <c r="E103" i="33"/>
  <c r="G100" i="33"/>
  <c r="E100" i="33"/>
  <c r="J98" i="33"/>
  <c r="G98" i="33"/>
  <c r="E98" i="33"/>
  <c r="G97" i="33"/>
  <c r="E97" i="33"/>
  <c r="G96" i="33"/>
  <c r="E96" i="33"/>
  <c r="G95" i="33"/>
  <c r="E95" i="33"/>
  <c r="G94" i="33"/>
  <c r="E94" i="33"/>
  <c r="G93" i="33"/>
  <c r="E93" i="33"/>
  <c r="J92" i="33"/>
  <c r="G92" i="33"/>
  <c r="E92" i="33"/>
  <c r="J91" i="33"/>
  <c r="G91" i="33"/>
  <c r="E91" i="33"/>
  <c r="J89" i="33"/>
  <c r="G89" i="33"/>
  <c r="E89" i="33"/>
  <c r="E87" i="33" s="1"/>
  <c r="J88" i="33"/>
  <c r="G88" i="33"/>
  <c r="E88" i="33"/>
  <c r="J86" i="33"/>
  <c r="G86" i="33"/>
  <c r="E86" i="33"/>
  <c r="J85" i="33"/>
  <c r="G85" i="33"/>
  <c r="E85" i="33"/>
  <c r="J84" i="33"/>
  <c r="G84" i="33"/>
  <c r="E84" i="33"/>
  <c r="J83" i="33"/>
  <c r="G83" i="33"/>
  <c r="E83" i="33"/>
  <c r="J82" i="33"/>
  <c r="G82" i="33"/>
  <c r="E82" i="33"/>
  <c r="J81" i="33"/>
  <c r="G81" i="33"/>
  <c r="E81" i="33"/>
  <c r="J80" i="33"/>
  <c r="G80" i="33"/>
  <c r="E80" i="33"/>
  <c r="J79" i="33"/>
  <c r="G79" i="33"/>
  <c r="E79" i="33"/>
  <c r="J77" i="33"/>
  <c r="G77" i="33"/>
  <c r="E77" i="33"/>
  <c r="J76" i="33"/>
  <c r="G76" i="33"/>
  <c r="E76" i="33"/>
  <c r="J75" i="33"/>
  <c r="G75" i="33"/>
  <c r="E75" i="33"/>
  <c r="J73" i="33"/>
  <c r="G73" i="33"/>
  <c r="E73" i="33"/>
  <c r="J72" i="33"/>
  <c r="G72" i="33"/>
  <c r="E72" i="33"/>
  <c r="J71" i="33"/>
  <c r="G71" i="33"/>
  <c r="E71" i="33"/>
  <c r="J70" i="33"/>
  <c r="G70" i="33"/>
  <c r="E70" i="33"/>
  <c r="J69" i="33"/>
  <c r="G69" i="33"/>
  <c r="E69" i="33"/>
  <c r="K68" i="33" s="1"/>
  <c r="J67" i="33"/>
  <c r="G67" i="33"/>
  <c r="E67" i="33"/>
  <c r="J66" i="33"/>
  <c r="G66" i="33"/>
  <c r="E66" i="33"/>
  <c r="J65" i="33"/>
  <c r="G65" i="33"/>
  <c r="E65" i="33"/>
  <c r="J62" i="33"/>
  <c r="G62" i="33"/>
  <c r="E62" i="33"/>
  <c r="J61" i="33"/>
  <c r="G61" i="33"/>
  <c r="E61" i="33"/>
  <c r="E56" i="33"/>
  <c r="G56" i="33"/>
  <c r="J56" i="33"/>
  <c r="O56" i="33"/>
  <c r="E57" i="33"/>
  <c r="G57" i="33"/>
  <c r="J57" i="33"/>
  <c r="O57" i="33"/>
  <c r="E58" i="33"/>
  <c r="G58" i="33"/>
  <c r="J58" i="33"/>
  <c r="O58" i="33"/>
  <c r="J46" i="33"/>
  <c r="G46" i="33"/>
  <c r="E46" i="33"/>
  <c r="O45" i="33"/>
  <c r="E48" i="33"/>
  <c r="G48" i="33"/>
  <c r="J48" i="33"/>
  <c r="E49" i="33"/>
  <c r="G49" i="33"/>
  <c r="J49" i="33"/>
  <c r="J44" i="33"/>
  <c r="J43" i="33"/>
  <c r="J39" i="33"/>
  <c r="G39" i="33"/>
  <c r="E39" i="33"/>
  <c r="E38" i="33"/>
  <c r="G38" i="33"/>
  <c r="J38" i="33"/>
  <c r="J40" i="33"/>
  <c r="G40" i="33"/>
  <c r="E40" i="33"/>
  <c r="J41" i="33"/>
  <c r="G41" i="33"/>
  <c r="E41" i="33"/>
  <c r="W59" i="33" l="1"/>
  <c r="E60" i="33"/>
  <c r="F60" i="33"/>
  <c r="G60" i="33"/>
  <c r="H59" i="33" s="1"/>
  <c r="K60" i="33"/>
  <c r="J60" i="33"/>
  <c r="H60" i="33"/>
  <c r="K64" i="33"/>
  <c r="E64" i="33"/>
  <c r="G64" i="33"/>
  <c r="F64" i="33"/>
  <c r="I64" i="33" s="1"/>
  <c r="H64" i="33"/>
  <c r="J64" i="33"/>
  <c r="H68" i="33"/>
  <c r="E68" i="33"/>
  <c r="F68" i="33"/>
  <c r="G68" i="33"/>
  <c r="F74" i="33"/>
  <c r="G74" i="33"/>
  <c r="E74" i="33"/>
  <c r="E63" i="33" s="1"/>
  <c r="H74" i="33"/>
  <c r="K74" i="33"/>
  <c r="J74" i="33"/>
  <c r="K78" i="33"/>
  <c r="E78" i="33"/>
  <c r="F78" i="33"/>
  <c r="H78" i="33"/>
  <c r="G78" i="33"/>
  <c r="G90" i="33"/>
  <c r="H90" i="33"/>
  <c r="E90" i="33"/>
  <c r="F90" i="33"/>
  <c r="G87" i="33"/>
  <c r="H87" i="33"/>
  <c r="K90" i="33"/>
  <c r="E111" i="33"/>
  <c r="F102" i="33"/>
  <c r="K102" i="33"/>
  <c r="E102" i="33"/>
  <c r="G102" i="33"/>
  <c r="H102" i="33"/>
  <c r="O102" i="33"/>
  <c r="R102" i="33"/>
  <c r="W102" i="33"/>
  <c r="W90" i="33"/>
  <c r="R90" i="33"/>
  <c r="O90" i="33"/>
  <c r="W78" i="33"/>
  <c r="O78" i="33"/>
  <c r="R78" i="33"/>
  <c r="R74" i="33"/>
  <c r="R68" i="33"/>
  <c r="R63" i="33" s="1"/>
  <c r="R64" i="33"/>
  <c r="O63" i="33"/>
  <c r="R55" i="33"/>
  <c r="R54" i="33" s="1"/>
  <c r="R13" i="33" s="1"/>
  <c r="R45" i="33"/>
  <c r="W32" i="33"/>
  <c r="R37" i="33"/>
  <c r="R33" i="33"/>
  <c r="R18" i="33"/>
  <c r="R32" i="33"/>
  <c r="F111" i="33"/>
  <c r="H111" i="33"/>
  <c r="G111" i="33"/>
  <c r="K111" i="33"/>
  <c r="J111" i="33"/>
  <c r="J102" i="33"/>
  <c r="L102" i="33" s="1"/>
  <c r="J87" i="33"/>
  <c r="L87" i="33" s="1"/>
  <c r="J90" i="33"/>
  <c r="J78" i="33"/>
  <c r="J68" i="33"/>
  <c r="L68" i="33" s="1"/>
  <c r="G99" i="33"/>
  <c r="H99" i="33"/>
  <c r="J99" i="33"/>
  <c r="F99" i="33"/>
  <c r="E99" i="33"/>
  <c r="K99" i="33"/>
  <c r="I60" i="33" l="1"/>
  <c r="L60" i="33"/>
  <c r="H63" i="33"/>
  <c r="J63" i="33"/>
  <c r="K59" i="33" s="1"/>
  <c r="L64" i="33"/>
  <c r="F63" i="33"/>
  <c r="F59" i="33" s="1"/>
  <c r="I68" i="33"/>
  <c r="I74" i="33"/>
  <c r="L74" i="33"/>
  <c r="G63" i="33"/>
  <c r="I63" i="33" s="1"/>
  <c r="K63" i="33"/>
  <c r="L78" i="33"/>
  <c r="I78" i="33"/>
  <c r="I87" i="33"/>
  <c r="I90" i="33"/>
  <c r="L90" i="33"/>
  <c r="I111" i="33"/>
  <c r="E59" i="33"/>
  <c r="I102" i="33"/>
  <c r="R59" i="33"/>
  <c r="G59" i="33"/>
  <c r="L111" i="33"/>
  <c r="J59" i="33"/>
  <c r="I99" i="33"/>
  <c r="L99" i="33"/>
  <c r="L63" i="33" l="1"/>
  <c r="I59" i="33"/>
  <c r="L59" i="33"/>
  <c r="J21" i="33" l="1"/>
  <c r="J20" i="33"/>
  <c r="J19" i="33"/>
  <c r="G21" i="33"/>
  <c r="G20" i="33"/>
  <c r="G19" i="33"/>
  <c r="E19" i="33"/>
  <c r="E28" i="34"/>
  <c r="G28" i="34"/>
  <c r="J28" i="34"/>
  <c r="L45" i="37" l="1"/>
  <c r="K45" i="37"/>
  <c r="J45" i="37"/>
  <c r="I45" i="37"/>
  <c r="H45" i="37"/>
  <c r="G45" i="37"/>
  <c r="H39" i="37" s="1"/>
  <c r="F45" i="37"/>
  <c r="E45" i="37"/>
  <c r="G39" i="37"/>
  <c r="E39" i="37"/>
  <c r="J34" i="37"/>
  <c r="G34" i="37"/>
  <c r="E34" i="37"/>
  <c r="K33" i="37" s="1"/>
  <c r="V33" i="37"/>
  <c r="Q33" i="37"/>
  <c r="O33" i="37"/>
  <c r="H33" i="37"/>
  <c r="J29" i="37"/>
  <c r="G29" i="37"/>
  <c r="E29" i="37"/>
  <c r="J28" i="37"/>
  <c r="G28" i="37"/>
  <c r="E28" i="37"/>
  <c r="J27" i="37"/>
  <c r="G27" i="37"/>
  <c r="E27" i="37"/>
  <c r="E25" i="37" s="1"/>
  <c r="J26" i="37"/>
  <c r="G26" i="37"/>
  <c r="E26" i="37"/>
  <c r="K25" i="37" s="1"/>
  <c r="H25" i="37"/>
  <c r="E20" i="37"/>
  <c r="E16" i="37"/>
  <c r="E13" i="37"/>
  <c r="L45" i="36"/>
  <c r="K45" i="36"/>
  <c r="J45" i="36"/>
  <c r="I45" i="36"/>
  <c r="H45" i="36"/>
  <c r="G45" i="36"/>
  <c r="F45" i="36"/>
  <c r="E45" i="36"/>
  <c r="H39" i="36" s="1"/>
  <c r="J34" i="36"/>
  <c r="G34" i="36"/>
  <c r="V33" i="36"/>
  <c r="Q33" i="36"/>
  <c r="O33" i="36"/>
  <c r="J29" i="36"/>
  <c r="G29" i="36"/>
  <c r="E29" i="36"/>
  <c r="E20" i="36" s="1"/>
  <c r="J28" i="36"/>
  <c r="G28" i="36"/>
  <c r="E28" i="36"/>
  <c r="H25" i="36" s="1"/>
  <c r="J27" i="36"/>
  <c r="K25" i="36" s="1"/>
  <c r="G27" i="36"/>
  <c r="E27" i="36"/>
  <c r="E25" i="36" s="1"/>
  <c r="J26" i="36"/>
  <c r="G26" i="36"/>
  <c r="G25" i="36" s="1"/>
  <c r="E26" i="36"/>
  <c r="J25" i="36"/>
  <c r="F25" i="36"/>
  <c r="L45" i="35"/>
  <c r="K45" i="35"/>
  <c r="J45" i="35"/>
  <c r="I45" i="35"/>
  <c r="H45" i="35"/>
  <c r="G45" i="35"/>
  <c r="F45" i="35"/>
  <c r="E45" i="35"/>
  <c r="H39" i="35" s="1"/>
  <c r="J34" i="35"/>
  <c r="G34" i="35"/>
  <c r="V33" i="35"/>
  <c r="Q33" i="35"/>
  <c r="O33" i="35"/>
  <c r="J29" i="35"/>
  <c r="G29" i="35"/>
  <c r="E29" i="35"/>
  <c r="H25" i="35" s="1"/>
  <c r="J28" i="35"/>
  <c r="G28" i="35"/>
  <c r="E28" i="35"/>
  <c r="J27" i="35"/>
  <c r="K25" i="35" s="1"/>
  <c r="G27" i="35"/>
  <c r="E27" i="35"/>
  <c r="E25" i="35" s="1"/>
  <c r="J26" i="35"/>
  <c r="G26" i="35"/>
  <c r="G25" i="35" s="1"/>
  <c r="E26" i="35"/>
  <c r="J25" i="35"/>
  <c r="F25" i="35"/>
  <c r="L45" i="34"/>
  <c r="K45" i="34"/>
  <c r="J45" i="34"/>
  <c r="I45" i="34"/>
  <c r="H45" i="34"/>
  <c r="G45" i="34"/>
  <c r="F45" i="34"/>
  <c r="E45" i="34"/>
  <c r="J34" i="34"/>
  <c r="G34" i="34"/>
  <c r="V33" i="34"/>
  <c r="Q33" i="34"/>
  <c r="O33" i="34"/>
  <c r="J29" i="34"/>
  <c r="G29" i="34"/>
  <c r="E29" i="34"/>
  <c r="F25" i="34" s="1"/>
  <c r="J27" i="34"/>
  <c r="G27" i="34"/>
  <c r="E27" i="34"/>
  <c r="J26" i="34"/>
  <c r="G26" i="34"/>
  <c r="E26" i="34"/>
  <c r="J25" i="34" l="1"/>
  <c r="H25" i="34"/>
  <c r="E25" i="34"/>
  <c r="E20" i="34"/>
  <c r="L20" i="34" s="1"/>
  <c r="H39" i="34"/>
  <c r="G20" i="37"/>
  <c r="E14" i="37"/>
  <c r="E33" i="37"/>
  <c r="F25" i="37"/>
  <c r="J25" i="37"/>
  <c r="L25" i="37" s="1"/>
  <c r="F33" i="37"/>
  <c r="J33" i="37"/>
  <c r="L20" i="37"/>
  <c r="G25" i="37"/>
  <c r="H20" i="37" s="1"/>
  <c r="G33" i="37"/>
  <c r="L20" i="36"/>
  <c r="E13" i="36"/>
  <c r="I25" i="36"/>
  <c r="G20" i="36"/>
  <c r="E14" i="36"/>
  <c r="L25" i="36"/>
  <c r="H20" i="36"/>
  <c r="I20" i="36" s="1"/>
  <c r="E39" i="36"/>
  <c r="G39" i="36"/>
  <c r="I25" i="35"/>
  <c r="G20" i="35"/>
  <c r="E14" i="35"/>
  <c r="L25" i="35"/>
  <c r="H20" i="35"/>
  <c r="E39" i="35"/>
  <c r="E20" i="35"/>
  <c r="G39" i="35"/>
  <c r="K25" i="34"/>
  <c r="E39" i="34"/>
  <c r="G25" i="34"/>
  <c r="H20" i="34" s="1"/>
  <c r="G39" i="34"/>
  <c r="L25" i="34" l="1"/>
  <c r="E13" i="34"/>
  <c r="E14" i="34"/>
  <c r="G20" i="34"/>
  <c r="I20" i="34" s="1"/>
  <c r="I20" i="37"/>
  <c r="E15" i="37"/>
  <c r="I33" i="37"/>
  <c r="L33" i="37"/>
  <c r="I25" i="37"/>
  <c r="E34" i="36"/>
  <c r="E16" i="36"/>
  <c r="L20" i="35"/>
  <c r="E13" i="35"/>
  <c r="I20" i="35"/>
  <c r="E16" i="35"/>
  <c r="E34" i="35"/>
  <c r="E34" i="34"/>
  <c r="E16" i="34"/>
  <c r="I25" i="34"/>
  <c r="E33" i="36" l="1"/>
  <c r="H33" i="36"/>
  <c r="K33" i="36"/>
  <c r="G33" i="36"/>
  <c r="J33" i="36"/>
  <c r="F33" i="36"/>
  <c r="E33" i="35"/>
  <c r="F33" i="35"/>
  <c r="H33" i="35"/>
  <c r="J33" i="35"/>
  <c r="K33" i="35"/>
  <c r="G33" i="35"/>
  <c r="E33" i="34"/>
  <c r="H33" i="34"/>
  <c r="K33" i="34"/>
  <c r="G33" i="34"/>
  <c r="J33" i="34"/>
  <c r="F33" i="34"/>
  <c r="I33" i="36" l="1"/>
  <c r="L33" i="36"/>
  <c r="E15" i="36"/>
  <c r="I33" i="35"/>
  <c r="L33" i="35"/>
  <c r="E15" i="35"/>
  <c r="I33" i="34"/>
  <c r="L33" i="34"/>
  <c r="E15" i="34"/>
  <c r="J27" i="16" l="1"/>
  <c r="J93" i="20"/>
  <c r="J92" i="20"/>
  <c r="J91" i="20"/>
  <c r="J90" i="20"/>
  <c r="J89" i="20"/>
  <c r="J87" i="20"/>
  <c r="J86" i="20"/>
  <c r="J85" i="20"/>
  <c r="J74" i="20"/>
  <c r="J73" i="20"/>
  <c r="J72" i="20"/>
  <c r="J37" i="20"/>
  <c r="J35" i="20"/>
  <c r="J28" i="10" l="1"/>
  <c r="J31" i="10"/>
  <c r="J127" i="10"/>
  <c r="J126" i="10"/>
  <c r="J125" i="10"/>
  <c r="J123" i="10"/>
  <c r="J122" i="10"/>
  <c r="J120" i="10"/>
  <c r="J119" i="10"/>
  <c r="J118" i="10"/>
  <c r="J117" i="10"/>
  <c r="J115" i="10"/>
  <c r="J114" i="10"/>
  <c r="J111" i="10"/>
  <c r="J110" i="10"/>
  <c r="J109" i="10"/>
  <c r="J108" i="10"/>
  <c r="J107" i="10"/>
  <c r="J106" i="10"/>
  <c r="E123" i="16" l="1"/>
  <c r="G127" i="10"/>
  <c r="G126" i="10"/>
  <c r="G125" i="10"/>
  <c r="G123" i="10"/>
  <c r="G122" i="10"/>
  <c r="G120" i="10"/>
  <c r="G119" i="10"/>
  <c r="G118" i="10"/>
  <c r="G117" i="10"/>
  <c r="G115" i="10"/>
  <c r="G114" i="10"/>
  <c r="G111" i="10"/>
  <c r="G110" i="10"/>
  <c r="G109" i="10"/>
  <c r="G108" i="10"/>
  <c r="G107" i="10"/>
  <c r="G106" i="10"/>
  <c r="J91" i="16"/>
  <c r="G91" i="16"/>
  <c r="J35" i="16"/>
  <c r="J34" i="16"/>
  <c r="J33" i="16"/>
  <c r="J32" i="16"/>
  <c r="J31" i="16"/>
  <c r="J29" i="16"/>
  <c r="J71" i="16"/>
  <c r="G71" i="16"/>
  <c r="E71" i="16"/>
  <c r="J64" i="16"/>
  <c r="G64" i="16"/>
  <c r="E64" i="16"/>
  <c r="E101" i="16"/>
  <c r="J155" i="16"/>
  <c r="J154" i="16"/>
  <c r="J153" i="16"/>
  <c r="J152" i="16"/>
  <c r="J151" i="16"/>
  <c r="J150" i="16"/>
  <c r="J149" i="16"/>
  <c r="J148" i="16"/>
  <c r="J147" i="16"/>
  <c r="J146" i="16"/>
  <c r="J145" i="16"/>
  <c r="J143" i="16"/>
  <c r="J142" i="16"/>
  <c r="J141" i="16"/>
  <c r="J140" i="16"/>
  <c r="J139" i="16"/>
  <c r="J138" i="16"/>
  <c r="J137" i="16"/>
  <c r="J136" i="16"/>
  <c r="J135" i="16"/>
  <c r="J134" i="16"/>
  <c r="J133" i="16"/>
  <c r="J132" i="16"/>
  <c r="J131" i="16"/>
  <c r="J130" i="16"/>
  <c r="J129" i="16"/>
  <c r="J128" i="16"/>
  <c r="J127" i="16"/>
  <c r="J126" i="16"/>
  <c r="J125" i="16"/>
  <c r="J124" i="16"/>
  <c r="J122" i="16"/>
  <c r="J121" i="16"/>
  <c r="J120" i="16"/>
  <c r="J119" i="16"/>
  <c r="J118" i="16"/>
  <c r="J117" i="16"/>
  <c r="J116" i="16"/>
  <c r="J115" i="16"/>
  <c r="J114" i="16"/>
  <c r="J113" i="16"/>
  <c r="J112" i="16"/>
  <c r="J111" i="16"/>
  <c r="J110" i="16"/>
  <c r="J109" i="16"/>
  <c r="J108" i="16"/>
  <c r="J107" i="16"/>
  <c r="J106" i="16"/>
  <c r="J105" i="16"/>
  <c r="J104" i="16"/>
  <c r="J103" i="16"/>
  <c r="J101" i="16"/>
  <c r="G101" i="16"/>
  <c r="G154" i="16"/>
  <c r="E154" i="16"/>
  <c r="J89" i="16"/>
  <c r="G89" i="16"/>
  <c r="E89" i="16"/>
  <c r="J88" i="16"/>
  <c r="G88" i="16"/>
  <c r="E88" i="16"/>
  <c r="J87" i="16"/>
  <c r="G87" i="16"/>
  <c r="E87" i="16"/>
  <c r="J85" i="16"/>
  <c r="G85" i="16"/>
  <c r="E85" i="16"/>
  <c r="J84" i="16"/>
  <c r="G84" i="16"/>
  <c r="E84" i="16"/>
  <c r="G82" i="16"/>
  <c r="E82" i="16"/>
  <c r="G81" i="16"/>
  <c r="E81" i="16"/>
  <c r="J82" i="16"/>
  <c r="J81" i="16"/>
  <c r="J79" i="16"/>
  <c r="J78" i="16"/>
  <c r="J77" i="16"/>
  <c r="J76" i="16"/>
  <c r="J75" i="16"/>
  <c r="J74" i="16"/>
  <c r="J72" i="16"/>
  <c r="J70" i="16"/>
  <c r="G79" i="16"/>
  <c r="E79" i="16"/>
  <c r="G78" i="16"/>
  <c r="E78" i="16"/>
  <c r="G77" i="16"/>
  <c r="E77" i="16"/>
  <c r="G76" i="16"/>
  <c r="E76" i="16"/>
  <c r="G75" i="16"/>
  <c r="E75" i="16"/>
  <c r="F73" i="16" s="1"/>
  <c r="G74" i="16"/>
  <c r="E74" i="16"/>
  <c r="G72" i="16"/>
  <c r="E72" i="16"/>
  <c r="G70" i="16"/>
  <c r="E70" i="16"/>
  <c r="J68" i="16"/>
  <c r="J67" i="16"/>
  <c r="J66" i="16"/>
  <c r="G68" i="16"/>
  <c r="G60" i="16"/>
  <c r="J42" i="16"/>
  <c r="G42" i="16"/>
  <c r="J47" i="16"/>
  <c r="J46" i="16"/>
  <c r="J45" i="16"/>
  <c r="J51" i="16"/>
  <c r="J50" i="16"/>
  <c r="J49" i="16"/>
  <c r="J52" i="16"/>
  <c r="G52" i="16"/>
  <c r="E52" i="16"/>
  <c r="G51" i="16"/>
  <c r="E51" i="16"/>
  <c r="G50" i="16"/>
  <c r="E50" i="16"/>
  <c r="G49" i="16"/>
  <c r="E49" i="16"/>
  <c r="G47" i="16"/>
  <c r="G46" i="16"/>
  <c r="G45" i="16"/>
  <c r="E47" i="16"/>
  <c r="E46" i="16"/>
  <c r="E45" i="16"/>
  <c r="G35" i="16"/>
  <c r="E35" i="16"/>
  <c r="E31" i="16"/>
  <c r="G34" i="16"/>
  <c r="E34" i="16"/>
  <c r="G33" i="16"/>
  <c r="E33" i="16"/>
  <c r="G32" i="16"/>
  <c r="E32" i="16"/>
  <c r="G31" i="16"/>
  <c r="E29" i="16"/>
  <c r="W14" i="33"/>
  <c r="O55" i="33"/>
  <c r="O54" i="33" s="1"/>
  <c r="O50" i="33"/>
  <c r="E50" i="33"/>
  <c r="G50" i="33" s="1"/>
  <c r="J47" i="33"/>
  <c r="G47" i="33"/>
  <c r="E47" i="33"/>
  <c r="G44" i="33"/>
  <c r="E44" i="33"/>
  <c r="G43" i="33"/>
  <c r="E43" i="33"/>
  <c r="J42" i="33"/>
  <c r="G42" i="33"/>
  <c r="E42" i="33"/>
  <c r="O37" i="33"/>
  <c r="J36" i="33"/>
  <c r="G36" i="33"/>
  <c r="E36" i="33"/>
  <c r="J35" i="33"/>
  <c r="G35" i="33"/>
  <c r="E35" i="33"/>
  <c r="J34" i="33"/>
  <c r="G34" i="33"/>
  <c r="E34" i="33"/>
  <c r="J28" i="33"/>
  <c r="G28" i="33"/>
  <c r="E28" i="33"/>
  <c r="J27" i="33"/>
  <c r="G27" i="33"/>
  <c r="E27" i="33"/>
  <c r="J26" i="33"/>
  <c r="G26" i="33"/>
  <c r="E26" i="33"/>
  <c r="O25" i="33"/>
  <c r="O12" i="33" s="1"/>
  <c r="E21" i="33"/>
  <c r="E20" i="33"/>
  <c r="E19" i="11"/>
  <c r="W18" i="10"/>
  <c r="R18" i="10"/>
  <c r="O18" i="10"/>
  <c r="E18" i="10"/>
  <c r="G143" i="16"/>
  <c r="G142" i="16"/>
  <c r="G141" i="16"/>
  <c r="G140" i="16"/>
  <c r="G139" i="16"/>
  <c r="G138" i="16"/>
  <c r="G137" i="16"/>
  <c r="G136" i="16"/>
  <c r="G135" i="16"/>
  <c r="G134" i="16"/>
  <c r="G133" i="16"/>
  <c r="G124" i="16"/>
  <c r="G122" i="16"/>
  <c r="G121" i="16"/>
  <c r="G120" i="16"/>
  <c r="G119" i="16"/>
  <c r="G118" i="16"/>
  <c r="G117" i="16"/>
  <c r="G116" i="16"/>
  <c r="G115" i="16"/>
  <c r="G114" i="16"/>
  <c r="G113" i="16"/>
  <c r="G112" i="16"/>
  <c r="G111" i="16"/>
  <c r="E124" i="16"/>
  <c r="E143" i="16"/>
  <c r="E142" i="16"/>
  <c r="E141" i="16"/>
  <c r="E140" i="16"/>
  <c r="E139" i="16"/>
  <c r="E138" i="16"/>
  <c r="E137" i="16"/>
  <c r="E136" i="16"/>
  <c r="E135" i="16"/>
  <c r="E134" i="16"/>
  <c r="E133" i="16"/>
  <c r="W87" i="23"/>
  <c r="W84" i="23"/>
  <c r="O87" i="23"/>
  <c r="R87" i="23"/>
  <c r="W12" i="23"/>
  <c r="R12" i="23"/>
  <c r="O12" i="23"/>
  <c r="G104" i="23"/>
  <c r="F104" i="23"/>
  <c r="F87" i="23"/>
  <c r="E87" i="23"/>
  <c r="E104" i="23"/>
  <c r="E88" i="23"/>
  <c r="E91" i="23"/>
  <c r="E97" i="23"/>
  <c r="W80" i="23"/>
  <c r="R80" i="23"/>
  <c r="O80" i="23"/>
  <c r="G80" i="23"/>
  <c r="E80" i="23"/>
  <c r="R79" i="23"/>
  <c r="G79" i="23"/>
  <c r="E79" i="23"/>
  <c r="R78" i="23"/>
  <c r="G78" i="23"/>
  <c r="E78" i="23"/>
  <c r="R77" i="23"/>
  <c r="G77" i="23"/>
  <c r="E77" i="23"/>
  <c r="R76" i="23"/>
  <c r="R72" i="23" s="1"/>
  <c r="K72" i="23"/>
  <c r="G76" i="23"/>
  <c r="E76" i="23"/>
  <c r="R75" i="23"/>
  <c r="G75" i="23"/>
  <c r="E75" i="23"/>
  <c r="R74" i="23"/>
  <c r="G74" i="23"/>
  <c r="E74" i="23"/>
  <c r="R73" i="23"/>
  <c r="G73" i="23"/>
  <c r="E73" i="23"/>
  <c r="J72" i="23" s="1"/>
  <c r="W72" i="23"/>
  <c r="O72" i="23"/>
  <c r="E85" i="23"/>
  <c r="G85" i="23"/>
  <c r="J85" i="23"/>
  <c r="O85" i="23"/>
  <c r="R85" i="23"/>
  <c r="W85" i="23"/>
  <c r="E86" i="23"/>
  <c r="G86" i="23"/>
  <c r="J86" i="23"/>
  <c r="R86" i="23"/>
  <c r="K69" i="16" l="1"/>
  <c r="O32" i="33"/>
  <c r="O14" i="33"/>
  <c r="O13" i="33"/>
  <c r="G37" i="33"/>
  <c r="J33" i="33"/>
  <c r="H33" i="33"/>
  <c r="K33" i="33"/>
  <c r="G33" i="33"/>
  <c r="F33" i="33"/>
  <c r="G45" i="33"/>
  <c r="F45" i="33"/>
  <c r="H45" i="33"/>
  <c r="K45" i="33"/>
  <c r="E45" i="33"/>
  <c r="J45" i="33"/>
  <c r="J37" i="33"/>
  <c r="F37" i="33"/>
  <c r="E37" i="33"/>
  <c r="K37" i="33"/>
  <c r="H37" i="33"/>
  <c r="W12" i="33"/>
  <c r="E33" i="33"/>
  <c r="E18" i="33"/>
  <c r="E11" i="33" s="1"/>
  <c r="E25" i="33"/>
  <c r="E12" i="33" s="1"/>
  <c r="R14" i="33"/>
  <c r="E73" i="16"/>
  <c r="H69" i="16"/>
  <c r="E69" i="16"/>
  <c r="G69" i="16"/>
  <c r="J69" i="16"/>
  <c r="F69" i="16"/>
  <c r="G86" i="16"/>
  <c r="H86" i="16"/>
  <c r="K86" i="16"/>
  <c r="E86" i="16"/>
  <c r="F86" i="16"/>
  <c r="J86" i="16"/>
  <c r="F48" i="16"/>
  <c r="G30" i="16"/>
  <c r="J30" i="16"/>
  <c r="K80" i="16"/>
  <c r="F28" i="16"/>
  <c r="K30" i="16"/>
  <c r="E48" i="16"/>
  <c r="J73" i="16"/>
  <c r="K73" i="16"/>
  <c r="J80" i="16"/>
  <c r="F44" i="16"/>
  <c r="G73" i="16"/>
  <c r="H73" i="16"/>
  <c r="F80" i="16"/>
  <c r="G48" i="16"/>
  <c r="H80" i="16"/>
  <c r="G80" i="16"/>
  <c r="H48" i="16"/>
  <c r="K48" i="16"/>
  <c r="K83" i="16"/>
  <c r="J48" i="16"/>
  <c r="E80" i="16"/>
  <c r="F83" i="16"/>
  <c r="J44" i="16"/>
  <c r="G83" i="16"/>
  <c r="H83" i="16"/>
  <c r="J83" i="16"/>
  <c r="E83" i="16"/>
  <c r="H44" i="16"/>
  <c r="E44" i="16"/>
  <c r="G44" i="16"/>
  <c r="H30" i="16"/>
  <c r="E30" i="16"/>
  <c r="E28" i="16" s="1"/>
  <c r="F30" i="16"/>
  <c r="K18" i="33"/>
  <c r="R11" i="33"/>
  <c r="W11" i="33"/>
  <c r="K55" i="33"/>
  <c r="K25" i="33"/>
  <c r="W13" i="33"/>
  <c r="R12" i="33"/>
  <c r="H50" i="33"/>
  <c r="K50" i="33"/>
  <c r="F18" i="33"/>
  <c r="G18" i="33"/>
  <c r="F25" i="33"/>
  <c r="H18" i="33"/>
  <c r="G25" i="33"/>
  <c r="E55" i="33"/>
  <c r="F55" i="33"/>
  <c r="G55" i="33"/>
  <c r="G54" i="33" s="1"/>
  <c r="J50" i="33"/>
  <c r="H25" i="33"/>
  <c r="J18" i="33"/>
  <c r="J25" i="33"/>
  <c r="H55" i="33"/>
  <c r="F50" i="33"/>
  <c r="J55" i="33"/>
  <c r="H72" i="23"/>
  <c r="G72" i="23"/>
  <c r="E72" i="23"/>
  <c r="E12" i="23" s="1"/>
  <c r="F72" i="23"/>
  <c r="E122" i="16"/>
  <c r="E121" i="16"/>
  <c r="E120" i="16"/>
  <c r="E119" i="16"/>
  <c r="E118" i="16"/>
  <c r="E117" i="16"/>
  <c r="E116" i="16"/>
  <c r="E115" i="16"/>
  <c r="E114" i="16"/>
  <c r="E113" i="16"/>
  <c r="E112" i="16"/>
  <c r="E111" i="16"/>
  <c r="J201" i="15"/>
  <c r="J200" i="15"/>
  <c r="J199" i="15"/>
  <c r="J198" i="15"/>
  <c r="J197" i="15"/>
  <c r="J196" i="15"/>
  <c r="J195" i="15"/>
  <c r="J193" i="15"/>
  <c r="J192" i="15"/>
  <c r="J191" i="15"/>
  <c r="J190" i="15"/>
  <c r="J187" i="15"/>
  <c r="J186" i="15"/>
  <c r="J185" i="15"/>
  <c r="J184" i="15"/>
  <c r="J183" i="15"/>
  <c r="J182" i="15"/>
  <c r="J181" i="15"/>
  <c r="J180" i="15"/>
  <c r="J179" i="15"/>
  <c r="J178" i="15"/>
  <c r="J177" i="15"/>
  <c r="J176" i="15"/>
  <c r="J175" i="15"/>
  <c r="J174" i="15"/>
  <c r="J172" i="15"/>
  <c r="J171" i="15"/>
  <c r="J170" i="15"/>
  <c r="J169" i="15"/>
  <c r="J168" i="15"/>
  <c r="J167" i="15"/>
  <c r="J166" i="15"/>
  <c r="J165" i="15"/>
  <c r="J164" i="15"/>
  <c r="G201" i="15"/>
  <c r="G200" i="15"/>
  <c r="G199" i="15"/>
  <c r="G198" i="15"/>
  <c r="G197" i="15"/>
  <c r="G196" i="15"/>
  <c r="G195" i="15"/>
  <c r="G193" i="15"/>
  <c r="G192" i="15"/>
  <c r="G191" i="15"/>
  <c r="G190" i="15"/>
  <c r="G187" i="15"/>
  <c r="G186" i="15"/>
  <c r="G185" i="15"/>
  <c r="G184" i="15"/>
  <c r="G183" i="15"/>
  <c r="G182" i="15"/>
  <c r="G181" i="15"/>
  <c r="G180" i="15"/>
  <c r="G179" i="15"/>
  <c r="G178" i="15"/>
  <c r="G177" i="15"/>
  <c r="G176" i="15"/>
  <c r="G175" i="15"/>
  <c r="G174" i="15"/>
  <c r="G172" i="15"/>
  <c r="G171" i="15"/>
  <c r="G170" i="15"/>
  <c r="G169" i="15"/>
  <c r="G168" i="15"/>
  <c r="G167" i="15"/>
  <c r="G166" i="15"/>
  <c r="G165" i="15"/>
  <c r="G164" i="15"/>
  <c r="E140" i="12"/>
  <c r="G32" i="33" l="1"/>
  <c r="J54" i="33"/>
  <c r="H54" i="33"/>
  <c r="K54" i="33"/>
  <c r="F54" i="33"/>
  <c r="E54" i="33"/>
  <c r="E14" i="33" s="1"/>
  <c r="H32" i="33"/>
  <c r="J32" i="33"/>
  <c r="I33" i="33"/>
  <c r="L33" i="33"/>
  <c r="L45" i="33"/>
  <c r="I45" i="33"/>
  <c r="L37" i="33"/>
  <c r="K32" i="33"/>
  <c r="E32" i="33"/>
  <c r="F32" i="33"/>
  <c r="L18" i="33"/>
  <c r="I37" i="33"/>
  <c r="I18" i="33"/>
  <c r="I69" i="16"/>
  <c r="K28" i="16"/>
  <c r="I73" i="16"/>
  <c r="L73" i="16"/>
  <c r="L69" i="16"/>
  <c r="I30" i="16"/>
  <c r="L48" i="16"/>
  <c r="H28" i="16"/>
  <c r="J28" i="16"/>
  <c r="I48" i="16"/>
  <c r="L30" i="16"/>
  <c r="E43" i="16"/>
  <c r="L83" i="16"/>
  <c r="L86" i="16"/>
  <c r="I80" i="16"/>
  <c r="I83" i="16"/>
  <c r="L80" i="16"/>
  <c r="I86" i="16"/>
  <c r="I44" i="16"/>
  <c r="I25" i="33"/>
  <c r="L25" i="33"/>
  <c r="L55" i="33"/>
  <c r="I55" i="33"/>
  <c r="W12" i="22"/>
  <c r="R12" i="22"/>
  <c r="O12" i="22"/>
  <c r="E12" i="22"/>
  <c r="E13" i="22"/>
  <c r="E14" i="22"/>
  <c r="E16" i="22"/>
  <c r="E15" i="22"/>
  <c r="E17" i="22"/>
  <c r="E18" i="22"/>
  <c r="E19" i="22"/>
  <c r="E20" i="22"/>
  <c r="E21" i="22"/>
  <c r="E22" i="22"/>
  <c r="E23" i="22"/>
  <c r="E24" i="22"/>
  <c r="E25" i="22"/>
  <c r="E26" i="22"/>
  <c r="E27" i="22"/>
  <c r="E28" i="22"/>
  <c r="E29" i="22"/>
  <c r="E30" i="22"/>
  <c r="E31" i="22"/>
  <c r="E32" i="22"/>
  <c r="E33" i="22"/>
  <c r="E34" i="22"/>
  <c r="R34" i="22"/>
  <c r="R33" i="22"/>
  <c r="R32" i="22"/>
  <c r="R31" i="22"/>
  <c r="R30" i="22"/>
  <c r="R29" i="22"/>
  <c r="R28" i="22"/>
  <c r="R27" i="22"/>
  <c r="R26" i="22"/>
  <c r="R25" i="22"/>
  <c r="R24" i="22"/>
  <c r="R23" i="22"/>
  <c r="R22" i="22"/>
  <c r="R21" i="22"/>
  <c r="R20" i="22"/>
  <c r="R19" i="22"/>
  <c r="R18" i="22"/>
  <c r="R17" i="22"/>
  <c r="R16" i="22"/>
  <c r="R15" i="22"/>
  <c r="R14" i="22"/>
  <c r="O34" i="22"/>
  <c r="O33" i="22"/>
  <c r="O32" i="22"/>
  <c r="O31" i="22"/>
  <c r="O30" i="22"/>
  <c r="O29" i="22"/>
  <c r="O28" i="22"/>
  <c r="O27" i="22"/>
  <c r="O26" i="22"/>
  <c r="O25" i="22"/>
  <c r="O24" i="22"/>
  <c r="O23" i="22"/>
  <c r="O22" i="22"/>
  <c r="O21" i="22"/>
  <c r="O20" i="22"/>
  <c r="O19" i="22"/>
  <c r="O18" i="22"/>
  <c r="O17" i="22"/>
  <c r="O16" i="22"/>
  <c r="O15" i="22"/>
  <c r="O14" i="22"/>
  <c r="W34" i="22"/>
  <c r="W33" i="22"/>
  <c r="W31" i="22"/>
  <c r="W30" i="22"/>
  <c r="W29" i="22"/>
  <c r="W28" i="22"/>
  <c r="W25" i="22"/>
  <c r="W22" i="22"/>
  <c r="W16" i="22"/>
  <c r="W14" i="22"/>
  <c r="W13" i="22"/>
  <c r="I54" i="33" l="1"/>
  <c r="L54" i="33"/>
  <c r="I32" i="33"/>
  <c r="L32" i="33"/>
  <c r="E13" i="33"/>
  <c r="E8" i="22"/>
  <c r="W8" i="22"/>
  <c r="O32" i="20"/>
  <c r="W32" i="20"/>
  <c r="R32" i="20"/>
  <c r="W189" i="11" l="1"/>
  <c r="W182" i="11"/>
  <c r="W173" i="11"/>
  <c r="W172" i="11" s="1"/>
  <c r="W123" i="11"/>
  <c r="W122" i="11"/>
  <c r="W119" i="11"/>
  <c r="W114" i="11"/>
  <c r="W104" i="11"/>
  <c r="W95" i="11"/>
  <c r="W91" i="11"/>
  <c r="W82" i="11"/>
  <c r="W77" i="11"/>
  <c r="W74" i="11"/>
  <c r="W69" i="11"/>
  <c r="W68" i="11"/>
  <c r="W67" i="11" s="1"/>
  <c r="W54" i="11" s="1"/>
  <c r="W23" i="11" s="1"/>
  <c r="O189" i="11"/>
  <c r="O182" i="11"/>
  <c r="O173" i="11"/>
  <c r="O123" i="11"/>
  <c r="O122" i="11"/>
  <c r="O119" i="11"/>
  <c r="O118" i="11" s="1"/>
  <c r="O24" i="11" s="1"/>
  <c r="O114" i="11"/>
  <c r="O104" i="11"/>
  <c r="O95" i="11"/>
  <c r="O91" i="11"/>
  <c r="O82" i="11"/>
  <c r="O77" i="11"/>
  <c r="O74" i="11"/>
  <c r="O69" i="11"/>
  <c r="W55" i="11"/>
  <c r="O68" i="11"/>
  <c r="O67" i="11" s="1"/>
  <c r="O54" i="11" s="1"/>
  <c r="O23" i="11" s="1"/>
  <c r="R203" i="11"/>
  <c r="R202" i="11"/>
  <c r="R201" i="11"/>
  <c r="R200" i="11"/>
  <c r="R199" i="11"/>
  <c r="R198" i="11"/>
  <c r="R197" i="11"/>
  <c r="R196" i="11"/>
  <c r="R195" i="11"/>
  <c r="R194" i="11"/>
  <c r="R193" i="11"/>
  <c r="R192" i="11"/>
  <c r="R191" i="11"/>
  <c r="R190" i="11"/>
  <c r="R188" i="11"/>
  <c r="R187" i="11"/>
  <c r="R186" i="11"/>
  <c r="R185" i="11"/>
  <c r="R184" i="11"/>
  <c r="R180" i="11"/>
  <c r="R179" i="11"/>
  <c r="R178" i="11"/>
  <c r="R177" i="11"/>
  <c r="R176" i="11"/>
  <c r="R174" i="11" s="1"/>
  <c r="R175" i="11"/>
  <c r="R168" i="11"/>
  <c r="R167" i="11"/>
  <c r="R166" i="11"/>
  <c r="R165" i="11"/>
  <c r="R164" i="11"/>
  <c r="R163" i="11"/>
  <c r="R162" i="11"/>
  <c r="R161" i="11"/>
  <c r="R160" i="11"/>
  <c r="R159" i="11"/>
  <c r="R158" i="11"/>
  <c r="R157" i="11"/>
  <c r="R156" i="11"/>
  <c r="R155" i="11"/>
  <c r="R154" i="11"/>
  <c r="R153" i="11"/>
  <c r="R152" i="11"/>
  <c r="R151" i="11"/>
  <c r="R150" i="11"/>
  <c r="R149" i="11"/>
  <c r="R148" i="11"/>
  <c r="R147" i="11"/>
  <c r="R146" i="11"/>
  <c r="R145" i="11"/>
  <c r="R144" i="11"/>
  <c r="R143" i="11"/>
  <c r="R142" i="11"/>
  <c r="R141" i="11"/>
  <c r="R140" i="11"/>
  <c r="R139" i="11"/>
  <c r="R138" i="11"/>
  <c r="R137" i="11"/>
  <c r="R136" i="11"/>
  <c r="R135" i="11"/>
  <c r="R134" i="11"/>
  <c r="R133" i="11"/>
  <c r="R132" i="11"/>
  <c r="R131" i="11"/>
  <c r="R130" i="11"/>
  <c r="R129" i="11"/>
  <c r="R128" i="11"/>
  <c r="R127" i="11"/>
  <c r="R126" i="11"/>
  <c r="R125" i="11"/>
  <c r="R124" i="11"/>
  <c r="R122" i="11"/>
  <c r="R121" i="11"/>
  <c r="R120" i="11"/>
  <c r="R114" i="11"/>
  <c r="R112" i="11"/>
  <c r="R111" i="11"/>
  <c r="R110" i="11"/>
  <c r="R109" i="11"/>
  <c r="R108" i="11"/>
  <c r="R107" i="11"/>
  <c r="R106" i="11"/>
  <c r="R102" i="11"/>
  <c r="R101" i="11"/>
  <c r="R100" i="11"/>
  <c r="R99" i="11"/>
  <c r="R98" i="11"/>
  <c r="R97" i="11"/>
  <c r="R93" i="11"/>
  <c r="R91" i="11" s="1"/>
  <c r="R92" i="11"/>
  <c r="R90" i="11"/>
  <c r="R89" i="11"/>
  <c r="R88" i="11"/>
  <c r="R87" i="11"/>
  <c r="R86" i="11"/>
  <c r="R85" i="11"/>
  <c r="R84" i="11"/>
  <c r="R83" i="11"/>
  <c r="R81" i="11"/>
  <c r="R80" i="11"/>
  <c r="R79" i="11"/>
  <c r="R77" i="11" s="1"/>
  <c r="R78" i="11"/>
  <c r="R76" i="11"/>
  <c r="R75" i="11"/>
  <c r="R74" i="11" s="1"/>
  <c r="R73" i="11"/>
  <c r="R72" i="11"/>
  <c r="R71" i="11"/>
  <c r="R70" i="11"/>
  <c r="R68" i="11"/>
  <c r="R65" i="11"/>
  <c r="R64" i="11"/>
  <c r="R63" i="11"/>
  <c r="R62" i="11"/>
  <c r="R61" i="11" s="1"/>
  <c r="R60" i="11"/>
  <c r="R59" i="11"/>
  <c r="R58" i="11"/>
  <c r="R50" i="11"/>
  <c r="R49" i="11"/>
  <c r="R48" i="11"/>
  <c r="R32" i="11"/>
  <c r="R31" i="11"/>
  <c r="R30" i="11"/>
  <c r="W40" i="11"/>
  <c r="W34" i="11"/>
  <c r="R40" i="11"/>
  <c r="R34" i="11"/>
  <c r="R155" i="12"/>
  <c r="R154" i="12"/>
  <c r="R153" i="12"/>
  <c r="R152" i="12"/>
  <c r="R151" i="12"/>
  <c r="R150" i="12"/>
  <c r="R149" i="12"/>
  <c r="R148" i="12"/>
  <c r="R147" i="12"/>
  <c r="R34" i="12"/>
  <c r="R33" i="12"/>
  <c r="R32" i="12"/>
  <c r="R42" i="12"/>
  <c r="R41" i="12"/>
  <c r="R40" i="12"/>
  <c r="R59" i="12"/>
  <c r="R63" i="12"/>
  <c r="R62" i="12"/>
  <c r="R61" i="12"/>
  <c r="R67" i="12"/>
  <c r="R66" i="12"/>
  <c r="R65" i="12"/>
  <c r="R64" i="12" s="1"/>
  <c r="R71" i="12"/>
  <c r="R70" i="12"/>
  <c r="R69" i="12"/>
  <c r="R77" i="12"/>
  <c r="R76" i="12"/>
  <c r="R75" i="12"/>
  <c r="R74" i="12"/>
  <c r="R73" i="12"/>
  <c r="R82" i="12"/>
  <c r="R80" i="12"/>
  <c r="R79" i="12"/>
  <c r="R90" i="12"/>
  <c r="R89" i="12"/>
  <c r="R88"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1" i="12" s="1"/>
  <c r="R92" i="12"/>
  <c r="R144" i="12"/>
  <c r="R143" i="12"/>
  <c r="R142" i="12"/>
  <c r="R141" i="12"/>
  <c r="R140" i="12"/>
  <c r="R139" i="12"/>
  <c r="R138" i="12"/>
  <c r="R137" i="12"/>
  <c r="W90" i="12"/>
  <c r="O90" i="12"/>
  <c r="O60" i="12"/>
  <c r="W78" i="12"/>
  <c r="W72" i="12"/>
  <c r="W68" i="12"/>
  <c r="W64" i="12"/>
  <c r="W60" i="12"/>
  <c r="O78" i="12"/>
  <c r="O72" i="12"/>
  <c r="O68" i="12"/>
  <c r="O64" i="12"/>
  <c r="W54" i="12"/>
  <c r="O54" i="12"/>
  <c r="W145" i="12"/>
  <c r="W135" i="12" s="1"/>
  <c r="W136" i="12"/>
  <c r="W91" i="12"/>
  <c r="W87" i="12"/>
  <c r="O145" i="12"/>
  <c r="O135" i="12" s="1"/>
  <c r="O136" i="12"/>
  <c r="O91" i="12"/>
  <c r="O87" i="12"/>
  <c r="R146" i="12"/>
  <c r="R145" i="12" s="1"/>
  <c r="W82" i="12"/>
  <c r="O82" i="12"/>
  <c r="R54" i="12"/>
  <c r="R53" i="12"/>
  <c r="R52" i="12"/>
  <c r="R51" i="12"/>
  <c r="R50" i="12"/>
  <c r="R56" i="12"/>
  <c r="R55" i="12"/>
  <c r="W59" i="12"/>
  <c r="O59" i="12"/>
  <c r="R182" i="13"/>
  <c r="R181" i="13"/>
  <c r="R180" i="13"/>
  <c r="R179" i="13"/>
  <c r="R178" i="13"/>
  <c r="R177" i="13"/>
  <c r="R176" i="13"/>
  <c r="R175" i="13"/>
  <c r="R174" i="13"/>
  <c r="R173" i="13"/>
  <c r="R172" i="13"/>
  <c r="R171" i="13"/>
  <c r="R169" i="13"/>
  <c r="R168" i="13"/>
  <c r="R167" i="13"/>
  <c r="R166" i="13"/>
  <c r="R165" i="13"/>
  <c r="R164" i="13"/>
  <c r="R163" i="13"/>
  <c r="R161" i="13"/>
  <c r="R160"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7" i="13"/>
  <c r="R106" i="13"/>
  <c r="R105" i="13"/>
  <c r="R99" i="13"/>
  <c r="R98" i="13"/>
  <c r="R97" i="13"/>
  <c r="R96" i="13"/>
  <c r="R95" i="13"/>
  <c r="R94" i="13"/>
  <c r="R93" i="13"/>
  <c r="R90" i="13"/>
  <c r="R89" i="13"/>
  <c r="R87" i="13"/>
  <c r="R86" i="13"/>
  <c r="R85" i="13"/>
  <c r="R84" i="13"/>
  <c r="R83" i="13"/>
  <c r="R82" i="13"/>
  <c r="R79" i="13"/>
  <c r="R78" i="13"/>
  <c r="R76" i="13"/>
  <c r="R75" i="13"/>
  <c r="R74" i="13"/>
  <c r="R73" i="13"/>
  <c r="R72" i="13"/>
  <c r="R71" i="13"/>
  <c r="R70" i="13"/>
  <c r="R68" i="13"/>
  <c r="R67" i="13"/>
  <c r="R66" i="13"/>
  <c r="R64" i="13"/>
  <c r="R63" i="13"/>
  <c r="R61" i="13"/>
  <c r="R60" i="13"/>
  <c r="R59" i="13"/>
  <c r="R57" i="13"/>
  <c r="R55" i="13"/>
  <c r="R54" i="13"/>
  <c r="R53" i="13"/>
  <c r="R52" i="13"/>
  <c r="R51" i="13"/>
  <c r="R50" i="13"/>
  <c r="R49" i="13"/>
  <c r="R40" i="13"/>
  <c r="R39" i="13"/>
  <c r="R38" i="13"/>
  <c r="R32" i="13"/>
  <c r="R31" i="13"/>
  <c r="R30" i="13"/>
  <c r="O77" i="13"/>
  <c r="O69" i="13"/>
  <c r="O65" i="13"/>
  <c r="O62" i="13"/>
  <c r="O58" i="13"/>
  <c r="W170" i="13"/>
  <c r="W162" i="13"/>
  <c r="W159" i="13"/>
  <c r="W108" i="13"/>
  <c r="W104" i="13"/>
  <c r="W99" i="13"/>
  <c r="W91" i="13"/>
  <c r="W88" i="13"/>
  <c r="W81" i="13"/>
  <c r="W77" i="13"/>
  <c r="W69" i="13"/>
  <c r="W65" i="13"/>
  <c r="W62" i="13"/>
  <c r="W58" i="13"/>
  <c r="W56" i="13"/>
  <c r="O170" i="13"/>
  <c r="O162" i="13"/>
  <c r="O159" i="13"/>
  <c r="O108" i="13"/>
  <c r="O104" i="13"/>
  <c r="O99" i="13"/>
  <c r="O88" i="13"/>
  <c r="O91" i="13"/>
  <c r="O81" i="13"/>
  <c r="O56" i="13"/>
  <c r="O101" i="14"/>
  <c r="W117" i="14"/>
  <c r="O117" i="14"/>
  <c r="R192" i="14"/>
  <c r="R193" i="14"/>
  <c r="R191" i="14" s="1"/>
  <c r="O190" i="14"/>
  <c r="O124" i="14"/>
  <c r="W124" i="14"/>
  <c r="W101" i="14"/>
  <c r="W62" i="14"/>
  <c r="O40" i="11"/>
  <c r="O34" i="11"/>
  <c r="W19" i="11"/>
  <c r="R19" i="11"/>
  <c r="O19" i="11"/>
  <c r="W9" i="11"/>
  <c r="R9" i="11"/>
  <c r="J9" i="11"/>
  <c r="G9" i="11"/>
  <c r="E9" i="11"/>
  <c r="O9" i="11"/>
  <c r="R75" i="10"/>
  <c r="R76" i="10"/>
  <c r="R127" i="10"/>
  <c r="R126" i="10"/>
  <c r="R125" i="10"/>
  <c r="R123" i="10"/>
  <c r="R122" i="10"/>
  <c r="R120" i="10"/>
  <c r="R119" i="10"/>
  <c r="R118" i="10"/>
  <c r="R117" i="10"/>
  <c r="R116" i="10" s="1"/>
  <c r="R115" i="10"/>
  <c r="R114" i="10"/>
  <c r="R113" i="10" s="1"/>
  <c r="R111" i="10"/>
  <c r="R110" i="10"/>
  <c r="R100" i="10"/>
  <c r="R99" i="10"/>
  <c r="R98" i="10"/>
  <c r="R97" i="10"/>
  <c r="R96" i="10"/>
  <c r="R95" i="10"/>
  <c r="R94" i="10"/>
  <c r="R93" i="10"/>
  <c r="R92" i="10"/>
  <c r="R91" i="10"/>
  <c r="R90" i="10"/>
  <c r="R89" i="10"/>
  <c r="R88" i="10"/>
  <c r="R87" i="10"/>
  <c r="R86" i="10"/>
  <c r="R85" i="10"/>
  <c r="R84" i="10"/>
  <c r="R83" i="10"/>
  <c r="R82" i="10"/>
  <c r="R81" i="10"/>
  <c r="R80" i="10"/>
  <c r="R79" i="10"/>
  <c r="R78" i="10"/>
  <c r="R74" i="10"/>
  <c r="R68" i="10"/>
  <c r="R67" i="10"/>
  <c r="R66" i="10"/>
  <c r="R64" i="10"/>
  <c r="R63" i="10"/>
  <c r="R61" i="10"/>
  <c r="R60" i="10"/>
  <c r="R59" i="10"/>
  <c r="R58" i="10"/>
  <c r="R57" i="10"/>
  <c r="R55" i="10"/>
  <c r="R54" i="10"/>
  <c r="R51" i="10"/>
  <c r="R50" i="10"/>
  <c r="R49" i="10"/>
  <c r="R48" i="10"/>
  <c r="R47" i="10"/>
  <c r="W124" i="10"/>
  <c r="O124" i="10"/>
  <c r="W121" i="10"/>
  <c r="O121" i="10"/>
  <c r="W116" i="10"/>
  <c r="O116" i="10"/>
  <c r="W112" i="10"/>
  <c r="O112" i="10"/>
  <c r="W105" i="10"/>
  <c r="O105" i="10"/>
  <c r="W77" i="10"/>
  <c r="O77" i="10"/>
  <c r="W73" i="10"/>
  <c r="W72" i="10" s="1"/>
  <c r="W23" i="10" s="1"/>
  <c r="O73" i="10"/>
  <c r="W65" i="10"/>
  <c r="O65" i="10"/>
  <c r="W62" i="10"/>
  <c r="O62" i="10"/>
  <c r="W56" i="10"/>
  <c r="O56" i="10"/>
  <c r="W53" i="10"/>
  <c r="W52" i="10" s="1"/>
  <c r="O53" i="10"/>
  <c r="O52" i="10" s="1"/>
  <c r="W44" i="10"/>
  <c r="O44" i="10"/>
  <c r="R39" i="10"/>
  <c r="R38" i="10"/>
  <c r="R37" i="10"/>
  <c r="W27" i="10"/>
  <c r="W20" i="10" s="1"/>
  <c r="R27" i="10"/>
  <c r="O27" i="10"/>
  <c r="W9" i="10"/>
  <c r="R9" i="10"/>
  <c r="O9" i="10"/>
  <c r="W14" i="10"/>
  <c r="R14" i="10"/>
  <c r="O14" i="10"/>
  <c r="J17" i="11"/>
  <c r="G17" i="11"/>
  <c r="E17" i="11"/>
  <c r="K15" i="11" s="1"/>
  <c r="J16" i="11"/>
  <c r="G16" i="11"/>
  <c r="E16" i="11"/>
  <c r="W15" i="11"/>
  <c r="R15" i="11"/>
  <c r="O15" i="11"/>
  <c r="H15" i="11"/>
  <c r="W15" i="12"/>
  <c r="R15" i="12"/>
  <c r="O15" i="12"/>
  <c r="W26" i="12"/>
  <c r="R26" i="12"/>
  <c r="O26" i="12"/>
  <c r="J26" i="12"/>
  <c r="G26" i="12"/>
  <c r="E26" i="12"/>
  <c r="F26" i="12" s="1"/>
  <c r="W25" i="12"/>
  <c r="R25" i="12"/>
  <c r="O25" i="12"/>
  <c r="J25" i="12"/>
  <c r="G25" i="12"/>
  <c r="E25" i="12"/>
  <c r="F25" i="12" s="1"/>
  <c r="J11" i="12"/>
  <c r="G11" i="12"/>
  <c r="E11" i="12"/>
  <c r="J10" i="12"/>
  <c r="G10" i="12"/>
  <c r="E10" i="12"/>
  <c r="W9" i="12"/>
  <c r="R9" i="12"/>
  <c r="O9" i="12"/>
  <c r="F9" i="12"/>
  <c r="W8" i="12"/>
  <c r="R8" i="12"/>
  <c r="O8" i="12"/>
  <c r="E8" i="12"/>
  <c r="W13" i="12"/>
  <c r="R13" i="12"/>
  <c r="O13" i="12"/>
  <c r="E13" i="12"/>
  <c r="W12" i="16"/>
  <c r="R12" i="16"/>
  <c r="O12" i="16"/>
  <c r="R9" i="16"/>
  <c r="W19" i="21"/>
  <c r="R19" i="21"/>
  <c r="O19" i="21"/>
  <c r="J19" i="21"/>
  <c r="G19" i="21"/>
  <c r="E19" i="21"/>
  <c r="F19" i="21" s="1"/>
  <c r="W18" i="21"/>
  <c r="R18" i="21"/>
  <c r="O18" i="21"/>
  <c r="J18" i="21"/>
  <c r="G18" i="21"/>
  <c r="F18" i="21"/>
  <c r="E18" i="21"/>
  <c r="W17" i="21"/>
  <c r="R17" i="21"/>
  <c r="O17" i="21"/>
  <c r="J17" i="21"/>
  <c r="G17" i="21"/>
  <c r="E17" i="21"/>
  <c r="F17" i="21" s="1"/>
  <c r="W24" i="13"/>
  <c r="R24" i="13"/>
  <c r="O24" i="13"/>
  <c r="J24" i="13"/>
  <c r="G24" i="13"/>
  <c r="E24" i="13"/>
  <c r="F24" i="13" s="1"/>
  <c r="W23" i="13"/>
  <c r="R23" i="13"/>
  <c r="O23" i="13"/>
  <c r="J23" i="13"/>
  <c r="G23" i="13"/>
  <c r="E23" i="13"/>
  <c r="F23" i="13" s="1"/>
  <c r="W22" i="13"/>
  <c r="R22" i="13"/>
  <c r="O22" i="13"/>
  <c r="J22" i="13"/>
  <c r="G22" i="13"/>
  <c r="E22" i="13"/>
  <c r="F22" i="13" s="1"/>
  <c r="W9" i="13"/>
  <c r="R9" i="13"/>
  <c r="O9" i="13"/>
  <c r="W13" i="13"/>
  <c r="R13" i="13"/>
  <c r="O13" i="13"/>
  <c r="E13" i="13"/>
  <c r="E15" i="13" s="1"/>
  <c r="W8" i="25"/>
  <c r="R8" i="25"/>
  <c r="O8" i="25"/>
  <c r="W8" i="13"/>
  <c r="R8" i="13"/>
  <c r="O8" i="13"/>
  <c r="W8" i="16"/>
  <c r="R8" i="16"/>
  <c r="O8" i="16"/>
  <c r="W8" i="21"/>
  <c r="R8" i="21"/>
  <c r="O8" i="21"/>
  <c r="J27" i="14"/>
  <c r="G27" i="14"/>
  <c r="J23" i="14"/>
  <c r="G23" i="14"/>
  <c r="O32" i="14"/>
  <c r="O18" i="14" s="1"/>
  <c r="W32" i="14"/>
  <c r="W18" i="14" s="1"/>
  <c r="W27" i="14"/>
  <c r="W23" i="14"/>
  <c r="R27" i="14"/>
  <c r="R23" i="14"/>
  <c r="O27" i="14"/>
  <c r="O23" i="14"/>
  <c r="R10" i="14"/>
  <c r="R9" i="14"/>
  <c r="W10" i="14"/>
  <c r="W9" i="14"/>
  <c r="O10" i="14"/>
  <c r="O9" i="14"/>
  <c r="W14" i="14"/>
  <c r="R14" i="14"/>
  <c r="O14" i="14"/>
  <c r="E14" i="14"/>
  <c r="E27" i="14"/>
  <c r="E23" i="14"/>
  <c r="W38" i="15"/>
  <c r="W37" i="15"/>
  <c r="R38" i="15"/>
  <c r="R37" i="15"/>
  <c r="O38" i="15"/>
  <c r="O37" i="15"/>
  <c r="E38" i="15"/>
  <c r="E37" i="15"/>
  <c r="W20" i="15"/>
  <c r="W19" i="15"/>
  <c r="W18" i="15"/>
  <c r="W17" i="15"/>
  <c r="R20" i="15"/>
  <c r="R19" i="15"/>
  <c r="R18" i="15"/>
  <c r="R17" i="15"/>
  <c r="O20" i="15"/>
  <c r="O19" i="15"/>
  <c r="O18" i="15"/>
  <c r="O17" i="15"/>
  <c r="E20" i="15"/>
  <c r="E19" i="15"/>
  <c r="E18" i="15"/>
  <c r="E17" i="15"/>
  <c r="R26" i="15"/>
  <c r="R25" i="15"/>
  <c r="R24" i="15"/>
  <c r="W26" i="15"/>
  <c r="W25" i="15"/>
  <c r="W24" i="15"/>
  <c r="O26" i="15"/>
  <c r="O25" i="15"/>
  <c r="O24" i="15"/>
  <c r="E26" i="15"/>
  <c r="E25" i="15"/>
  <c r="E24" i="15"/>
  <c r="E8" i="25"/>
  <c r="W58" i="21"/>
  <c r="O58" i="21"/>
  <c r="R33" i="21"/>
  <c r="R32" i="21"/>
  <c r="R38" i="21"/>
  <c r="R37" i="21"/>
  <c r="R36" i="21"/>
  <c r="R46" i="21"/>
  <c r="R45" i="21"/>
  <c r="R44" i="21"/>
  <c r="R58" i="21"/>
  <c r="R57" i="21"/>
  <c r="R56" i="21"/>
  <c r="R55" i="21"/>
  <c r="R54" i="21"/>
  <c r="R66" i="21"/>
  <c r="R65" i="21"/>
  <c r="R64" i="21"/>
  <c r="R63" i="21"/>
  <c r="R70" i="21"/>
  <c r="R69" i="21"/>
  <c r="R74" i="21"/>
  <c r="R73" i="21"/>
  <c r="R78" i="21"/>
  <c r="R77" i="21"/>
  <c r="R81" i="21"/>
  <c r="W98" i="21"/>
  <c r="W94" i="21"/>
  <c r="O98" i="21"/>
  <c r="O94" i="21"/>
  <c r="R99" i="21"/>
  <c r="R98" i="21"/>
  <c r="R97" i="21"/>
  <c r="R96" i="21"/>
  <c r="R95" i="21"/>
  <c r="R94" i="21"/>
  <c r="R93" i="21"/>
  <c r="R92" i="21"/>
  <c r="R91" i="21"/>
  <c r="R103" i="21"/>
  <c r="R115" i="21"/>
  <c r="R114" i="21"/>
  <c r="R113" i="21"/>
  <c r="R112" i="21"/>
  <c r="R111" i="21"/>
  <c r="R110" i="21"/>
  <c r="R109" i="21"/>
  <c r="R108" i="21"/>
  <c r="R107" i="21"/>
  <c r="R106" i="21"/>
  <c r="W110" i="21"/>
  <c r="O110" i="21"/>
  <c r="R137" i="21"/>
  <c r="R136" i="21"/>
  <c r="R135" i="21"/>
  <c r="R134" i="21"/>
  <c r="R133" i="21"/>
  <c r="R132" i="21"/>
  <c r="R131" i="21"/>
  <c r="R130" i="21"/>
  <c r="R129" i="21"/>
  <c r="R125" i="21"/>
  <c r="R124" i="21"/>
  <c r="O150" i="21"/>
  <c r="O149" i="21"/>
  <c r="W150" i="21"/>
  <c r="W149" i="21"/>
  <c r="R150" i="21"/>
  <c r="R149" i="21"/>
  <c r="R148" i="21"/>
  <c r="R147" i="21"/>
  <c r="R146" i="21"/>
  <c r="R145" i="21"/>
  <c r="R144" i="21"/>
  <c r="R143" i="21"/>
  <c r="R142" i="21"/>
  <c r="R141" i="21"/>
  <c r="R140" i="21"/>
  <c r="R175" i="21"/>
  <c r="R174" i="21"/>
  <c r="R173" i="21"/>
  <c r="R172" i="21"/>
  <c r="R171" i="21"/>
  <c r="R170" i="21"/>
  <c r="R169" i="21"/>
  <c r="R168" i="21"/>
  <c r="R167" i="21"/>
  <c r="R166" i="21"/>
  <c r="R165" i="21"/>
  <c r="R164" i="21"/>
  <c r="R163" i="21"/>
  <c r="R162" i="21"/>
  <c r="R161" i="21"/>
  <c r="R160" i="21"/>
  <c r="R159" i="21"/>
  <c r="R158" i="21"/>
  <c r="R157" i="21"/>
  <c r="R156" i="21"/>
  <c r="R155" i="21"/>
  <c r="R154" i="21"/>
  <c r="R153" i="21"/>
  <c r="R193" i="21"/>
  <c r="R192" i="21"/>
  <c r="R191" i="21"/>
  <c r="R190" i="21"/>
  <c r="R189" i="21"/>
  <c r="R188" i="21"/>
  <c r="R187" i="21"/>
  <c r="R186" i="21"/>
  <c r="R185" i="21"/>
  <c r="R184" i="21"/>
  <c r="R183" i="21"/>
  <c r="R208" i="21"/>
  <c r="R207" i="21"/>
  <c r="R206" i="21"/>
  <c r="R205" i="21"/>
  <c r="R204" i="21"/>
  <c r="R203" i="21"/>
  <c r="R202" i="21"/>
  <c r="R201" i="21"/>
  <c r="R200" i="21"/>
  <c r="R199" i="21"/>
  <c r="R198" i="21"/>
  <c r="R197" i="21"/>
  <c r="R196" i="21"/>
  <c r="R211" i="21"/>
  <c r="W212" i="21"/>
  <c r="R212" i="21"/>
  <c r="O212" i="21"/>
  <c r="W180" i="21"/>
  <c r="R180" i="21"/>
  <c r="O180" i="21"/>
  <c r="R182" i="21"/>
  <c r="W181" i="21"/>
  <c r="O181" i="21"/>
  <c r="R210" i="21"/>
  <c r="W209" i="21"/>
  <c r="O209" i="21"/>
  <c r="R195" i="21"/>
  <c r="W194" i="21"/>
  <c r="O194" i="21"/>
  <c r="R152" i="21"/>
  <c r="W151" i="21"/>
  <c r="O151" i="21"/>
  <c r="R139" i="21"/>
  <c r="R128" i="21"/>
  <c r="W127" i="21"/>
  <c r="O127" i="21"/>
  <c r="R123" i="21"/>
  <c r="W122" i="21"/>
  <c r="O122" i="21"/>
  <c r="W117" i="21"/>
  <c r="R117" i="21"/>
  <c r="O117" i="21"/>
  <c r="R105" i="21"/>
  <c r="W104" i="21"/>
  <c r="O104" i="21"/>
  <c r="R102" i="21"/>
  <c r="W101" i="21"/>
  <c r="O101" i="21"/>
  <c r="R90" i="21"/>
  <c r="W89" i="21"/>
  <c r="W88" i="21" s="1"/>
  <c r="O89" i="21"/>
  <c r="W87" i="21"/>
  <c r="R87" i="21"/>
  <c r="O87" i="21"/>
  <c r="W86" i="21"/>
  <c r="R86" i="21"/>
  <c r="O86" i="21"/>
  <c r="W85" i="21"/>
  <c r="R85" i="21"/>
  <c r="O85" i="21"/>
  <c r="W84" i="21"/>
  <c r="R84" i="21"/>
  <c r="O84" i="21"/>
  <c r="W83" i="21"/>
  <c r="R83" i="21"/>
  <c r="O83" i="21"/>
  <c r="W82" i="21"/>
  <c r="R82" i="21"/>
  <c r="O82" i="21"/>
  <c r="R80" i="21"/>
  <c r="W79" i="21"/>
  <c r="O79" i="21"/>
  <c r="R76" i="21"/>
  <c r="W75" i="21"/>
  <c r="O75" i="21"/>
  <c r="R72" i="21"/>
  <c r="W71" i="21"/>
  <c r="O71" i="21"/>
  <c r="R68" i="21"/>
  <c r="R62" i="21"/>
  <c r="W67" i="21"/>
  <c r="O67" i="21"/>
  <c r="W61" i="21"/>
  <c r="O61" i="21"/>
  <c r="R35" i="21"/>
  <c r="W34" i="21"/>
  <c r="O34" i="21"/>
  <c r="R28" i="21"/>
  <c r="R27" i="21"/>
  <c r="R26" i="21"/>
  <c r="W24" i="21"/>
  <c r="R25" i="21"/>
  <c r="O24" i="21"/>
  <c r="W30" i="21"/>
  <c r="W29" i="21" s="1"/>
  <c r="O30" i="21"/>
  <c r="O29" i="21" s="1"/>
  <c r="O23" i="21" s="1"/>
  <c r="R53" i="21"/>
  <c r="R52" i="21" s="1"/>
  <c r="W52" i="21"/>
  <c r="W51" i="21" s="1"/>
  <c r="O52" i="21"/>
  <c r="O51" i="21" s="1"/>
  <c r="R37" i="14"/>
  <c r="R36" i="14"/>
  <c r="R35" i="14"/>
  <c r="R34" i="14"/>
  <c r="R33" i="14"/>
  <c r="R45" i="14"/>
  <c r="R44" i="14"/>
  <c r="R43" i="14"/>
  <c r="R60" i="14"/>
  <c r="R59" i="14"/>
  <c r="R58" i="14"/>
  <c r="R57" i="14"/>
  <c r="R56" i="14"/>
  <c r="R55" i="14"/>
  <c r="R54" i="14"/>
  <c r="R53" i="14"/>
  <c r="R52" i="14"/>
  <c r="R71" i="14"/>
  <c r="R70" i="14"/>
  <c r="R69" i="14"/>
  <c r="R68" i="14"/>
  <c r="R67" i="14"/>
  <c r="R77" i="14"/>
  <c r="R76" i="14"/>
  <c r="R80" i="14"/>
  <c r="R84" i="14"/>
  <c r="R83" i="14"/>
  <c r="R87" i="14"/>
  <c r="R90" i="14"/>
  <c r="R99" i="14"/>
  <c r="R98" i="14"/>
  <c r="R97" i="14"/>
  <c r="R96" i="14"/>
  <c r="R95" i="14"/>
  <c r="R94" i="14"/>
  <c r="R93" i="14"/>
  <c r="R111" i="14"/>
  <c r="R110" i="14"/>
  <c r="R109" i="14"/>
  <c r="R108" i="14"/>
  <c r="R107" i="14"/>
  <c r="R106" i="14"/>
  <c r="R105" i="14"/>
  <c r="R104" i="14"/>
  <c r="R116" i="14"/>
  <c r="R129" i="14"/>
  <c r="R128" i="14"/>
  <c r="R127" i="14"/>
  <c r="R126" i="14"/>
  <c r="R125" i="14"/>
  <c r="R124" i="14"/>
  <c r="R123" i="14"/>
  <c r="R122" i="14"/>
  <c r="R121" i="14"/>
  <c r="R120" i="14"/>
  <c r="R118" i="14"/>
  <c r="R139" i="14"/>
  <c r="R138" i="14"/>
  <c r="R151" i="14"/>
  <c r="R150" i="14"/>
  <c r="R149" i="14"/>
  <c r="R148" i="14"/>
  <c r="R147" i="14"/>
  <c r="R146" i="14"/>
  <c r="R145" i="14"/>
  <c r="R144" i="14"/>
  <c r="R143" i="14"/>
  <c r="R162" i="14"/>
  <c r="R161" i="14"/>
  <c r="R160" i="14"/>
  <c r="R159" i="14"/>
  <c r="R158" i="14"/>
  <c r="R157" i="14"/>
  <c r="R156" i="14"/>
  <c r="R155" i="14"/>
  <c r="R154" i="14"/>
  <c r="R185" i="14"/>
  <c r="R184" i="14"/>
  <c r="R183" i="14"/>
  <c r="R182" i="14"/>
  <c r="R181" i="14"/>
  <c r="R180" i="14"/>
  <c r="R179" i="14"/>
  <c r="R178" i="14"/>
  <c r="R177" i="14"/>
  <c r="R176" i="14"/>
  <c r="R175" i="14"/>
  <c r="R174" i="14"/>
  <c r="R173" i="14"/>
  <c r="R172" i="14"/>
  <c r="R171" i="14"/>
  <c r="R170" i="14"/>
  <c r="R169" i="14"/>
  <c r="R168" i="14"/>
  <c r="R167" i="14"/>
  <c r="R166" i="14"/>
  <c r="R165" i="14"/>
  <c r="R200" i="14"/>
  <c r="R199" i="14"/>
  <c r="R198" i="14"/>
  <c r="R197" i="14"/>
  <c r="R196" i="14"/>
  <c r="R207" i="14"/>
  <c r="R206" i="14"/>
  <c r="R205" i="14"/>
  <c r="R204" i="14"/>
  <c r="R221" i="14"/>
  <c r="R220" i="14"/>
  <c r="R219" i="14"/>
  <c r="R218" i="14"/>
  <c r="R217" i="14"/>
  <c r="R216" i="14"/>
  <c r="R215" i="14"/>
  <c r="R214" i="14"/>
  <c r="R213" i="14"/>
  <c r="R212" i="14"/>
  <c r="R211" i="14"/>
  <c r="R210" i="14"/>
  <c r="R209" i="14"/>
  <c r="W208" i="14"/>
  <c r="O208" i="14"/>
  <c r="R203" i="14"/>
  <c r="W202" i="14"/>
  <c r="O202" i="14"/>
  <c r="R195" i="14"/>
  <c r="W194" i="14"/>
  <c r="O194" i="14"/>
  <c r="W191" i="14"/>
  <c r="W190" i="14" s="1"/>
  <c r="O191" i="14"/>
  <c r="R164" i="14"/>
  <c r="W163" i="14"/>
  <c r="O163" i="14"/>
  <c r="R153" i="14"/>
  <c r="W152" i="14"/>
  <c r="O152" i="14"/>
  <c r="W141" i="14"/>
  <c r="O141" i="14"/>
  <c r="R142" i="14"/>
  <c r="R137" i="14"/>
  <c r="W136" i="14"/>
  <c r="O136" i="14"/>
  <c r="W131" i="14"/>
  <c r="R131" i="14"/>
  <c r="O131" i="14"/>
  <c r="R119" i="14"/>
  <c r="R115" i="14"/>
  <c r="W114" i="14"/>
  <c r="W113" i="14" s="1"/>
  <c r="O114" i="14"/>
  <c r="R103" i="14"/>
  <c r="R92" i="14"/>
  <c r="W91" i="14"/>
  <c r="O91" i="14"/>
  <c r="R89" i="14"/>
  <c r="W88" i="14"/>
  <c r="O88" i="14"/>
  <c r="R86" i="14"/>
  <c r="W85" i="14"/>
  <c r="O85" i="14"/>
  <c r="R82" i="14"/>
  <c r="W81" i="14"/>
  <c r="O81" i="14"/>
  <c r="R79" i="14"/>
  <c r="W78" i="14"/>
  <c r="O78" i="14"/>
  <c r="R66" i="14"/>
  <c r="R75" i="14"/>
  <c r="W74" i="14"/>
  <c r="O74" i="14"/>
  <c r="W50" i="14"/>
  <c r="R64" i="14"/>
  <c r="O62" i="14"/>
  <c r="O50" i="14"/>
  <c r="R61" i="16"/>
  <c r="R60" i="16"/>
  <c r="R59" i="16"/>
  <c r="R53" i="16"/>
  <c r="R41" i="16"/>
  <c r="R124" i="10" l="1"/>
  <c r="E31" i="15"/>
  <c r="E30" i="15"/>
  <c r="E16" i="13"/>
  <c r="E19" i="12"/>
  <c r="E18" i="12"/>
  <c r="E22" i="11"/>
  <c r="O72" i="10"/>
  <c r="O23" i="10" s="1"/>
  <c r="R77" i="10"/>
  <c r="R48" i="13"/>
  <c r="R58" i="13"/>
  <c r="R69" i="13"/>
  <c r="R104" i="13"/>
  <c r="R103" i="13" s="1"/>
  <c r="R18" i="13" s="1"/>
  <c r="R82" i="11"/>
  <c r="R67" i="11" s="1"/>
  <c r="R105" i="11"/>
  <c r="R104" i="11" s="1"/>
  <c r="R119" i="11"/>
  <c r="R170" i="13"/>
  <c r="R194" i="14"/>
  <c r="R49" i="12"/>
  <c r="R96" i="11"/>
  <c r="R95" i="11" s="1"/>
  <c r="R123" i="11"/>
  <c r="R189" i="11"/>
  <c r="W118" i="11"/>
  <c r="W24" i="11" s="1"/>
  <c r="R101" i="21"/>
  <c r="R79" i="21"/>
  <c r="R32" i="14"/>
  <c r="R18" i="14" s="1"/>
  <c r="R181" i="21"/>
  <c r="O60" i="21"/>
  <c r="O50" i="21" s="1"/>
  <c r="O14" i="21" s="1"/>
  <c r="R71" i="21"/>
  <c r="O43" i="10"/>
  <c r="O22" i="10" s="1"/>
  <c r="R72" i="12"/>
  <c r="R183" i="11"/>
  <c r="R121" i="10"/>
  <c r="R112" i="10" s="1"/>
  <c r="R109" i="10" s="1"/>
  <c r="R108" i="10" s="1"/>
  <c r="R107" i="10" s="1"/>
  <c r="R106" i="10" s="1"/>
  <c r="R69" i="11"/>
  <c r="O172" i="11"/>
  <c r="R62" i="13"/>
  <c r="R65" i="13"/>
  <c r="R77" i="13"/>
  <c r="R81" i="13"/>
  <c r="R91" i="13"/>
  <c r="R108" i="13"/>
  <c r="R159" i="13"/>
  <c r="R162" i="13"/>
  <c r="R136" i="12"/>
  <c r="R135" i="12" s="1"/>
  <c r="R78" i="12"/>
  <c r="R68" i="12"/>
  <c r="W158" i="13"/>
  <c r="O158" i="13"/>
  <c r="W103" i="13"/>
  <c r="W18" i="13" s="1"/>
  <c r="O103" i="13"/>
  <c r="O18" i="13" s="1"/>
  <c r="O80" i="13"/>
  <c r="W80" i="13"/>
  <c r="R92" i="13"/>
  <c r="R88" i="13"/>
  <c r="R80" i="13" s="1"/>
  <c r="R87" i="12"/>
  <c r="R86" i="12" s="1"/>
  <c r="R21" i="12" s="1"/>
  <c r="W58" i="12"/>
  <c r="O58" i="12"/>
  <c r="W86" i="12"/>
  <c r="W21" i="12" s="1"/>
  <c r="O86" i="12"/>
  <c r="O21" i="12" s="1"/>
  <c r="E9" i="12"/>
  <c r="F15" i="11"/>
  <c r="J15" i="11"/>
  <c r="L15" i="11" s="1"/>
  <c r="W43" i="10"/>
  <c r="W22" i="10" s="1"/>
  <c r="R73" i="10"/>
  <c r="W104" i="10"/>
  <c r="O104" i="10"/>
  <c r="R62" i="10"/>
  <c r="R56" i="10"/>
  <c r="R53" i="10"/>
  <c r="R138" i="21"/>
  <c r="W126" i="21"/>
  <c r="W121" i="21" s="1"/>
  <c r="W15" i="21" s="1"/>
  <c r="O126" i="21"/>
  <c r="O179" i="21"/>
  <c r="W179" i="21"/>
  <c r="R194" i="21"/>
  <c r="R151" i="21"/>
  <c r="R209" i="21" a="1"/>
  <c r="R209" i="21" s="1"/>
  <c r="R127" i="21"/>
  <c r="R126" i="21" s="1"/>
  <c r="R122" i="21"/>
  <c r="O121" i="21"/>
  <c r="O15" i="21" s="1"/>
  <c r="R104" i="21"/>
  <c r="R100" i="21" s="1"/>
  <c r="W100" i="21"/>
  <c r="O100" i="21"/>
  <c r="R89" i="21"/>
  <c r="R88" i="21" s="1"/>
  <c r="O88" i="21"/>
  <c r="R75" i="21"/>
  <c r="W60" i="21"/>
  <c r="R67" i="21"/>
  <c r="R61" i="21"/>
  <c r="R51" i="21"/>
  <c r="R34" i="21"/>
  <c r="W23" i="21"/>
  <c r="R24" i="21"/>
  <c r="R23" i="21" s="1"/>
  <c r="R12" i="21" s="1"/>
  <c r="R91" i="14"/>
  <c r="R208" i="14"/>
  <c r="R190" i="14"/>
  <c r="W189" i="14"/>
  <c r="O189" i="14"/>
  <c r="R163" i="14"/>
  <c r="O140" i="14"/>
  <c r="O21" i="14" s="1"/>
  <c r="R152" i="14"/>
  <c r="R141" i="14" s="1"/>
  <c r="W140" i="14"/>
  <c r="W135" i="14" s="1"/>
  <c r="O135" i="14"/>
  <c r="R136" i="14"/>
  <c r="R102" i="14"/>
  <c r="R101" i="14" s="1"/>
  <c r="R114" i="14"/>
  <c r="R117" i="14"/>
  <c r="O113" i="14"/>
  <c r="O49" i="14" s="1"/>
  <c r="O20" i="14" s="1"/>
  <c r="R88" i="14"/>
  <c r="R85" i="14"/>
  <c r="R74" i="14"/>
  <c r="R78" i="14"/>
  <c r="R81" i="14"/>
  <c r="W73" i="14"/>
  <c r="W49" i="14" s="1"/>
  <c r="W20" i="14" s="1"/>
  <c r="O73" i="14"/>
  <c r="R65" i="14"/>
  <c r="R63" i="14" s="1"/>
  <c r="R62" i="14" s="1"/>
  <c r="J9" i="12"/>
  <c r="H9" i="12"/>
  <c r="K9" i="12"/>
  <c r="R60" i="12"/>
  <c r="W50" i="21"/>
  <c r="W14" i="21" s="1"/>
  <c r="R121" i="21"/>
  <c r="R15" i="21" s="1"/>
  <c r="R65" i="10"/>
  <c r="E15" i="11"/>
  <c r="G15" i="11"/>
  <c r="I15" i="11" s="1"/>
  <c r="G9" i="12"/>
  <c r="R202" i="14"/>
  <c r="W12" i="21"/>
  <c r="O12" i="21"/>
  <c r="R87" i="26"/>
  <c r="R88" i="26"/>
  <c r="R89" i="26"/>
  <c r="R90" i="26"/>
  <c r="R91" i="26"/>
  <c r="R92" i="26"/>
  <c r="R93" i="26"/>
  <c r="R94" i="26"/>
  <c r="R95" i="26"/>
  <c r="R96" i="26"/>
  <c r="R97" i="26"/>
  <c r="R98" i="26"/>
  <c r="R99" i="26"/>
  <c r="R100" i="26"/>
  <c r="O62" i="26"/>
  <c r="O21" i="26" s="1"/>
  <c r="O85" i="26"/>
  <c r="O84" i="26"/>
  <c r="O83" i="26"/>
  <c r="O82" i="26"/>
  <c r="O81" i="26"/>
  <c r="O80" i="26"/>
  <c r="O79" i="26"/>
  <c r="O78" i="26"/>
  <c r="O77" i="26"/>
  <c r="R121" i="25"/>
  <c r="R120" i="25"/>
  <c r="R119" i="25"/>
  <c r="R118" i="25"/>
  <c r="R117" i="25"/>
  <c r="R116" i="25"/>
  <c r="R115" i="25"/>
  <c r="R114" i="25"/>
  <c r="R113" i="25"/>
  <c r="R112" i="25"/>
  <c r="R111" i="25"/>
  <c r="R110" i="25"/>
  <c r="R109" i="25"/>
  <c r="R108" i="25"/>
  <c r="R107" i="25"/>
  <c r="R106" i="25"/>
  <c r="R105" i="25"/>
  <c r="R104" i="25"/>
  <c r="R103" i="25"/>
  <c r="R102" i="25"/>
  <c r="R101" i="25"/>
  <c r="R100" i="25"/>
  <c r="R99" i="25"/>
  <c r="R98" i="25"/>
  <c r="R97" i="25"/>
  <c r="W58" i="25"/>
  <c r="W194" i="15"/>
  <c r="W189" i="15"/>
  <c r="W173" i="15"/>
  <c r="W163" i="15"/>
  <c r="W120" i="15"/>
  <c r="W116" i="15"/>
  <c r="W111" i="15"/>
  <c r="W110" i="15"/>
  <c r="W101" i="15"/>
  <c r="W98" i="15"/>
  <c r="W94" i="15"/>
  <c r="W87" i="15"/>
  <c r="W83" i="15"/>
  <c r="W73" i="15"/>
  <c r="W31" i="15" s="1"/>
  <c r="W65" i="15"/>
  <c r="W57" i="15"/>
  <c r="W53" i="15"/>
  <c r="W48" i="15"/>
  <c r="W43" i="15"/>
  <c r="W30" i="15" s="1"/>
  <c r="O43" i="15"/>
  <c r="O30" i="15" s="1"/>
  <c r="R60" i="15"/>
  <c r="R59" i="15"/>
  <c r="R56" i="15"/>
  <c r="R55" i="15"/>
  <c r="R52" i="15"/>
  <c r="R51" i="15"/>
  <c r="R50" i="15"/>
  <c r="R47" i="15"/>
  <c r="R46" i="15"/>
  <c r="R45" i="15"/>
  <c r="R69" i="15"/>
  <c r="R68" i="15"/>
  <c r="R77" i="15"/>
  <c r="R76" i="15"/>
  <c r="R75" i="15"/>
  <c r="R86" i="15"/>
  <c r="R85" i="15"/>
  <c r="R84" i="15"/>
  <c r="R93" i="15"/>
  <c r="R92" i="15"/>
  <c r="R91" i="15"/>
  <c r="R90" i="15"/>
  <c r="R89" i="15"/>
  <c r="R97" i="15"/>
  <c r="R96" i="15"/>
  <c r="R95" i="15"/>
  <c r="R100" i="15"/>
  <c r="R99" i="15"/>
  <c r="R107" i="15"/>
  <c r="R106" i="15"/>
  <c r="R105" i="15"/>
  <c r="R104" i="15"/>
  <c r="R103" i="15"/>
  <c r="R102" i="15"/>
  <c r="R119" i="15"/>
  <c r="R118" i="15"/>
  <c r="R158" i="15"/>
  <c r="R157" i="15"/>
  <c r="R156" i="15"/>
  <c r="R155" i="15"/>
  <c r="R154" i="15"/>
  <c r="R153" i="15"/>
  <c r="R152" i="15"/>
  <c r="R151" i="15"/>
  <c r="R150" i="15"/>
  <c r="R149" i="15"/>
  <c r="R148" i="15"/>
  <c r="R147" i="15"/>
  <c r="R146" i="15"/>
  <c r="R145" i="15"/>
  <c r="R144" i="15"/>
  <c r="R143" i="15"/>
  <c r="R142" i="15"/>
  <c r="R141" i="15"/>
  <c r="R140" i="15"/>
  <c r="R139" i="15"/>
  <c r="R138" i="15"/>
  <c r="R137" i="15"/>
  <c r="R136" i="15"/>
  <c r="R135" i="15"/>
  <c r="R134" i="15"/>
  <c r="R133" i="15"/>
  <c r="R132" i="15"/>
  <c r="R131" i="15"/>
  <c r="R130" i="15"/>
  <c r="R129" i="15"/>
  <c r="R128" i="15"/>
  <c r="R127" i="15"/>
  <c r="R126" i="15"/>
  <c r="R125" i="15"/>
  <c r="R124" i="15"/>
  <c r="R123" i="15"/>
  <c r="R122" i="15"/>
  <c r="R172" i="15"/>
  <c r="R171" i="15"/>
  <c r="R170" i="15"/>
  <c r="R169" i="15"/>
  <c r="R168" i="15"/>
  <c r="R167" i="15"/>
  <c r="R166" i="15"/>
  <c r="R165" i="15"/>
  <c r="R193" i="15"/>
  <c r="R192" i="15"/>
  <c r="R191" i="15"/>
  <c r="R187" i="15"/>
  <c r="R186" i="15"/>
  <c r="R185" i="15"/>
  <c r="R184" i="15"/>
  <c r="R183" i="15"/>
  <c r="R182" i="15"/>
  <c r="R181" i="15"/>
  <c r="R180" i="15"/>
  <c r="R179" i="15"/>
  <c r="R178" i="15"/>
  <c r="R177" i="15"/>
  <c r="R176" i="15"/>
  <c r="R175" i="15"/>
  <c r="R201" i="15"/>
  <c r="R200" i="15"/>
  <c r="R199" i="15"/>
  <c r="R198" i="15"/>
  <c r="R197" i="15"/>
  <c r="R196" i="15"/>
  <c r="E172" i="15"/>
  <c r="E171" i="15"/>
  <c r="E170" i="15"/>
  <c r="E169" i="15"/>
  <c r="E168" i="15"/>
  <c r="E167" i="15"/>
  <c r="E166" i="15"/>
  <c r="E165" i="15"/>
  <c r="E187" i="15"/>
  <c r="E186" i="15"/>
  <c r="E185" i="15"/>
  <c r="E184" i="15"/>
  <c r="E183" i="15"/>
  <c r="E182" i="15"/>
  <c r="E181" i="15"/>
  <c r="E180" i="15"/>
  <c r="E179" i="15"/>
  <c r="E178" i="15"/>
  <c r="E177" i="15"/>
  <c r="E176" i="15"/>
  <c r="E175" i="15"/>
  <c r="E174" i="15"/>
  <c r="E193" i="15"/>
  <c r="E192" i="15"/>
  <c r="E191" i="15"/>
  <c r="E190" i="15"/>
  <c r="E201" i="15"/>
  <c r="E200" i="15"/>
  <c r="E199" i="15"/>
  <c r="E198" i="15"/>
  <c r="E197" i="15"/>
  <c r="E196" i="15"/>
  <c r="E195" i="15"/>
  <c r="E164" i="15"/>
  <c r="R195" i="15"/>
  <c r="R190" i="15"/>
  <c r="R174" i="15"/>
  <c r="R164" i="15"/>
  <c r="R121" i="15"/>
  <c r="R117" i="15"/>
  <c r="O194" i="15"/>
  <c r="O189" i="15"/>
  <c r="O173" i="15"/>
  <c r="O163" i="15"/>
  <c r="O120" i="15"/>
  <c r="O116" i="15"/>
  <c r="R111" i="15"/>
  <c r="O111" i="15"/>
  <c r="R110" i="15"/>
  <c r="O110" i="15"/>
  <c r="O101" i="15"/>
  <c r="O98" i="15"/>
  <c r="O94" i="15"/>
  <c r="O87" i="15"/>
  <c r="O83" i="15"/>
  <c r="R67" i="15"/>
  <c r="O65" i="15"/>
  <c r="O57" i="15"/>
  <c r="O53" i="15"/>
  <c r="O48" i="15"/>
  <c r="W61" i="15"/>
  <c r="O61" i="15"/>
  <c r="R58" i="15"/>
  <c r="R54" i="15"/>
  <c r="R49" i="15"/>
  <c r="E9" i="15"/>
  <c r="E10" i="15"/>
  <c r="W11" i="15"/>
  <c r="W8" i="15"/>
  <c r="R11" i="15"/>
  <c r="R8" i="15"/>
  <c r="O8" i="15"/>
  <c r="O11" i="15"/>
  <c r="W39" i="15"/>
  <c r="R39" i="15"/>
  <c r="O39" i="15"/>
  <c r="R27" i="16"/>
  <c r="R26" i="16"/>
  <c r="R68" i="16"/>
  <c r="R67" i="16"/>
  <c r="R79" i="16"/>
  <c r="R82" i="16"/>
  <c r="R99" i="16"/>
  <c r="R98" i="16"/>
  <c r="R110" i="16"/>
  <c r="R109" i="16"/>
  <c r="R108" i="16"/>
  <c r="R107" i="16"/>
  <c r="R106" i="16"/>
  <c r="R105" i="16"/>
  <c r="R104" i="16"/>
  <c r="R132" i="16"/>
  <c r="R131" i="16"/>
  <c r="R130" i="16"/>
  <c r="R129" i="16"/>
  <c r="R128" i="16"/>
  <c r="R127" i="16"/>
  <c r="R126" i="16"/>
  <c r="R155" i="16"/>
  <c r="R153" i="16"/>
  <c r="R152" i="16"/>
  <c r="R151" i="16"/>
  <c r="R150" i="16"/>
  <c r="R149" i="16"/>
  <c r="R148" i="16"/>
  <c r="R147" i="16"/>
  <c r="R146" i="16"/>
  <c r="W144" i="16"/>
  <c r="W123" i="16"/>
  <c r="W102" i="16"/>
  <c r="W96" i="16"/>
  <c r="W91" i="16"/>
  <c r="W80" i="16"/>
  <c r="W69" i="16"/>
  <c r="W65" i="16"/>
  <c r="W64" i="16"/>
  <c r="W28" i="16"/>
  <c r="W24" i="16"/>
  <c r="R58" i="16"/>
  <c r="R145" i="16"/>
  <c r="R125" i="16"/>
  <c r="R103" i="16"/>
  <c r="R97" i="16"/>
  <c r="R91" i="16"/>
  <c r="R81" i="16"/>
  <c r="R78" i="16"/>
  <c r="R66" i="16"/>
  <c r="R30" i="16"/>
  <c r="R25" i="16"/>
  <c r="O28" i="16"/>
  <c r="O24" i="16"/>
  <c r="O144" i="16"/>
  <c r="O123" i="16"/>
  <c r="O102" i="16"/>
  <c r="O96" i="16"/>
  <c r="O91" i="16"/>
  <c r="O80" i="16"/>
  <c r="O69" i="16"/>
  <c r="O65" i="16"/>
  <c r="O64" i="16"/>
  <c r="W58" i="16"/>
  <c r="O58" i="16"/>
  <c r="W104" i="23"/>
  <c r="W97" i="23"/>
  <c r="W91" i="23"/>
  <c r="W88" i="23"/>
  <c r="W60" i="23"/>
  <c r="W57" i="23"/>
  <c r="W52" i="23"/>
  <c r="W48" i="23"/>
  <c r="W44" i="23"/>
  <c r="W41" i="23"/>
  <c r="O104" i="23"/>
  <c r="O97" i="23"/>
  <c r="O91" i="23"/>
  <c r="O88" i="23"/>
  <c r="O60" i="23"/>
  <c r="O57" i="23"/>
  <c r="O52" i="23"/>
  <c r="O48" i="23"/>
  <c r="O44" i="23"/>
  <c r="O41" i="23"/>
  <c r="R112" i="23"/>
  <c r="R111" i="23"/>
  <c r="R110" i="23"/>
  <c r="R109" i="23"/>
  <c r="R108" i="23"/>
  <c r="R107" i="23"/>
  <c r="R106" i="23"/>
  <c r="R105" i="23"/>
  <c r="R103" i="23"/>
  <c r="R102" i="23"/>
  <c r="R101" i="23"/>
  <c r="R100" i="23"/>
  <c r="R99" i="23"/>
  <c r="R98" i="23"/>
  <c r="R96" i="23"/>
  <c r="R95" i="23"/>
  <c r="R94" i="23"/>
  <c r="R93" i="23"/>
  <c r="R92" i="23"/>
  <c r="R90" i="23"/>
  <c r="R89" i="23"/>
  <c r="R68" i="23"/>
  <c r="R67" i="23"/>
  <c r="R66" i="23"/>
  <c r="R65" i="23"/>
  <c r="R64" i="23"/>
  <c r="R63" i="23"/>
  <c r="R62" i="23"/>
  <c r="R61" i="23"/>
  <c r="R59" i="23"/>
  <c r="R58" i="23"/>
  <c r="R57" i="23"/>
  <c r="R52" i="23"/>
  <c r="R51" i="23"/>
  <c r="R50" i="23"/>
  <c r="R49" i="23"/>
  <c r="R47" i="23"/>
  <c r="R46" i="23"/>
  <c r="R45" i="23"/>
  <c r="R43" i="23"/>
  <c r="R42" i="23"/>
  <c r="R41" i="23"/>
  <c r="R36" i="23"/>
  <c r="R35" i="23"/>
  <c r="R34" i="23"/>
  <c r="R27" i="23"/>
  <c r="R26" i="23"/>
  <c r="R25" i="23"/>
  <c r="R24" i="23"/>
  <c r="R22" i="23"/>
  <c r="R20" i="23"/>
  <c r="R19" i="23"/>
  <c r="R18" i="23"/>
  <c r="W16" i="23"/>
  <c r="W8" i="23" s="1"/>
  <c r="O16" i="23"/>
  <c r="O8" i="23" s="1"/>
  <c r="O88" i="20"/>
  <c r="O85" i="20"/>
  <c r="O11" i="20" s="1"/>
  <c r="R17" i="20"/>
  <c r="W88" i="20"/>
  <c r="W85" i="20"/>
  <c r="W80" i="20"/>
  <c r="W75" i="20"/>
  <c r="W71" i="20"/>
  <c r="W68" i="20"/>
  <c r="W49" i="20"/>
  <c r="W45" i="20"/>
  <c r="W41" i="20"/>
  <c r="W36" i="20"/>
  <c r="W18" i="20"/>
  <c r="W16" i="20"/>
  <c r="W8" i="20" s="1"/>
  <c r="W79" i="31"/>
  <c r="W78" i="31"/>
  <c r="W73" i="31"/>
  <c r="W72" i="31"/>
  <c r="W61" i="31"/>
  <c r="W60" i="31"/>
  <c r="W55" i="31"/>
  <c r="W42" i="31"/>
  <c r="W41" i="31"/>
  <c r="W39" i="31"/>
  <c r="W38" i="31"/>
  <c r="W27" i="31"/>
  <c r="W26" i="31"/>
  <c r="W23" i="31"/>
  <c r="R86" i="31"/>
  <c r="R85" i="31"/>
  <c r="R84" i="31"/>
  <c r="R83" i="31"/>
  <c r="R82" i="31"/>
  <c r="R81" i="31"/>
  <c r="R80" i="31"/>
  <c r="R78" i="31"/>
  <c r="R73" i="31"/>
  <c r="R72" i="31"/>
  <c r="R71" i="31"/>
  <c r="R70" i="31"/>
  <c r="R69" i="31"/>
  <c r="R68" i="31"/>
  <c r="R67" i="31"/>
  <c r="R66" i="31"/>
  <c r="R65" i="31"/>
  <c r="R64" i="31"/>
  <c r="R63" i="31"/>
  <c r="R62" i="31"/>
  <c r="R60" i="31"/>
  <c r="R59" i="31"/>
  <c r="R58" i="31"/>
  <c r="R57" i="31"/>
  <c r="R56" i="31"/>
  <c r="R47" i="31"/>
  <c r="R46" i="31"/>
  <c r="R45" i="31"/>
  <c r="R44" i="31"/>
  <c r="R43" i="31"/>
  <c r="R39" i="31"/>
  <c r="R38" i="31"/>
  <c r="R37" i="31"/>
  <c r="R36" i="31"/>
  <c r="R35" i="31"/>
  <c r="R34" i="31"/>
  <c r="R33" i="31"/>
  <c r="R32" i="31"/>
  <c r="R31" i="31"/>
  <c r="R30" i="31"/>
  <c r="R27" i="31"/>
  <c r="R26" i="31"/>
  <c r="R25" i="31"/>
  <c r="R24" i="31"/>
  <c r="R18" i="31"/>
  <c r="R17" i="31"/>
  <c r="O27" i="31"/>
  <c r="O26" i="31"/>
  <c r="O42" i="31"/>
  <c r="O41" i="31"/>
  <c r="O40" i="31" s="1"/>
  <c r="O39" i="31"/>
  <c r="O38" i="31"/>
  <c r="O23" i="31"/>
  <c r="O80" i="20"/>
  <c r="O75" i="20"/>
  <c r="O71" i="20"/>
  <c r="O68" i="20"/>
  <c r="O49" i="20"/>
  <c r="O45" i="20"/>
  <c r="O41" i="20"/>
  <c r="O36" i="20"/>
  <c r="R95" i="20"/>
  <c r="R94" i="20"/>
  <c r="R93" i="20"/>
  <c r="R92" i="20"/>
  <c r="R91" i="20"/>
  <c r="R90" i="20"/>
  <c r="R89" i="20"/>
  <c r="R87" i="20"/>
  <c r="R86" i="20"/>
  <c r="R85" i="20"/>
  <c r="R80" i="20"/>
  <c r="R79" i="20"/>
  <c r="R78" i="20"/>
  <c r="R77" i="20"/>
  <c r="R76" i="20"/>
  <c r="R74" i="20"/>
  <c r="R73" i="20"/>
  <c r="R72" i="20"/>
  <c r="R70" i="20"/>
  <c r="R69" i="20"/>
  <c r="R63" i="20"/>
  <c r="R62" i="20"/>
  <c r="R60" i="20"/>
  <c r="R59" i="20"/>
  <c r="R53" i="20"/>
  <c r="R52" i="20"/>
  <c r="R51" i="20"/>
  <c r="R50" i="20"/>
  <c r="R48" i="20"/>
  <c r="R47" i="20"/>
  <c r="R46" i="20"/>
  <c r="R44" i="20"/>
  <c r="R43" i="20"/>
  <c r="R42" i="20"/>
  <c r="R40" i="20"/>
  <c r="R39" i="20"/>
  <c r="R38" i="20"/>
  <c r="R37" i="20"/>
  <c r="R30" i="20"/>
  <c r="R27" i="20"/>
  <c r="R26" i="20"/>
  <c r="R25" i="20"/>
  <c r="R24" i="20"/>
  <c r="R23" i="20"/>
  <c r="R22" i="20"/>
  <c r="R21" i="20"/>
  <c r="R16" i="20"/>
  <c r="R8" i="20" s="1"/>
  <c r="O16" i="20"/>
  <c r="O8" i="20" s="1"/>
  <c r="R19" i="20"/>
  <c r="O18" i="20"/>
  <c r="O15" i="20" s="1"/>
  <c r="R29" i="20"/>
  <c r="O79" i="31"/>
  <c r="O78" i="31"/>
  <c r="O73" i="31"/>
  <c r="O72" i="31"/>
  <c r="O61" i="31"/>
  <c r="O60" i="31"/>
  <c r="O55" i="31"/>
  <c r="W49" i="31"/>
  <c r="R49" i="31"/>
  <c r="O49" i="31"/>
  <c r="W48" i="31"/>
  <c r="R48" i="31"/>
  <c r="O48" i="31"/>
  <c r="R41" i="31"/>
  <c r="R29" i="31"/>
  <c r="R28" i="31" s="1"/>
  <c r="W28" i="31"/>
  <c r="O28" i="31"/>
  <c r="R16" i="31"/>
  <c r="R15" i="31" s="1"/>
  <c r="R8" i="31" s="1"/>
  <c r="W15" i="31"/>
  <c r="W8" i="31" s="1"/>
  <c r="O15" i="31"/>
  <c r="O8" i="31" s="1"/>
  <c r="R23" i="31"/>
  <c r="R58" i="20"/>
  <c r="W57" i="20"/>
  <c r="W9" i="20" s="1"/>
  <c r="O57" i="20"/>
  <c r="O9" i="20" s="1"/>
  <c r="R33" i="23"/>
  <c r="W32" i="23"/>
  <c r="W9" i="23" s="1"/>
  <c r="O32" i="23"/>
  <c r="O9" i="23" s="1"/>
  <c r="R40" i="16"/>
  <c r="R39" i="16" s="1"/>
  <c r="R17" i="16" s="1"/>
  <c r="W39" i="16"/>
  <c r="W17" i="16" s="1"/>
  <c r="O39" i="16"/>
  <c r="O17" i="16" s="1"/>
  <c r="R42" i="14"/>
  <c r="R41" i="14" s="1"/>
  <c r="R19" i="14" s="1"/>
  <c r="W41" i="14"/>
  <c r="W19" i="14" s="1"/>
  <c r="O41" i="14"/>
  <c r="O19" i="14" s="1"/>
  <c r="R43" i="21"/>
  <c r="R42" i="21" s="1"/>
  <c r="R13" i="21" s="1"/>
  <c r="W42" i="21"/>
  <c r="W13" i="21" s="1"/>
  <c r="O42" i="21"/>
  <c r="O13" i="21" s="1"/>
  <c r="R36" i="10"/>
  <c r="R35" i="10" s="1"/>
  <c r="R21" i="10" s="1"/>
  <c r="W35" i="10"/>
  <c r="W21" i="10" s="1"/>
  <c r="O35" i="10"/>
  <c r="O21" i="10" s="1"/>
  <c r="R47" i="11"/>
  <c r="R46" i="11" s="1"/>
  <c r="R22" i="11" s="1"/>
  <c r="W46" i="11"/>
  <c r="W22" i="11" s="1"/>
  <c r="O46" i="11"/>
  <c r="O22" i="11" s="1"/>
  <c r="R39" i="12"/>
  <c r="R38" i="12" s="1"/>
  <c r="R19" i="12" s="1"/>
  <c r="W38" i="12"/>
  <c r="W19" i="12" s="1"/>
  <c r="O38" i="12"/>
  <c r="O19" i="12" s="1"/>
  <c r="R37" i="13"/>
  <c r="R36" i="13" s="1" a="1"/>
  <c r="R36" i="13" s="1"/>
  <c r="R16" i="13" s="1"/>
  <c r="W36" i="13"/>
  <c r="W16" i="13" s="1"/>
  <c r="O36" i="13"/>
  <c r="O16" i="13" s="1"/>
  <c r="R74" i="15"/>
  <c r="R73" i="15" s="1" a="1"/>
  <c r="R73" i="15" s="1"/>
  <c r="R31" i="15" s="1"/>
  <c r="O73" i="15"/>
  <c r="O31" i="15" s="1"/>
  <c r="W54" i="31"/>
  <c r="R54" i="31"/>
  <c r="O54" i="31"/>
  <c r="W35" i="20"/>
  <c r="R35" i="20"/>
  <c r="O35" i="20"/>
  <c r="R51" i="14"/>
  <c r="R50" i="14" s="1"/>
  <c r="R31" i="21"/>
  <c r="R30" i="21" s="1"/>
  <c r="R29" i="21" s="1"/>
  <c r="R13" i="22"/>
  <c r="R8" i="22" s="1"/>
  <c r="O13" i="22"/>
  <c r="O8" i="22" s="1"/>
  <c r="R46" i="10"/>
  <c r="R45" i="10" s="1"/>
  <c r="R44" i="10" s="1"/>
  <c r="R57" i="11"/>
  <c r="R56" i="11" s="1"/>
  <c r="R55" i="11" s="1"/>
  <c r="O55" i="11"/>
  <c r="W47" i="12"/>
  <c r="R48" i="12"/>
  <c r="R47" i="12" s="1"/>
  <c r="O47" i="12"/>
  <c r="W45" i="13"/>
  <c r="R47" i="13"/>
  <c r="R46" i="13" s="1"/>
  <c r="R45" i="13" s="1" a="1"/>
  <c r="R45" i="13" s="1"/>
  <c r="O45" i="13"/>
  <c r="O44" i="13" s="1"/>
  <c r="O17" i="13" s="1"/>
  <c r="W28" i="11"/>
  <c r="W21" i="11" s="1"/>
  <c r="R29" i="11"/>
  <c r="R28" i="11" s="1"/>
  <c r="R21" i="11" s="1"/>
  <c r="O28" i="11"/>
  <c r="O21" i="11" s="1"/>
  <c r="W30" i="12"/>
  <c r="R31" i="12"/>
  <c r="R30" i="12" s="1"/>
  <c r="O30" i="12"/>
  <c r="W28" i="13"/>
  <c r="W15" i="13" s="1"/>
  <c r="R29" i="13"/>
  <c r="R28" i="13" s="1"/>
  <c r="R15" i="13" s="1"/>
  <c r="O28" i="13"/>
  <c r="O15" i="13" s="1"/>
  <c r="R44" i="15"/>
  <c r="R20" i="10"/>
  <c r="O20" i="10"/>
  <c r="W18" i="12"/>
  <c r="R18" i="12"/>
  <c r="O18" i="12"/>
  <c r="W22" i="25"/>
  <c r="O22" i="25"/>
  <c r="W46" i="26"/>
  <c r="W62" i="26"/>
  <c r="W21" i="26" s="1"/>
  <c r="W104" i="26"/>
  <c r="W86" i="26"/>
  <c r="W77" i="26"/>
  <c r="W54" i="26"/>
  <c r="W43" i="26"/>
  <c r="W39" i="26"/>
  <c r="W30" i="26"/>
  <c r="W27" i="26"/>
  <c r="R87" i="27"/>
  <c r="R86" i="27"/>
  <c r="R85" i="27"/>
  <c r="R84" i="27"/>
  <c r="R83" i="27"/>
  <c r="R82" i="27"/>
  <c r="R76" i="27"/>
  <c r="R75" i="27"/>
  <c r="R74" i="27"/>
  <c r="R73" i="27"/>
  <c r="R71" i="27"/>
  <c r="R70" i="27"/>
  <c r="R69" i="27"/>
  <c r="R68" i="27"/>
  <c r="R67" i="27"/>
  <c r="R66" i="27"/>
  <c r="R65" i="27"/>
  <c r="R64" i="27"/>
  <c r="R58" i="27"/>
  <c r="R57" i="27"/>
  <c r="R56" i="27"/>
  <c r="R55" i="27"/>
  <c r="R54" i="27"/>
  <c r="R53" i="27"/>
  <c r="R46" i="27"/>
  <c r="R45" i="27"/>
  <c r="R44" i="27"/>
  <c r="R43" i="27"/>
  <c r="R38" i="27"/>
  <c r="R37" i="27"/>
  <c r="R36" i="27"/>
  <c r="R34" i="27"/>
  <c r="R33" i="27"/>
  <c r="R31" i="27"/>
  <c r="R30" i="27"/>
  <c r="R29" i="27"/>
  <c r="R27" i="27"/>
  <c r="R26" i="27"/>
  <c r="R25" i="27"/>
  <c r="R23" i="27"/>
  <c r="R22" i="27"/>
  <c r="W92" i="32"/>
  <c r="W91" i="32"/>
  <c r="W90" i="32"/>
  <c r="W89" i="32"/>
  <c r="W85" i="32"/>
  <c r="W84" i="32"/>
  <c r="W83" i="32"/>
  <c r="W82" i="32"/>
  <c r="W81" i="32"/>
  <c r="W80" i="32"/>
  <c r="W79" i="32"/>
  <c r="W78" i="32"/>
  <c r="W77" i="32"/>
  <c r="W76" i="32"/>
  <c r="W75" i="32"/>
  <c r="W74" i="32"/>
  <c r="W73" i="32"/>
  <c r="W72" i="32"/>
  <c r="W70" i="32"/>
  <c r="W69" i="32"/>
  <c r="W68" i="32"/>
  <c r="W67" i="32"/>
  <c r="W66" i="32"/>
  <c r="W65" i="32"/>
  <c r="W64" i="32"/>
  <c r="W63" i="32"/>
  <c r="W62" i="32"/>
  <c r="W61" i="32"/>
  <c r="W60" i="32"/>
  <c r="W59" i="32"/>
  <c r="W58" i="32"/>
  <c r="W57" i="32"/>
  <c r="W56" i="32"/>
  <c r="W55" i="32"/>
  <c r="W54" i="32"/>
  <c r="W53" i="32"/>
  <c r="W52" i="32"/>
  <c r="W51" i="32"/>
  <c r="W50" i="32"/>
  <c r="W49" i="32"/>
  <c r="W48" i="32"/>
  <c r="W47" i="32"/>
  <c r="W46" i="32"/>
  <c r="W45" i="32"/>
  <c r="W44" i="32"/>
  <c r="W43" i="32"/>
  <c r="W42" i="32"/>
  <c r="W41" i="32"/>
  <c r="W40" i="32"/>
  <c r="W39" i="32"/>
  <c r="W38" i="32"/>
  <c r="W37" i="32"/>
  <c r="W36" i="32"/>
  <c r="W35" i="32"/>
  <c r="W34" i="32"/>
  <c r="W29" i="32"/>
  <c r="W28" i="32"/>
  <c r="W27" i="32"/>
  <c r="W26" i="32"/>
  <c r="W21" i="32"/>
  <c r="W20" i="32"/>
  <c r="W19" i="32"/>
  <c r="R29" i="26"/>
  <c r="R28" i="26"/>
  <c r="R35" i="26"/>
  <c r="R34" i="26"/>
  <c r="R33" i="26"/>
  <c r="R32" i="26"/>
  <c r="R31" i="26"/>
  <c r="R38" i="26"/>
  <c r="R37" i="26"/>
  <c r="R40" i="26"/>
  <c r="R42" i="26"/>
  <c r="R41" i="26"/>
  <c r="R45" i="26"/>
  <c r="R44" i="26"/>
  <c r="R50" i="26"/>
  <c r="R49" i="26"/>
  <c r="R48" i="26"/>
  <c r="R47" i="26"/>
  <c r="R58" i="26"/>
  <c r="R57" i="26"/>
  <c r="R56" i="26"/>
  <c r="R55" i="26"/>
  <c r="R72" i="26"/>
  <c r="R71" i="26"/>
  <c r="R70" i="26"/>
  <c r="R69" i="26"/>
  <c r="R68" i="26"/>
  <c r="R67" i="26"/>
  <c r="R66" i="26"/>
  <c r="R65" i="26"/>
  <c r="R85" i="26"/>
  <c r="R84" i="26"/>
  <c r="R83" i="26"/>
  <c r="R82" i="26"/>
  <c r="R81" i="26"/>
  <c r="R80" i="26"/>
  <c r="R79" i="26"/>
  <c r="R78" i="26"/>
  <c r="R106" i="26"/>
  <c r="R105" i="26"/>
  <c r="O106" i="26"/>
  <c r="O105" i="26"/>
  <c r="O104" i="26"/>
  <c r="O86" i="26"/>
  <c r="O76" i="26" s="1"/>
  <c r="O22" i="26" s="1"/>
  <c r="O63" i="26"/>
  <c r="O54" i="26"/>
  <c r="O20" i="26" s="1"/>
  <c r="O50" i="26"/>
  <c r="O49" i="26"/>
  <c r="O48" i="26"/>
  <c r="O47" i="26"/>
  <c r="O46" i="26"/>
  <c r="O45" i="26"/>
  <c r="O44" i="26"/>
  <c r="O43" i="26"/>
  <c r="O42" i="26"/>
  <c r="O41" i="26"/>
  <c r="O40" i="26"/>
  <c r="O39" i="26"/>
  <c r="O38" i="26"/>
  <c r="O37" i="26"/>
  <c r="O36" i="26"/>
  <c r="O35" i="26"/>
  <c r="O34" i="26"/>
  <c r="O33" i="26"/>
  <c r="O32" i="26"/>
  <c r="O31" i="26"/>
  <c r="O30" i="26"/>
  <c r="O27" i="26"/>
  <c r="W20" i="26"/>
  <c r="W17" i="26"/>
  <c r="R17" i="26"/>
  <c r="O17" i="26"/>
  <c r="E17" i="26"/>
  <c r="O11" i="26"/>
  <c r="O21" i="27"/>
  <c r="R21" i="25"/>
  <c r="R20" i="25"/>
  <c r="R19" i="25"/>
  <c r="R28" i="25"/>
  <c r="R27" i="25"/>
  <c r="R26" i="25"/>
  <c r="R25" i="25"/>
  <c r="R24" i="25"/>
  <c r="R23" i="25"/>
  <c r="R32" i="25"/>
  <c r="R31" i="25"/>
  <c r="R30" i="25"/>
  <c r="R42" i="25"/>
  <c r="R41" i="25"/>
  <c r="R40" i="25"/>
  <c r="R39" i="25"/>
  <c r="R38" i="25"/>
  <c r="R37" i="25"/>
  <c r="R36" i="25"/>
  <c r="R35" i="25"/>
  <c r="R45" i="25"/>
  <c r="R44" i="25"/>
  <c r="R53" i="25"/>
  <c r="R52" i="25"/>
  <c r="R51" i="25"/>
  <c r="R50" i="25"/>
  <c r="R63" i="25"/>
  <c r="R62" i="25"/>
  <c r="R61" i="25"/>
  <c r="R60" i="25"/>
  <c r="R59" i="25"/>
  <c r="R70" i="25"/>
  <c r="R69" i="25"/>
  <c r="R68" i="25"/>
  <c r="R67" i="25"/>
  <c r="R66" i="25"/>
  <c r="R65" i="25"/>
  <c r="R73" i="25"/>
  <c r="R72" i="25"/>
  <c r="R71" i="25" s="1"/>
  <c r="R77" i="25"/>
  <c r="R76" i="25"/>
  <c r="R75" i="25"/>
  <c r="R81" i="25"/>
  <c r="R80" i="25"/>
  <c r="R79" i="25"/>
  <c r="R95" i="25"/>
  <c r="R94" i="25"/>
  <c r="R93" i="25"/>
  <c r="R92" i="25"/>
  <c r="R91" i="25"/>
  <c r="R90" i="25"/>
  <c r="R89" i="25"/>
  <c r="R88" i="25"/>
  <c r="R87" i="25"/>
  <c r="R123" i="25"/>
  <c r="R122" i="25"/>
  <c r="O96" i="25"/>
  <c r="O86" i="25"/>
  <c r="O78" i="25"/>
  <c r="O71" i="25"/>
  <c r="O64" i="25"/>
  <c r="O58" i="25"/>
  <c r="O12" i="25" s="1"/>
  <c r="O49" i="25"/>
  <c r="O11" i="25" s="1"/>
  <c r="O33" i="25"/>
  <c r="O29" i="25"/>
  <c r="W96" i="25"/>
  <c r="W86" i="25"/>
  <c r="W78" i="25"/>
  <c r="W71" i="25"/>
  <c r="W64" i="25"/>
  <c r="W49" i="25"/>
  <c r="W33" i="25"/>
  <c r="W29" i="25"/>
  <c r="W18" i="25"/>
  <c r="R80" i="16" l="1"/>
  <c r="R72" i="10"/>
  <c r="R23" i="10" s="1"/>
  <c r="R88" i="23"/>
  <c r="O84" i="23"/>
  <c r="R29" i="16"/>
  <c r="R28" i="16" s="1"/>
  <c r="R69" i="16"/>
  <c r="R105" i="10"/>
  <c r="R104" i="10"/>
  <c r="R189" i="14"/>
  <c r="R22" i="25"/>
  <c r="R39" i="26"/>
  <c r="K163" i="15"/>
  <c r="H163" i="15"/>
  <c r="G163" i="15"/>
  <c r="F163" i="15"/>
  <c r="J163" i="15"/>
  <c r="E189" i="15"/>
  <c r="G189" i="15"/>
  <c r="J189" i="15"/>
  <c r="F189" i="15"/>
  <c r="H189" i="15"/>
  <c r="K189" i="15"/>
  <c r="W115" i="15"/>
  <c r="W33" i="15" s="1"/>
  <c r="R88" i="15"/>
  <c r="I9" i="12"/>
  <c r="R113" i="14"/>
  <c r="W44" i="13"/>
  <c r="W17" i="13" s="1"/>
  <c r="R22" i="31"/>
  <c r="R9" i="31" s="1"/>
  <c r="R179" i="21"/>
  <c r="R56" i="13"/>
  <c r="R182" i="11"/>
  <c r="R173" i="11" s="1"/>
  <c r="R172" i="11" s="1"/>
  <c r="E173" i="15"/>
  <c r="K173" i="15"/>
  <c r="F173" i="15"/>
  <c r="G173" i="15"/>
  <c r="J173" i="15"/>
  <c r="H173" i="15"/>
  <c r="R81" i="15"/>
  <c r="R32" i="15" s="1"/>
  <c r="R58" i="12"/>
  <c r="R118" i="11"/>
  <c r="R24" i="11" s="1"/>
  <c r="K194" i="15"/>
  <c r="J194" i="15"/>
  <c r="J188" i="15" s="1"/>
  <c r="G194" i="15"/>
  <c r="H194" i="15"/>
  <c r="H188" i="15" s="1"/>
  <c r="H162" i="15" s="1"/>
  <c r="F194" i="15"/>
  <c r="F188" i="15" s="1"/>
  <c r="F162" i="15" s="1"/>
  <c r="K188" i="15"/>
  <c r="K162" i="15" s="1"/>
  <c r="R78" i="25"/>
  <c r="R74" i="25"/>
  <c r="R43" i="25"/>
  <c r="O188" i="15"/>
  <c r="R158" i="13"/>
  <c r="W46" i="12"/>
  <c r="W20" i="12" s="1"/>
  <c r="W76" i="26"/>
  <c r="W22" i="26" s="1"/>
  <c r="R77" i="26"/>
  <c r="R46" i="26"/>
  <c r="R43" i="26"/>
  <c r="R104" i="26"/>
  <c r="R54" i="26"/>
  <c r="R20" i="26" s="1"/>
  <c r="R36" i="26"/>
  <c r="W26" i="26"/>
  <c r="O26" i="26"/>
  <c r="O19" i="26" s="1"/>
  <c r="W85" i="25"/>
  <c r="W13" i="25" s="1"/>
  <c r="R43" i="15"/>
  <c r="R30" i="15" s="1"/>
  <c r="R48" i="15"/>
  <c r="R53" i="15"/>
  <c r="R57" i="15"/>
  <c r="R66" i="15"/>
  <c r="R65" i="15"/>
  <c r="R98" i="15"/>
  <c r="R94" i="15"/>
  <c r="R83" i="15"/>
  <c r="W81" i="15"/>
  <c r="W32" i="15" s="1"/>
  <c r="R101" i="15"/>
  <c r="R116" i="15"/>
  <c r="O115" i="15"/>
  <c r="O33" i="15" s="1"/>
  <c r="R120" i="15"/>
  <c r="R115" i="15" s="1"/>
  <c r="R33" i="15" s="1"/>
  <c r="R163" i="15"/>
  <c r="O162" i="15"/>
  <c r="R189" i="15"/>
  <c r="W188" i="15"/>
  <c r="W162" i="15" s="1"/>
  <c r="E163" i="15"/>
  <c r="R44" i="13"/>
  <c r="R17" i="13" s="1"/>
  <c r="R46" i="12"/>
  <c r="R20" i="12" s="1"/>
  <c r="O46" i="12"/>
  <c r="O20" i="12" s="1"/>
  <c r="L9" i="12"/>
  <c r="R54" i="11"/>
  <c r="R23" i="11" s="1"/>
  <c r="R52" i="10" a="1"/>
  <c r="R52" i="10" s="1"/>
  <c r="R43" i="10" s="1"/>
  <c r="R22" i="10" s="1"/>
  <c r="R60" i="21"/>
  <c r="R50" i="21" s="1"/>
  <c r="R14" i="21" s="1"/>
  <c r="R140" i="14"/>
  <c r="R135" i="14" s="1"/>
  <c r="R73" i="14"/>
  <c r="R49" i="14" s="1"/>
  <c r="R20" i="14" s="1"/>
  <c r="W23" i="16"/>
  <c r="W16" i="16" s="1"/>
  <c r="R24" i="16"/>
  <c r="O23" i="16"/>
  <c r="O16" i="16" s="1"/>
  <c r="R64" i="16"/>
  <c r="R65" i="16"/>
  <c r="O63" i="16"/>
  <c r="O57" i="16" s="1"/>
  <c r="O18" i="16" s="1"/>
  <c r="W63" i="16"/>
  <c r="W57" i="16" s="1"/>
  <c r="W18" i="16" s="1"/>
  <c r="R96" i="16"/>
  <c r="W100" i="16"/>
  <c r="W95" i="16" s="1"/>
  <c r="W19" i="16" s="1"/>
  <c r="R123" i="16"/>
  <c r="O100" i="16"/>
  <c r="O95" i="16" s="1"/>
  <c r="O19" i="16" s="1"/>
  <c r="R144" i="16"/>
  <c r="R23" i="23"/>
  <c r="R21" i="23" s="1"/>
  <c r="R17" i="23" s="1"/>
  <c r="R16" i="23" s="1"/>
  <c r="R8" i="23" s="1"/>
  <c r="R44" i="23"/>
  <c r="W40" i="23"/>
  <c r="W10" i="23" s="1"/>
  <c r="R48" i="23"/>
  <c r="W56" i="23"/>
  <c r="W11" i="23" s="1"/>
  <c r="R91" i="23"/>
  <c r="R97" i="23"/>
  <c r="R104" i="23"/>
  <c r="O40" i="23"/>
  <c r="O10" i="23" s="1"/>
  <c r="O56" i="23"/>
  <c r="O11" i="23" s="1"/>
  <c r="W15" i="20"/>
  <c r="R15" i="20"/>
  <c r="R28" i="20"/>
  <c r="R36" i="20"/>
  <c r="R34" i="20" s="1"/>
  <c r="R41" i="20"/>
  <c r="O34" i="20"/>
  <c r="R45" i="20"/>
  <c r="R49" i="20"/>
  <c r="W34" i="20"/>
  <c r="R57" i="20"/>
  <c r="R9" i="20" s="1"/>
  <c r="R61" i="20" s="1"/>
  <c r="R68" i="20"/>
  <c r="R71" i="20"/>
  <c r="W67" i="20"/>
  <c r="W10" i="20" s="1"/>
  <c r="O67" i="20"/>
  <c r="R75" i="20"/>
  <c r="O84" i="20"/>
  <c r="W84" i="20"/>
  <c r="W11" i="20" s="1"/>
  <c r="R88" i="20"/>
  <c r="R84" i="20" s="1"/>
  <c r="R11" i="20" s="1"/>
  <c r="W40" i="31"/>
  <c r="W22" i="31" s="1"/>
  <c r="W9" i="31" s="1"/>
  <c r="R42" i="31"/>
  <c r="R40" i="31" s="1"/>
  <c r="O22" i="31"/>
  <c r="O9" i="31" s="1"/>
  <c r="R61" i="31"/>
  <c r="R55" i="31"/>
  <c r="W53" i="31"/>
  <c r="W10" i="31" s="1"/>
  <c r="W77" i="31"/>
  <c r="W11" i="31" s="1"/>
  <c r="R79" i="31"/>
  <c r="R77" i="31" s="1"/>
  <c r="R11" i="31" s="1"/>
  <c r="O77" i="31"/>
  <c r="O11" i="31" s="1"/>
  <c r="O53" i="31"/>
  <c r="O10" i="31" s="1"/>
  <c r="R29" i="25"/>
  <c r="W57" i="25"/>
  <c r="O57" i="25"/>
  <c r="R96" i="25"/>
  <c r="R64" i="25"/>
  <c r="R34" i="25"/>
  <c r="R18" i="25"/>
  <c r="O81" i="15"/>
  <c r="O32" i="15" s="1"/>
  <c r="E194" i="15"/>
  <c r="W21" i="14"/>
  <c r="R194" i="15"/>
  <c r="R173" i="15"/>
  <c r="R49" i="25"/>
  <c r="R11" i="25" s="1"/>
  <c r="R26" i="26"/>
  <c r="R19" i="26" s="1"/>
  <c r="R27" i="26"/>
  <c r="R86" i="26"/>
  <c r="R64" i="26"/>
  <c r="R63" i="26" s="1"/>
  <c r="R30" i="26"/>
  <c r="R102" i="16"/>
  <c r="R188" i="15"/>
  <c r="R32" i="23"/>
  <c r="R9" i="23" s="1"/>
  <c r="O10" i="20"/>
  <c r="R20" i="20"/>
  <c r="R18" i="20" s="1"/>
  <c r="W17" i="25"/>
  <c r="W19" i="26"/>
  <c r="R58" i="25"/>
  <c r="R57" i="25" s="1"/>
  <c r="R86" i="25"/>
  <c r="O45" i="25"/>
  <c r="O44" i="25"/>
  <c r="O43" i="25"/>
  <c r="O42" i="25"/>
  <c r="O41" i="25"/>
  <c r="O40" i="25"/>
  <c r="O39" i="25"/>
  <c r="O38" i="25"/>
  <c r="O37" i="25"/>
  <c r="O36" i="25"/>
  <c r="O35" i="25"/>
  <c r="O34" i="25"/>
  <c r="O32" i="25"/>
  <c r="O31" i="25"/>
  <c r="O30" i="25"/>
  <c r="W21" i="27"/>
  <c r="O24" i="27"/>
  <c r="O18" i="25"/>
  <c r="O53" i="25"/>
  <c r="O52" i="25"/>
  <c r="O51" i="25"/>
  <c r="O50" i="25"/>
  <c r="O63" i="25"/>
  <c r="O62" i="25"/>
  <c r="O61" i="25"/>
  <c r="O60" i="25"/>
  <c r="O59" i="25"/>
  <c r="O70" i="25"/>
  <c r="O69" i="25"/>
  <c r="O68" i="25"/>
  <c r="O67" i="25"/>
  <c r="O66" i="25"/>
  <c r="O65" i="25"/>
  <c r="O77" i="25"/>
  <c r="O76" i="25"/>
  <c r="O75" i="25"/>
  <c r="O74" i="25"/>
  <c r="O73" i="25"/>
  <c r="O72" i="25"/>
  <c r="O81" i="25"/>
  <c r="O80" i="25"/>
  <c r="O79"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5" i="25"/>
  <c r="O94" i="25"/>
  <c r="O93" i="25"/>
  <c r="O92" i="25"/>
  <c r="O91" i="25"/>
  <c r="O90" i="25"/>
  <c r="O89" i="25"/>
  <c r="O88" i="25"/>
  <c r="O87" i="25"/>
  <c r="O85" i="25"/>
  <c r="O13" i="25" s="1"/>
  <c r="W12" i="25"/>
  <c r="W11" i="25"/>
  <c r="W10" i="25"/>
  <c r="W9" i="27"/>
  <c r="R9" i="27"/>
  <c r="O9" i="27"/>
  <c r="E9" i="27"/>
  <c r="W28" i="27"/>
  <c r="R20" i="32"/>
  <c r="R21" i="32"/>
  <c r="R19" i="32"/>
  <c r="W80" i="27"/>
  <c r="W72" i="27"/>
  <c r="W63" i="27"/>
  <c r="W50" i="27"/>
  <c r="W15" i="27" s="1"/>
  <c r="W42" i="27"/>
  <c r="W14" i="27" s="1"/>
  <c r="W35" i="27"/>
  <c r="W32" i="27"/>
  <c r="W36" i="27"/>
  <c r="W33" i="27"/>
  <c r="W30" i="27"/>
  <c r="W27" i="27"/>
  <c r="W24" i="27"/>
  <c r="O28" i="27"/>
  <c r="O32" i="27"/>
  <c r="O35" i="27"/>
  <c r="O42" i="27"/>
  <c r="O14" i="27" s="1"/>
  <c r="O50" i="27"/>
  <c r="O15" i="27" s="1"/>
  <c r="O63" i="27"/>
  <c r="O72" i="27"/>
  <c r="O80" i="27"/>
  <c r="O33" i="29"/>
  <c r="V33" i="29"/>
  <c r="R92" i="32"/>
  <c r="O92" i="32"/>
  <c r="J92" i="32"/>
  <c r="G92" i="32"/>
  <c r="E92" i="32"/>
  <c r="R91" i="32"/>
  <c r="O91" i="32"/>
  <c r="J91" i="32"/>
  <c r="G91" i="32"/>
  <c r="E91" i="32"/>
  <c r="R90" i="32"/>
  <c r="R89" i="32" s="1"/>
  <c r="R14" i="32" s="1"/>
  <c r="O90" i="32"/>
  <c r="J90" i="32"/>
  <c r="G90" i="32"/>
  <c r="E90" i="32"/>
  <c r="W14" i="32"/>
  <c r="O89" i="32"/>
  <c r="O14" i="32" s="1"/>
  <c r="R85" i="32"/>
  <c r="O85" i="32"/>
  <c r="E85" i="32"/>
  <c r="K85" i="32" s="1"/>
  <c r="R84" i="32"/>
  <c r="R82" i="32" s="1"/>
  <c r="J84" i="32"/>
  <c r="G84" i="32"/>
  <c r="E84" i="32"/>
  <c r="R83" i="32"/>
  <c r="J83" i="32"/>
  <c r="G83" i="32"/>
  <c r="E83" i="32"/>
  <c r="G82" i="32" s="1"/>
  <c r="O82" i="32"/>
  <c r="R81" i="32"/>
  <c r="J81" i="32"/>
  <c r="G81" i="32"/>
  <c r="E81" i="32"/>
  <c r="R80" i="32"/>
  <c r="R78" i="32" s="1"/>
  <c r="J80" i="32"/>
  <c r="G80" i="32"/>
  <c r="E80" i="32"/>
  <c r="R79" i="32"/>
  <c r="J79" i="32"/>
  <c r="G79" i="32"/>
  <c r="E79" i="32"/>
  <c r="O78" i="32"/>
  <c r="R77" i="32"/>
  <c r="G77" i="32"/>
  <c r="E77" i="32"/>
  <c r="R76" i="32"/>
  <c r="R75" i="32" s="1"/>
  <c r="J76" i="32"/>
  <c r="G76" i="32"/>
  <c r="E76" i="32"/>
  <c r="O75" i="32"/>
  <c r="R74" i="32"/>
  <c r="J74" i="32"/>
  <c r="G74" i="32"/>
  <c r="E74" i="32"/>
  <c r="K72" i="32" s="1"/>
  <c r="R73" i="32"/>
  <c r="J73" i="32"/>
  <c r="G73" i="32"/>
  <c r="E73" i="32"/>
  <c r="O72" i="32"/>
  <c r="O71" i="32" s="1"/>
  <c r="R70" i="32"/>
  <c r="G70" i="32"/>
  <c r="E70" i="32"/>
  <c r="R69" i="32"/>
  <c r="G69" i="32"/>
  <c r="E69" i="32"/>
  <c r="R68" i="32"/>
  <c r="G68" i="32"/>
  <c r="E68" i="32"/>
  <c r="R67" i="32"/>
  <c r="G67" i="32"/>
  <c r="E67" i="32"/>
  <c r="R66" i="32"/>
  <c r="G66" i="32"/>
  <c r="E66" i="32"/>
  <c r="E65" i="32" s="1"/>
  <c r="O65" i="32"/>
  <c r="R64" i="32"/>
  <c r="J64" i="32"/>
  <c r="G64" i="32"/>
  <c r="E64" i="32"/>
  <c r="R63" i="32"/>
  <c r="J63" i="32"/>
  <c r="G63" i="32"/>
  <c r="E63" i="32"/>
  <c r="R62" i="32"/>
  <c r="J62" i="32"/>
  <c r="G62" i="32"/>
  <c r="E62" i="32"/>
  <c r="R61" i="32"/>
  <c r="J61" i="32"/>
  <c r="G61" i="32"/>
  <c r="E61" i="32"/>
  <c r="R60" i="32"/>
  <c r="R59" i="32" s="1"/>
  <c r="J60" i="32"/>
  <c r="G60" i="32"/>
  <c r="E60" i="32"/>
  <c r="O59" i="32"/>
  <c r="R58" i="32"/>
  <c r="J58" i="32"/>
  <c r="G58" i="32"/>
  <c r="E58" i="32"/>
  <c r="K56" i="32" s="1"/>
  <c r="R57" i="32"/>
  <c r="J57" i="32"/>
  <c r="G57" i="32"/>
  <c r="E57" i="32"/>
  <c r="O56" i="32"/>
  <c r="R55" i="32"/>
  <c r="J55" i="32"/>
  <c r="G55" i="32"/>
  <c r="E55" i="32"/>
  <c r="R54" i="32"/>
  <c r="J54" i="32"/>
  <c r="G54" i="32"/>
  <c r="E54" i="32"/>
  <c r="H52" i="32" s="1"/>
  <c r="R53" i="32"/>
  <c r="J53" i="32"/>
  <c r="G53" i="32"/>
  <c r="E53" i="32"/>
  <c r="E52" i="32" s="1"/>
  <c r="O52" i="32"/>
  <c r="R51" i="32"/>
  <c r="J51" i="32"/>
  <c r="G51" i="32"/>
  <c r="E51" i="32"/>
  <c r="R50" i="32"/>
  <c r="J50" i="32"/>
  <c r="G50" i="32"/>
  <c r="E50" i="32"/>
  <c r="O49" i="32"/>
  <c r="R48" i="32"/>
  <c r="J48" i="32"/>
  <c r="G48" i="32"/>
  <c r="E48" i="32"/>
  <c r="R47" i="32"/>
  <c r="J47" i="32"/>
  <c r="G47" i="32"/>
  <c r="E47" i="32"/>
  <c r="O46" i="32"/>
  <c r="R45" i="32"/>
  <c r="J45" i="32"/>
  <c r="G45" i="32"/>
  <c r="E45" i="32"/>
  <c r="R44" i="32"/>
  <c r="J44" i="32"/>
  <c r="G44" i="32"/>
  <c r="E44" i="32"/>
  <c r="R43" i="32"/>
  <c r="J43" i="32"/>
  <c r="G43" i="32"/>
  <c r="E43" i="32"/>
  <c r="O42" i="32"/>
  <c r="R41" i="32"/>
  <c r="G41" i="32"/>
  <c r="E41" i="32"/>
  <c r="R40" i="32"/>
  <c r="G40" i="32"/>
  <c r="E40" i="32"/>
  <c r="R39" i="32"/>
  <c r="J39" i="32"/>
  <c r="G39" i="32"/>
  <c r="E39" i="32"/>
  <c r="O38" i="32"/>
  <c r="R37" i="32"/>
  <c r="J37" i="32"/>
  <c r="G37" i="32"/>
  <c r="E37" i="32"/>
  <c r="R36" i="32"/>
  <c r="J36" i="32"/>
  <c r="G36" i="32"/>
  <c r="E36" i="32"/>
  <c r="R35" i="32"/>
  <c r="J35" i="32"/>
  <c r="G35" i="32"/>
  <c r="E35" i="32"/>
  <c r="O34" i="32"/>
  <c r="R29" i="32"/>
  <c r="J29" i="32"/>
  <c r="G29" i="32"/>
  <c r="E29" i="32"/>
  <c r="R28" i="32"/>
  <c r="J28" i="32"/>
  <c r="G28" i="32"/>
  <c r="E28" i="32"/>
  <c r="R27" i="32"/>
  <c r="J27" i="32"/>
  <c r="G27" i="32"/>
  <c r="E27" i="32"/>
  <c r="W25" i="32"/>
  <c r="W12" i="32" s="1"/>
  <c r="R26" i="32"/>
  <c r="O25" i="32"/>
  <c r="O12" i="32" s="1"/>
  <c r="J26" i="32"/>
  <c r="G26" i="32"/>
  <c r="E26" i="32"/>
  <c r="E21" i="32"/>
  <c r="E20" i="32"/>
  <c r="W18" i="32"/>
  <c r="W11" i="32" s="1"/>
  <c r="O19" i="32"/>
  <c r="O18" i="32" s="1"/>
  <c r="O11" i="32" s="1"/>
  <c r="E19" i="32"/>
  <c r="J114" i="11"/>
  <c r="G114" i="11"/>
  <c r="J32" i="11"/>
  <c r="J31" i="11"/>
  <c r="J30" i="11"/>
  <c r="J29" i="11"/>
  <c r="E168" i="11"/>
  <c r="J155" i="12"/>
  <c r="J154" i="12"/>
  <c r="J153" i="12"/>
  <c r="J152" i="12"/>
  <c r="J151" i="12"/>
  <c r="J150" i="12"/>
  <c r="J149" i="12"/>
  <c r="J148" i="12"/>
  <c r="J147" i="12"/>
  <c r="J146" i="12"/>
  <c r="J144" i="12"/>
  <c r="J143" i="12"/>
  <c r="J142" i="12"/>
  <c r="J141" i="12"/>
  <c r="J140" i="12"/>
  <c r="J139" i="12"/>
  <c r="J138" i="12"/>
  <c r="J137"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E120" i="13"/>
  <c r="J63" i="12"/>
  <c r="J62" i="12"/>
  <c r="J61" i="12"/>
  <c r="J67" i="12"/>
  <c r="J66" i="12"/>
  <c r="J65" i="12"/>
  <c r="J80" i="12"/>
  <c r="J79" i="12"/>
  <c r="J71" i="12"/>
  <c r="J70" i="12"/>
  <c r="J69" i="12"/>
  <c r="J77" i="12"/>
  <c r="J76" i="12"/>
  <c r="J75" i="12"/>
  <c r="J74" i="12"/>
  <c r="J73" i="12"/>
  <c r="J59" i="12"/>
  <c r="J56" i="12"/>
  <c r="J55" i="12"/>
  <c r="J54" i="12"/>
  <c r="J53" i="12"/>
  <c r="J52" i="12"/>
  <c r="J51" i="12"/>
  <c r="J50" i="12"/>
  <c r="J48" i="12"/>
  <c r="J34" i="12"/>
  <c r="J33" i="12"/>
  <c r="J32" i="12"/>
  <c r="J31" i="12"/>
  <c r="G56" i="12"/>
  <c r="G55" i="12"/>
  <c r="J82" i="12"/>
  <c r="G82" i="12"/>
  <c r="J16" i="12"/>
  <c r="G16" i="12"/>
  <c r="J15" i="12"/>
  <c r="G15" i="12"/>
  <c r="G85" i="15"/>
  <c r="J39" i="15"/>
  <c r="G39" i="15"/>
  <c r="J38" i="15"/>
  <c r="G38" i="15"/>
  <c r="J37" i="15"/>
  <c r="G37" i="15"/>
  <c r="E39" i="15"/>
  <c r="F39" i="15" s="1"/>
  <c r="F38" i="15"/>
  <c r="F37" i="15"/>
  <c r="E42" i="11"/>
  <c r="E41" i="11"/>
  <c r="G98" i="10"/>
  <c r="G97" i="10"/>
  <c r="G96" i="10"/>
  <c r="G95" i="10"/>
  <c r="G94" i="10"/>
  <c r="G93" i="10"/>
  <c r="G92" i="10"/>
  <c r="G91" i="10"/>
  <c r="G90" i="10"/>
  <c r="G89" i="10"/>
  <c r="G88" i="10"/>
  <c r="G87" i="10"/>
  <c r="G86" i="10"/>
  <c r="G85" i="10"/>
  <c r="G84" i="10"/>
  <c r="G83" i="10"/>
  <c r="G82" i="10"/>
  <c r="G81" i="10"/>
  <c r="G80" i="10"/>
  <c r="G79" i="10"/>
  <c r="G78" i="10"/>
  <c r="J100" i="10"/>
  <c r="J99" i="10"/>
  <c r="J98" i="10"/>
  <c r="J97" i="10"/>
  <c r="J96" i="10"/>
  <c r="J95" i="10"/>
  <c r="J94" i="10"/>
  <c r="J93" i="10"/>
  <c r="J92" i="10"/>
  <c r="J91" i="10"/>
  <c r="J90" i="10"/>
  <c r="J89" i="10"/>
  <c r="J88" i="10"/>
  <c r="J87" i="10"/>
  <c r="J86" i="10"/>
  <c r="J85" i="10"/>
  <c r="J84" i="10"/>
  <c r="J83" i="10"/>
  <c r="J82" i="10"/>
  <c r="J81" i="10"/>
  <c r="J80" i="10"/>
  <c r="J79" i="10"/>
  <c r="J78" i="10"/>
  <c r="J68" i="10"/>
  <c r="J67" i="10"/>
  <c r="J66" i="10"/>
  <c r="J64" i="10"/>
  <c r="J63" i="10"/>
  <c r="J61" i="10"/>
  <c r="J60" i="10"/>
  <c r="J59" i="10"/>
  <c r="J58" i="10"/>
  <c r="J57" i="10"/>
  <c r="J51" i="10"/>
  <c r="J50" i="10"/>
  <c r="J49" i="10"/>
  <c r="J48" i="10"/>
  <c r="J47" i="10"/>
  <c r="J46" i="10"/>
  <c r="G51" i="10"/>
  <c r="G50" i="10"/>
  <c r="G49" i="10"/>
  <c r="G48" i="10"/>
  <c r="G47" i="10"/>
  <c r="G46" i="10"/>
  <c r="J12" i="14"/>
  <c r="J11" i="14"/>
  <c r="J14" i="14"/>
  <c r="J13" i="15"/>
  <c r="G13" i="15"/>
  <c r="J12" i="15"/>
  <c r="G12" i="15"/>
  <c r="J11" i="13"/>
  <c r="G11" i="13"/>
  <c r="J10" i="13"/>
  <c r="G10" i="13"/>
  <c r="J16" i="10"/>
  <c r="J15" i="10"/>
  <c r="G16" i="10"/>
  <c r="G15" i="10"/>
  <c r="G31" i="10"/>
  <c r="G30" i="10"/>
  <c r="G29" i="10"/>
  <c r="G28" i="10"/>
  <c r="H86" i="15"/>
  <c r="F86" i="15" s="1"/>
  <c r="G86" i="15"/>
  <c r="E86" i="15"/>
  <c r="E85" i="15"/>
  <c r="G84" i="15"/>
  <c r="E84" i="15"/>
  <c r="E49" i="32" l="1"/>
  <c r="H75" i="32"/>
  <c r="E75" i="32"/>
  <c r="E71" i="32" s="1"/>
  <c r="K46" i="32"/>
  <c r="E42" i="32"/>
  <c r="F38" i="32"/>
  <c r="J78" i="32"/>
  <c r="J72" i="32"/>
  <c r="R33" i="25"/>
  <c r="R84" i="23"/>
  <c r="R60" i="23" s="1"/>
  <c r="R56" i="23" s="1"/>
  <c r="R11" i="23" s="1"/>
  <c r="G42" i="32"/>
  <c r="R23" i="16"/>
  <c r="R16" i="16" s="1"/>
  <c r="F18" i="32"/>
  <c r="I189" i="15"/>
  <c r="H38" i="32"/>
  <c r="F52" i="32"/>
  <c r="K59" i="32"/>
  <c r="H78" i="32"/>
  <c r="F85" i="32"/>
  <c r="K78" i="32"/>
  <c r="G85" i="32"/>
  <c r="I173" i="15"/>
  <c r="L189" i="15"/>
  <c r="E56" i="32"/>
  <c r="H49" i="32"/>
  <c r="G38" i="32"/>
  <c r="G75" i="32"/>
  <c r="E78" i="32"/>
  <c r="H85" i="32"/>
  <c r="J42" i="32"/>
  <c r="H42" i="32"/>
  <c r="G46" i="32"/>
  <c r="F49" i="32"/>
  <c r="H56" i="32"/>
  <c r="F78" i="32"/>
  <c r="F82" i="32"/>
  <c r="E82" i="32"/>
  <c r="J85" i="32"/>
  <c r="R76" i="26"/>
  <c r="R22" i="26" s="1"/>
  <c r="F56" i="32"/>
  <c r="G56" i="32"/>
  <c r="J38" i="32"/>
  <c r="K42" i="32"/>
  <c r="H46" i="32"/>
  <c r="G49" i="32"/>
  <c r="E59" i="32"/>
  <c r="G78" i="32"/>
  <c r="R40" i="23"/>
  <c r="R10" i="23" s="1"/>
  <c r="K89" i="32"/>
  <c r="K49" i="32"/>
  <c r="H59" i="32"/>
  <c r="H65" i="32"/>
  <c r="E72" i="32"/>
  <c r="H72" i="32"/>
  <c r="H71" i="32" s="1"/>
  <c r="K82" i="32"/>
  <c r="I163" i="15"/>
  <c r="L194" i="15"/>
  <c r="J162" i="15"/>
  <c r="I194" i="15"/>
  <c r="G188" i="15"/>
  <c r="E188" i="15"/>
  <c r="E162" i="15" s="1"/>
  <c r="R56" i="32"/>
  <c r="R49" i="32"/>
  <c r="R52" i="32"/>
  <c r="R46" i="32"/>
  <c r="R18" i="32"/>
  <c r="R11" i="32" s="1"/>
  <c r="W20" i="27"/>
  <c r="W13" i="27" s="1"/>
  <c r="O20" i="27"/>
  <c r="O13" i="27" s="1"/>
  <c r="R62" i="26"/>
  <c r="R21" i="26" s="1"/>
  <c r="R87" i="15"/>
  <c r="R162" i="15"/>
  <c r="R61" i="15" s="1"/>
  <c r="R21" i="14"/>
  <c r="R63" i="16"/>
  <c r="R57" i="16" s="1"/>
  <c r="R18" i="16" s="1"/>
  <c r="R100" i="16"/>
  <c r="R95" i="16" s="1"/>
  <c r="R19" i="16" s="1"/>
  <c r="R67" i="20"/>
  <c r="R10" i="20" s="1"/>
  <c r="R53" i="31"/>
  <c r="R10" i="31" s="1"/>
  <c r="R17" i="25"/>
  <c r="R10" i="25" s="1"/>
  <c r="F83" i="15"/>
  <c r="R12" i="25"/>
  <c r="R85" i="25"/>
  <c r="R13" i="25" s="1"/>
  <c r="O17" i="25"/>
  <c r="R72" i="27"/>
  <c r="R32" i="27"/>
  <c r="R42" i="27"/>
  <c r="R14" i="27" s="1"/>
  <c r="R35" i="27"/>
  <c r="R24" i="27"/>
  <c r="R38" i="32"/>
  <c r="R42" i="32"/>
  <c r="W62" i="27"/>
  <c r="W16" i="27" s="1"/>
  <c r="R52" i="27"/>
  <c r="R51" i="27" s="1"/>
  <c r="R50" i="27" s="1"/>
  <c r="R15" i="27" s="1"/>
  <c r="R81" i="27"/>
  <c r="R80" i="27" s="1"/>
  <c r="R28" i="27"/>
  <c r="R63" i="27"/>
  <c r="R21" i="27"/>
  <c r="O62" i="27"/>
  <c r="O16" i="27" s="1"/>
  <c r="J65" i="32"/>
  <c r="K65" i="32"/>
  <c r="G65" i="32"/>
  <c r="G89" i="32"/>
  <c r="H89" i="32"/>
  <c r="J89" i="32"/>
  <c r="F89" i="32"/>
  <c r="E89" i="32"/>
  <c r="E14" i="32" s="1"/>
  <c r="W71" i="32"/>
  <c r="W33" i="32" s="1"/>
  <c r="W13" i="32" s="1"/>
  <c r="R72" i="32"/>
  <c r="R71" i="32" s="1"/>
  <c r="R65" i="32"/>
  <c r="R25" i="32"/>
  <c r="R12" i="32" s="1"/>
  <c r="H18" i="32"/>
  <c r="E25" i="32"/>
  <c r="E12" i="32" s="1"/>
  <c r="K25" i="32"/>
  <c r="F25" i="32"/>
  <c r="H25" i="32"/>
  <c r="G25" i="32"/>
  <c r="J18" i="32"/>
  <c r="O33" i="32"/>
  <c r="O13" i="32" s="1"/>
  <c r="K18" i="32"/>
  <c r="J25" i="32"/>
  <c r="K38" i="32"/>
  <c r="E46" i="32"/>
  <c r="J49" i="32"/>
  <c r="L49" i="32" s="1"/>
  <c r="G52" i="32"/>
  <c r="F65" i="32"/>
  <c r="F46" i="32"/>
  <c r="F59" i="32"/>
  <c r="J75" i="32"/>
  <c r="H82" i="32"/>
  <c r="E18" i="32"/>
  <c r="E11" i="32" s="1"/>
  <c r="E38" i="32"/>
  <c r="F42" i="32"/>
  <c r="J56" i="32"/>
  <c r="G59" i="32"/>
  <c r="F72" i="32"/>
  <c r="K75" i="32"/>
  <c r="K71" i="32" s="1"/>
  <c r="J52" i="32"/>
  <c r="G72" i="32"/>
  <c r="J82" i="32"/>
  <c r="G18" i="32"/>
  <c r="F34" i="32"/>
  <c r="K52" i="32"/>
  <c r="J46" i="32"/>
  <c r="J59" i="32"/>
  <c r="F75" i="32"/>
  <c r="K40" i="11"/>
  <c r="E40" i="11"/>
  <c r="J40" i="11"/>
  <c r="E83" i="15"/>
  <c r="G83" i="15"/>
  <c r="H83" i="15"/>
  <c r="L72" i="32" l="1"/>
  <c r="J71" i="32"/>
  <c r="I49" i="32"/>
  <c r="L59" i="32"/>
  <c r="I78" i="32"/>
  <c r="I65" i="32"/>
  <c r="L56" i="32"/>
  <c r="I52" i="32"/>
  <c r="I42" i="32"/>
  <c r="L38" i="32"/>
  <c r="G71" i="32"/>
  <c r="L52" i="32"/>
  <c r="I82" i="32"/>
  <c r="I56" i="32"/>
  <c r="L46" i="32"/>
  <c r="L75" i="32"/>
  <c r="J34" i="32"/>
  <c r="L78" i="32"/>
  <c r="I59" i="32"/>
  <c r="I46" i="32"/>
  <c r="L82" i="32"/>
  <c r="L188" i="15"/>
  <c r="L162" i="15"/>
  <c r="I188" i="15"/>
  <c r="G162" i="15"/>
  <c r="I162" i="15" s="1"/>
  <c r="L173" i="15"/>
  <c r="R28" i="23"/>
  <c r="R20" i="27"/>
  <c r="R13" i="27" s="1"/>
  <c r="R62" i="27"/>
  <c r="R16" i="27" s="1"/>
  <c r="R34" i="32"/>
  <c r="R33" i="32" s="1"/>
  <c r="R13" i="32" s="1"/>
  <c r="L89" i="32"/>
  <c r="I89" i="32"/>
  <c r="I25" i="32"/>
  <c r="L25" i="32"/>
  <c r="I18" i="32"/>
  <c r="H34" i="32"/>
  <c r="H33" i="32" s="1"/>
  <c r="L18" i="32"/>
  <c r="G34" i="32"/>
  <c r="K34" i="32"/>
  <c r="E34" i="32"/>
  <c r="I75" i="32"/>
  <c r="I72" i="32"/>
  <c r="F71" i="32"/>
  <c r="L65" i="32"/>
  <c r="L42" i="32"/>
  <c r="I38" i="32"/>
  <c r="I83" i="15"/>
  <c r="I71" i="32" l="1"/>
  <c r="G33" i="32"/>
  <c r="L71" i="32"/>
  <c r="L163" i="15"/>
  <c r="L34" i="32"/>
  <c r="E33" i="32"/>
  <c r="E13" i="32" s="1"/>
  <c r="F33" i="32"/>
  <c r="K33" i="32"/>
  <c r="J33" i="32"/>
  <c r="I34" i="32"/>
  <c r="J77" i="15"/>
  <c r="G77" i="15"/>
  <c r="E77" i="15"/>
  <c r="J76" i="15"/>
  <c r="G76" i="15"/>
  <c r="E76" i="15"/>
  <c r="J75" i="15"/>
  <c r="G75" i="15"/>
  <c r="E75" i="15"/>
  <c r="J74" i="15"/>
  <c r="G74" i="15"/>
  <c r="E74" i="15"/>
  <c r="J158" i="15"/>
  <c r="J157" i="15"/>
  <c r="J156" i="15"/>
  <c r="J155" i="15"/>
  <c r="J154" i="15"/>
  <c r="J153" i="15"/>
  <c r="J152" i="15"/>
  <c r="J151" i="15"/>
  <c r="J150" i="15"/>
  <c r="J149" i="15"/>
  <c r="J148" i="15"/>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J110" i="15"/>
  <c r="J107" i="15"/>
  <c r="J106" i="15"/>
  <c r="J105" i="15"/>
  <c r="J104" i="15"/>
  <c r="J103" i="15"/>
  <c r="J102" i="15"/>
  <c r="J100" i="15"/>
  <c r="J99" i="15"/>
  <c r="J97" i="15"/>
  <c r="J96" i="15"/>
  <c r="J95" i="15"/>
  <c r="J93" i="15"/>
  <c r="J92" i="15"/>
  <c r="J91" i="15"/>
  <c r="J90" i="15"/>
  <c r="J89" i="15"/>
  <c r="G69" i="15"/>
  <c r="G68" i="15"/>
  <c r="G67" i="15"/>
  <c r="G92" i="15"/>
  <c r="G91" i="15"/>
  <c r="G97" i="15"/>
  <c r="G99" i="15"/>
  <c r="G110" i="15"/>
  <c r="G107" i="15"/>
  <c r="G106" i="15"/>
  <c r="G105" i="15"/>
  <c r="G104" i="15"/>
  <c r="G61" i="15"/>
  <c r="G60" i="15"/>
  <c r="J61" i="15"/>
  <c r="J60" i="15"/>
  <c r="J59" i="15"/>
  <c r="J58" i="15"/>
  <c r="J56" i="15"/>
  <c r="J55" i="15"/>
  <c r="J54" i="15"/>
  <c r="J52" i="15"/>
  <c r="J51" i="15"/>
  <c r="J50" i="15"/>
  <c r="J49" i="15"/>
  <c r="E61" i="15"/>
  <c r="J47" i="15"/>
  <c r="J46" i="15"/>
  <c r="J45" i="15"/>
  <c r="J44" i="15"/>
  <c r="G32" i="13"/>
  <c r="J32" i="13"/>
  <c r="J31" i="13"/>
  <c r="J30" i="13"/>
  <c r="J29" i="13"/>
  <c r="J182" i="13"/>
  <c r="J181" i="13"/>
  <c r="J180" i="13"/>
  <c r="J179" i="13"/>
  <c r="J178" i="13"/>
  <c r="J177" i="13"/>
  <c r="J176" i="13"/>
  <c r="J175" i="13"/>
  <c r="J174" i="13"/>
  <c r="J173" i="13"/>
  <c r="J172" i="13"/>
  <c r="J171" i="13"/>
  <c r="J169" i="13"/>
  <c r="J168" i="13"/>
  <c r="J167" i="13"/>
  <c r="J166" i="13"/>
  <c r="J165" i="13"/>
  <c r="J164" i="13"/>
  <c r="J163" i="13"/>
  <c r="J154" i="13"/>
  <c r="J153" i="13"/>
  <c r="J152" i="13"/>
  <c r="J151" i="13"/>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E164" i="13"/>
  <c r="G164" i="13"/>
  <c r="J161" i="13"/>
  <c r="G161" i="13"/>
  <c r="E161" i="13"/>
  <c r="J160" i="13"/>
  <c r="G160" i="13"/>
  <c r="E160" i="13"/>
  <c r="G55" i="13"/>
  <c r="G54" i="13"/>
  <c r="J50" i="13"/>
  <c r="J49" i="13"/>
  <c r="J55" i="13"/>
  <c r="J54" i="13"/>
  <c r="J53" i="13"/>
  <c r="J52" i="13"/>
  <c r="J51" i="13"/>
  <c r="J57" i="13"/>
  <c r="J61" i="13"/>
  <c r="J60" i="13"/>
  <c r="J59" i="13"/>
  <c r="J64" i="13"/>
  <c r="J63" i="13"/>
  <c r="J68" i="13"/>
  <c r="J67" i="13"/>
  <c r="J66" i="13"/>
  <c r="J76" i="13"/>
  <c r="J75" i="13"/>
  <c r="J74" i="13"/>
  <c r="J73" i="13"/>
  <c r="J72" i="13"/>
  <c r="J71" i="13"/>
  <c r="J70" i="13"/>
  <c r="J79" i="13"/>
  <c r="J78" i="13"/>
  <c r="J87" i="13"/>
  <c r="J86" i="13"/>
  <c r="J85" i="13"/>
  <c r="J84" i="13"/>
  <c r="J83" i="13"/>
  <c r="J82" i="13"/>
  <c r="J90" i="13"/>
  <c r="J89" i="13"/>
  <c r="J99" i="13"/>
  <c r="J98" i="13"/>
  <c r="J97" i="13"/>
  <c r="J96" i="13"/>
  <c r="J95" i="13"/>
  <c r="J94" i="13"/>
  <c r="J93" i="13"/>
  <c r="E76" i="13"/>
  <c r="E75" i="13"/>
  <c r="J30" i="10"/>
  <c r="E30" i="10"/>
  <c r="J29" i="10"/>
  <c r="E29" i="10"/>
  <c r="G95" i="20"/>
  <c r="E95" i="20"/>
  <c r="G94" i="20"/>
  <c r="E94" i="20"/>
  <c r="G93" i="20"/>
  <c r="E93" i="20"/>
  <c r="G92" i="20"/>
  <c r="E92" i="20"/>
  <c r="G91" i="20"/>
  <c r="E91" i="20"/>
  <c r="G90" i="20"/>
  <c r="E90" i="20"/>
  <c r="G89" i="20"/>
  <c r="E89" i="20"/>
  <c r="G159" i="13" l="1"/>
  <c r="K73" i="15"/>
  <c r="I33" i="32"/>
  <c r="L33" i="32"/>
  <c r="E159" i="13"/>
  <c r="E73" i="15" a="1"/>
  <c r="E73" i="15" s="1"/>
  <c r="J73" i="15"/>
  <c r="F73" i="15"/>
  <c r="G73" i="15"/>
  <c r="H73" i="15"/>
  <c r="J159" i="13"/>
  <c r="F159" i="13"/>
  <c r="K159" i="13"/>
  <c r="H159" i="13"/>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L159" i="13" l="1"/>
  <c r="I159" i="13"/>
  <c r="I73" i="15"/>
  <c r="L73" i="15"/>
  <c r="J40" i="25"/>
  <c r="G40" i="25"/>
  <c r="E40" i="25"/>
  <c r="J39" i="25"/>
  <c r="G39" i="25"/>
  <c r="E39" i="25"/>
  <c r="J38" i="25"/>
  <c r="G38" i="25"/>
  <c r="E38" i="25"/>
  <c r="J37" i="25"/>
  <c r="G37" i="25"/>
  <c r="E37" i="25"/>
  <c r="J42" i="25"/>
  <c r="G42" i="25"/>
  <c r="E42" i="25"/>
  <c r="J41" i="25"/>
  <c r="G41" i="25"/>
  <c r="E41" i="25"/>
  <c r="J36" i="25"/>
  <c r="G36" i="25"/>
  <c r="E36" i="25"/>
  <c r="J45" i="25"/>
  <c r="G45" i="25"/>
  <c r="E45" i="25"/>
  <c r="J44" i="25"/>
  <c r="G44" i="25"/>
  <c r="E44" i="25"/>
  <c r="J35" i="25"/>
  <c r="G35" i="25"/>
  <c r="E35" i="25"/>
  <c r="J81" i="25"/>
  <c r="J80" i="25"/>
  <c r="J79" i="25"/>
  <c r="J77" i="25"/>
  <c r="J76" i="25"/>
  <c r="J73" i="25"/>
  <c r="J72" i="25"/>
  <c r="J70" i="25"/>
  <c r="J69" i="25"/>
  <c r="J68" i="25"/>
  <c r="J67" i="25"/>
  <c r="J66" i="25"/>
  <c r="J65" i="25"/>
  <c r="J32" i="25"/>
  <c r="J30" i="25"/>
  <c r="J28" i="25"/>
  <c r="J27" i="25"/>
  <c r="J26" i="25"/>
  <c r="J25" i="25"/>
  <c r="J24" i="25"/>
  <c r="J21" i="25"/>
  <c r="J20" i="25"/>
  <c r="J19"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5" i="25"/>
  <c r="G94" i="25"/>
  <c r="G93" i="25"/>
  <c r="G92" i="25"/>
  <c r="G91" i="25"/>
  <c r="G90" i="25"/>
  <c r="G89" i="25"/>
  <c r="G88" i="25"/>
  <c r="G87" i="25"/>
  <c r="G81" i="25"/>
  <c r="G80" i="25"/>
  <c r="G79" i="25"/>
  <c r="G77" i="25"/>
  <c r="G76" i="25"/>
  <c r="G75" i="25"/>
  <c r="G73" i="25"/>
  <c r="G72" i="25"/>
  <c r="G70" i="25"/>
  <c r="G69" i="25"/>
  <c r="G68" i="25"/>
  <c r="G67" i="25"/>
  <c r="G66" i="25"/>
  <c r="G65" i="25"/>
  <c r="G63" i="25"/>
  <c r="G62" i="25"/>
  <c r="G61" i="25"/>
  <c r="G60" i="25"/>
  <c r="G59" i="25"/>
  <c r="G32" i="25"/>
  <c r="G31" i="25"/>
  <c r="G30" i="25"/>
  <c r="G21" i="25"/>
  <c r="G20" i="25"/>
  <c r="G19" i="25"/>
  <c r="G28" i="25"/>
  <c r="G27" i="25"/>
  <c r="G26" i="25"/>
  <c r="G25" i="25"/>
  <c r="G24" i="25"/>
  <c r="G23" i="25"/>
  <c r="J53" i="25"/>
  <c r="G53" i="25"/>
  <c r="E53" i="25"/>
  <c r="J52" i="25"/>
  <c r="G52" i="25"/>
  <c r="E52" i="25"/>
  <c r="J51" i="25"/>
  <c r="G51" i="25"/>
  <c r="E51" i="25"/>
  <c r="J50" i="25"/>
  <c r="G50" i="25"/>
  <c r="E50" i="25"/>
  <c r="J13" i="26"/>
  <c r="G13" i="26"/>
  <c r="E13" i="26"/>
  <c r="J12" i="26"/>
  <c r="G12" i="26"/>
  <c r="E12" i="26"/>
  <c r="J100" i="26"/>
  <c r="G100" i="26"/>
  <c r="J99" i="26"/>
  <c r="G99" i="26"/>
  <c r="J98" i="26"/>
  <c r="G98" i="26"/>
  <c r="J97" i="26"/>
  <c r="G97" i="26"/>
  <c r="J96" i="26"/>
  <c r="G96" i="26"/>
  <c r="J95" i="26"/>
  <c r="G95" i="26"/>
  <c r="J94" i="26"/>
  <c r="G94" i="26"/>
  <c r="J93" i="26"/>
  <c r="G93" i="26"/>
  <c r="J92" i="26"/>
  <c r="G92" i="26"/>
  <c r="J91" i="26"/>
  <c r="G91" i="26"/>
  <c r="J90" i="26"/>
  <c r="G90" i="26"/>
  <c r="J89" i="26"/>
  <c r="G89" i="26"/>
  <c r="J88" i="26"/>
  <c r="G88" i="26"/>
  <c r="J87" i="26"/>
  <c r="G87" i="26"/>
  <c r="J72" i="26"/>
  <c r="G72" i="26"/>
  <c r="J71" i="26"/>
  <c r="G71" i="26"/>
  <c r="J70" i="26"/>
  <c r="G70" i="26"/>
  <c r="J69" i="26"/>
  <c r="G69" i="26"/>
  <c r="J68" i="26"/>
  <c r="G68" i="26"/>
  <c r="J67" i="26"/>
  <c r="G67" i="26"/>
  <c r="J66" i="26"/>
  <c r="G66" i="26"/>
  <c r="J65" i="26"/>
  <c r="G65" i="26"/>
  <c r="J50" i="26"/>
  <c r="G50" i="26"/>
  <c r="E50" i="26"/>
  <c r="J49" i="26"/>
  <c r="G49" i="26"/>
  <c r="E49" i="26"/>
  <c r="J48" i="26"/>
  <c r="G48" i="26"/>
  <c r="E48" i="26"/>
  <c r="J47" i="26"/>
  <c r="G47" i="26"/>
  <c r="E47" i="26"/>
  <c r="J45" i="26"/>
  <c r="G45" i="26"/>
  <c r="E45" i="26"/>
  <c r="J44" i="26"/>
  <c r="G44" i="26"/>
  <c r="E44" i="26"/>
  <c r="J29" i="26"/>
  <c r="J28" i="26"/>
  <c r="J42" i="26"/>
  <c r="G42" i="26"/>
  <c r="J41" i="26"/>
  <c r="G41" i="26"/>
  <c r="J40" i="26"/>
  <c r="G40" i="26"/>
  <c r="J38" i="26"/>
  <c r="J37" i="26"/>
  <c r="G38" i="26"/>
  <c r="G29" i="26"/>
  <c r="E29" i="26"/>
  <c r="G28" i="26"/>
  <c r="E28" i="26"/>
  <c r="J35" i="26"/>
  <c r="G35" i="26"/>
  <c r="J34" i="26"/>
  <c r="G34" i="26"/>
  <c r="J33" i="26"/>
  <c r="G33" i="26"/>
  <c r="J32" i="26"/>
  <c r="G32" i="26"/>
  <c r="J31" i="26"/>
  <c r="G31" i="26"/>
  <c r="J76" i="27"/>
  <c r="G76" i="27"/>
  <c r="J75" i="27"/>
  <c r="G75" i="27"/>
  <c r="J74" i="27"/>
  <c r="G74" i="27"/>
  <c r="J73" i="27"/>
  <c r="G73" i="27"/>
  <c r="G64" i="27"/>
  <c r="J58" i="27"/>
  <c r="G58" i="27"/>
  <c r="E58" i="27"/>
  <c r="J38" i="27"/>
  <c r="G38" i="27"/>
  <c r="J37" i="27"/>
  <c r="G37" i="27"/>
  <c r="J36" i="27"/>
  <c r="G36" i="27"/>
  <c r="J34" i="27"/>
  <c r="G34" i="27"/>
  <c r="J33" i="27"/>
  <c r="G33" i="27"/>
  <c r="J31" i="27"/>
  <c r="G31" i="27"/>
  <c r="J30" i="27"/>
  <c r="G30" i="27"/>
  <c r="J29" i="27"/>
  <c r="G29" i="27"/>
  <c r="E38" i="27"/>
  <c r="E37" i="27"/>
  <c r="E36" i="27"/>
  <c r="J26" i="27"/>
  <c r="G26" i="27"/>
  <c r="J25" i="27"/>
  <c r="G25" i="27"/>
  <c r="E34" i="27"/>
  <c r="E33" i="27"/>
  <c r="E27" i="27"/>
  <c r="G23" i="27"/>
  <c r="E23" i="27"/>
  <c r="J46" i="27"/>
  <c r="G46" i="27"/>
  <c r="E46" i="27"/>
  <c r="J45" i="27"/>
  <c r="G45" i="27"/>
  <c r="E45" i="27"/>
  <c r="J44" i="27"/>
  <c r="G44" i="27"/>
  <c r="E44" i="27"/>
  <c r="J43" i="27"/>
  <c r="G43" i="27"/>
  <c r="E43" i="27"/>
  <c r="E11" i="26" l="1"/>
  <c r="K11" i="26"/>
  <c r="F11" i="26"/>
  <c r="J11" i="26"/>
  <c r="L11" i="26" s="1"/>
  <c r="H11" i="26"/>
  <c r="F32" i="27"/>
  <c r="E35" i="27"/>
  <c r="K35" i="27"/>
  <c r="G35" i="27"/>
  <c r="E32" i="27"/>
  <c r="F43" i="25"/>
  <c r="G43" i="25"/>
  <c r="E43" i="25"/>
  <c r="J43" i="25"/>
  <c r="K43" i="25"/>
  <c r="J34" i="25"/>
  <c r="H43" i="25"/>
  <c r="K34" i="25"/>
  <c r="F34" i="25"/>
  <c r="E34" i="25"/>
  <c r="G34" i="25"/>
  <c r="H34" i="25"/>
  <c r="F49" i="25"/>
  <c r="H49" i="25"/>
  <c r="G49" i="25"/>
  <c r="K49" i="25"/>
  <c r="J49" i="25"/>
  <c r="E49" i="25"/>
  <c r="G11" i="26"/>
  <c r="I11" i="26" s="1"/>
  <c r="E43" i="26"/>
  <c r="H46" i="26"/>
  <c r="K46" i="26"/>
  <c r="F46" i="26"/>
  <c r="G46" i="26"/>
  <c r="J46" i="26"/>
  <c r="E46" i="26"/>
  <c r="K43" i="26"/>
  <c r="F43" i="26"/>
  <c r="G43" i="26"/>
  <c r="H43" i="26"/>
  <c r="J43" i="26"/>
  <c r="E27" i="26"/>
  <c r="F27" i="26"/>
  <c r="G27" i="26"/>
  <c r="H27" i="26"/>
  <c r="F35" i="27"/>
  <c r="H35" i="27"/>
  <c r="J35" i="27"/>
  <c r="G32" i="27"/>
  <c r="H32" i="27"/>
  <c r="K32" i="27"/>
  <c r="J32" i="27"/>
  <c r="F42" i="27"/>
  <c r="J42" i="27"/>
  <c r="K42" i="27"/>
  <c r="E42" i="27"/>
  <c r="E14" i="27" s="1"/>
  <c r="H42" i="27"/>
  <c r="G42" i="27"/>
  <c r="J214" i="21"/>
  <c r="J213" i="21"/>
  <c r="J212" i="21"/>
  <c r="G214" i="21"/>
  <c r="G213" i="21"/>
  <c r="G212" i="21"/>
  <c r="E214" i="21"/>
  <c r="E213" i="21"/>
  <c r="E212" i="21"/>
  <c r="J81" i="21"/>
  <c r="G81" i="21"/>
  <c r="J97" i="21"/>
  <c r="J96" i="21"/>
  <c r="G97" i="21"/>
  <c r="G96" i="21"/>
  <c r="G95" i="21"/>
  <c r="G94" i="21"/>
  <c r="G93" i="21"/>
  <c r="G92" i="21"/>
  <c r="J57" i="21"/>
  <c r="J56" i="21"/>
  <c r="J55" i="21"/>
  <c r="J66" i="21"/>
  <c r="J65" i="21"/>
  <c r="J64" i="21"/>
  <c r="J63" i="21"/>
  <c r="J62" i="21"/>
  <c r="E112" i="21"/>
  <c r="E111" i="21"/>
  <c r="E81" i="21"/>
  <c r="E77" i="21"/>
  <c r="G78" i="21"/>
  <c r="G77" i="21"/>
  <c r="G76" i="21"/>
  <c r="G74" i="21"/>
  <c r="G73" i="21"/>
  <c r="G72" i="21"/>
  <c r="G70" i="21"/>
  <c r="G69" i="21"/>
  <c r="G68" i="21"/>
  <c r="G66" i="21"/>
  <c r="G65" i="21"/>
  <c r="G64" i="21"/>
  <c r="G63" i="21"/>
  <c r="G62" i="21"/>
  <c r="G58" i="21"/>
  <c r="G57" i="21"/>
  <c r="G56" i="21"/>
  <c r="G55" i="21"/>
  <c r="G54" i="21"/>
  <c r="G53" i="21"/>
  <c r="E66" i="21"/>
  <c r="E65" i="21"/>
  <c r="E64" i="21"/>
  <c r="E63" i="21"/>
  <c r="E62" i="21"/>
  <c r="E57" i="21"/>
  <c r="E56" i="21"/>
  <c r="E55" i="21"/>
  <c r="E36" i="21"/>
  <c r="E37" i="21"/>
  <c r="E35" i="21"/>
  <c r="E31" i="21"/>
  <c r="E32" i="21"/>
  <c r="E97" i="21"/>
  <c r="E96" i="21"/>
  <c r="J210" i="21"/>
  <c r="G210" i="21"/>
  <c r="E210" i="21"/>
  <c r="J190" i="21"/>
  <c r="G190" i="21"/>
  <c r="E190" i="21"/>
  <c r="J205" i="21"/>
  <c r="G205" i="21"/>
  <c r="E205" i="21"/>
  <c r="J206" i="21"/>
  <c r="G206" i="21"/>
  <c r="E206" i="21"/>
  <c r="J173" i="21"/>
  <c r="G173" i="21"/>
  <c r="E173" i="21"/>
  <c r="J174" i="21"/>
  <c r="G174" i="21"/>
  <c r="E174" i="21"/>
  <c r="J150" i="21"/>
  <c r="G150" i="21"/>
  <c r="E150" i="21"/>
  <c r="J149" i="21"/>
  <c r="G149" i="21"/>
  <c r="E149" i="21"/>
  <c r="J148" i="21"/>
  <c r="G148" i="21"/>
  <c r="E148" i="21"/>
  <c r="J114" i="21"/>
  <c r="G114" i="21"/>
  <c r="E114" i="21"/>
  <c r="J102" i="21"/>
  <c r="G102" i="21"/>
  <c r="E102" i="21"/>
  <c r="J103" i="21"/>
  <c r="G103" i="21"/>
  <c r="E103" i="21"/>
  <c r="J115" i="21"/>
  <c r="G115" i="21"/>
  <c r="E115" i="21"/>
  <c r="J113" i="21"/>
  <c r="G113" i="21"/>
  <c r="E113" i="21"/>
  <c r="J110" i="21"/>
  <c r="E110" i="21"/>
  <c r="J109" i="21"/>
  <c r="E109" i="21"/>
  <c r="J108" i="21"/>
  <c r="E108" i="21"/>
  <c r="J107" i="21"/>
  <c r="E107" i="21"/>
  <c r="J106" i="21"/>
  <c r="G106" i="21"/>
  <c r="E106" i="21"/>
  <c r="J105" i="21"/>
  <c r="G105" i="21"/>
  <c r="E105" i="21"/>
  <c r="J99" i="21"/>
  <c r="G99" i="21"/>
  <c r="E99" i="21"/>
  <c r="J87" i="21"/>
  <c r="G87" i="21"/>
  <c r="E87" i="21"/>
  <c r="J86" i="21"/>
  <c r="G86" i="21"/>
  <c r="E86" i="21"/>
  <c r="J85" i="21"/>
  <c r="G85" i="21"/>
  <c r="E85" i="21"/>
  <c r="J84" i="21"/>
  <c r="G84" i="21"/>
  <c r="E84" i="21"/>
  <c r="J83" i="21"/>
  <c r="G83" i="21"/>
  <c r="E83" i="21"/>
  <c r="J82" i="21"/>
  <c r="G82" i="21"/>
  <c r="E82" i="21"/>
  <c r="J80" i="21"/>
  <c r="G80" i="21"/>
  <c r="E80" i="21"/>
  <c r="J211" i="21"/>
  <c r="J208" i="21"/>
  <c r="J207" i="21"/>
  <c r="J204" i="21"/>
  <c r="J203" i="21"/>
  <c r="J202" i="21"/>
  <c r="J201" i="21"/>
  <c r="J200" i="21"/>
  <c r="J199" i="21"/>
  <c r="J198" i="21"/>
  <c r="J197" i="21"/>
  <c r="J196" i="21"/>
  <c r="J195" i="21"/>
  <c r="J193" i="21"/>
  <c r="J192" i="21"/>
  <c r="J191" i="21"/>
  <c r="J189" i="21"/>
  <c r="J188" i="21"/>
  <c r="J187" i="21"/>
  <c r="J186" i="21"/>
  <c r="J185" i="21"/>
  <c r="J184" i="21"/>
  <c r="J183" i="21"/>
  <c r="J182" i="21"/>
  <c r="J180" i="21"/>
  <c r="J175" i="21"/>
  <c r="J172" i="21"/>
  <c r="J171" i="21"/>
  <c r="J170" i="21"/>
  <c r="J169" i="21"/>
  <c r="J168" i="21"/>
  <c r="J167" i="21"/>
  <c r="J166" i="21"/>
  <c r="J165" i="21"/>
  <c r="J164" i="21"/>
  <c r="J163" i="21"/>
  <c r="J162" i="21"/>
  <c r="J161" i="21"/>
  <c r="J160" i="21"/>
  <c r="J159" i="21"/>
  <c r="J158" i="21"/>
  <c r="J157" i="21"/>
  <c r="J156" i="21"/>
  <c r="J155" i="21"/>
  <c r="J154" i="21"/>
  <c r="J153" i="21"/>
  <c r="J152" i="21"/>
  <c r="J147" i="21"/>
  <c r="J146" i="21"/>
  <c r="J145" i="21"/>
  <c r="J144" i="21"/>
  <c r="J143" i="21"/>
  <c r="J142" i="21"/>
  <c r="J141" i="21"/>
  <c r="J140" i="21"/>
  <c r="J139" i="21"/>
  <c r="J137" i="21"/>
  <c r="J136" i="21"/>
  <c r="J135" i="21"/>
  <c r="J134" i="21"/>
  <c r="J133" i="21"/>
  <c r="J132" i="21"/>
  <c r="J131" i="21"/>
  <c r="J130" i="21"/>
  <c r="J129" i="21"/>
  <c r="J128" i="21"/>
  <c r="J125" i="21"/>
  <c r="J124" i="21"/>
  <c r="J123" i="21"/>
  <c r="J117" i="21"/>
  <c r="J98" i="21"/>
  <c r="J95" i="21"/>
  <c r="J94" i="21"/>
  <c r="J93" i="21"/>
  <c r="J92" i="21"/>
  <c r="J91" i="21"/>
  <c r="J90" i="21"/>
  <c r="J78" i="21"/>
  <c r="J76" i="21"/>
  <c r="J74" i="21"/>
  <c r="J73" i="21"/>
  <c r="J72" i="21"/>
  <c r="J70" i="21"/>
  <c r="J69" i="21"/>
  <c r="J68" i="21"/>
  <c r="J58" i="21"/>
  <c r="J54" i="21"/>
  <c r="J53" i="21"/>
  <c r="J46" i="21"/>
  <c r="J45" i="21"/>
  <c r="J44" i="21"/>
  <c r="J43" i="21"/>
  <c r="J28" i="21"/>
  <c r="E158" i="15"/>
  <c r="J12" i="10"/>
  <c r="G12" i="10"/>
  <c r="J11" i="10"/>
  <c r="G11" i="10"/>
  <c r="J10" i="10"/>
  <c r="G10" i="10"/>
  <c r="E12" i="10"/>
  <c r="E11" i="10"/>
  <c r="E10" i="10"/>
  <c r="E209" i="14"/>
  <c r="G211" i="21"/>
  <c r="G208" i="21"/>
  <c r="G207" i="21"/>
  <c r="G204" i="21"/>
  <c r="G203" i="21"/>
  <c r="G202" i="21"/>
  <c r="G201" i="21"/>
  <c r="G200" i="21"/>
  <c r="G199" i="21"/>
  <c r="G198" i="21"/>
  <c r="G197" i="21"/>
  <c r="G196" i="21"/>
  <c r="G195" i="21"/>
  <c r="G193" i="21"/>
  <c r="G192" i="21"/>
  <c r="G191" i="21"/>
  <c r="G189" i="21"/>
  <c r="G188" i="21"/>
  <c r="G187" i="21"/>
  <c r="G186" i="21"/>
  <c r="G185" i="21"/>
  <c r="G184" i="21"/>
  <c r="G183" i="21"/>
  <c r="G182" i="21"/>
  <c r="G180" i="21"/>
  <c r="H127" i="21"/>
  <c r="J10" i="21"/>
  <c r="G10" i="21"/>
  <c r="E10" i="21"/>
  <c r="J9" i="21"/>
  <c r="G9" i="21"/>
  <c r="E9" i="21"/>
  <c r="G65" i="23"/>
  <c r="G64" i="23"/>
  <c r="G63" i="23"/>
  <c r="G62" i="23"/>
  <c r="G61" i="23"/>
  <c r="E65" i="23"/>
  <c r="E64" i="23"/>
  <c r="E63" i="23"/>
  <c r="E62" i="23"/>
  <c r="E61" i="23"/>
  <c r="J112" i="23"/>
  <c r="G112" i="23"/>
  <c r="E112" i="23"/>
  <c r="J111" i="23"/>
  <c r="G111" i="23"/>
  <c r="E111" i="23"/>
  <c r="J110" i="23"/>
  <c r="G110" i="23"/>
  <c r="E110" i="23"/>
  <c r="J109" i="23"/>
  <c r="G109" i="23"/>
  <c r="E109" i="23"/>
  <c r="J108" i="23"/>
  <c r="G108" i="23"/>
  <c r="E108" i="23"/>
  <c r="J107" i="23"/>
  <c r="G107" i="23"/>
  <c r="E107" i="23"/>
  <c r="J106" i="23"/>
  <c r="G106" i="23"/>
  <c r="E106" i="23"/>
  <c r="J105" i="23"/>
  <c r="G105" i="23"/>
  <c r="E105" i="23"/>
  <c r="J103" i="23"/>
  <c r="G103" i="23"/>
  <c r="E103" i="23"/>
  <c r="J102" i="23"/>
  <c r="G102" i="23"/>
  <c r="E102" i="23"/>
  <c r="J101" i="23"/>
  <c r="G101" i="23"/>
  <c r="E101" i="23"/>
  <c r="J100" i="23"/>
  <c r="G100" i="23"/>
  <c r="E100" i="23"/>
  <c r="J99" i="23"/>
  <c r="G99" i="23"/>
  <c r="E99" i="23"/>
  <c r="J98" i="23"/>
  <c r="G98" i="23"/>
  <c r="E98" i="23"/>
  <c r="J96" i="23"/>
  <c r="G96" i="23"/>
  <c r="E96" i="23"/>
  <c r="J95" i="23"/>
  <c r="G95" i="23"/>
  <c r="E95" i="23"/>
  <c r="J94" i="23"/>
  <c r="G94" i="23"/>
  <c r="E94" i="23"/>
  <c r="J93" i="23"/>
  <c r="G93" i="23"/>
  <c r="E93" i="23"/>
  <c r="J92" i="23"/>
  <c r="G92" i="23"/>
  <c r="E92" i="23"/>
  <c r="J90" i="23"/>
  <c r="G90" i="23"/>
  <c r="E90" i="23"/>
  <c r="J89" i="23"/>
  <c r="G89" i="23"/>
  <c r="E89" i="23"/>
  <c r="G203" i="11"/>
  <c r="G202" i="11"/>
  <c r="G201" i="11"/>
  <c r="G200" i="11"/>
  <c r="G199" i="11"/>
  <c r="G198" i="11"/>
  <c r="G197" i="11"/>
  <c r="G196" i="11"/>
  <c r="G195" i="11"/>
  <c r="G194" i="11"/>
  <c r="G193" i="11"/>
  <c r="G192" i="11"/>
  <c r="G191" i="11"/>
  <c r="G190" i="11"/>
  <c r="G188" i="11"/>
  <c r="G187" i="11"/>
  <c r="G186" i="11"/>
  <c r="G185" i="11"/>
  <c r="G184" i="11"/>
  <c r="G180" i="11"/>
  <c r="G179" i="11"/>
  <c r="G178" i="11"/>
  <c r="G177" i="11"/>
  <c r="G176" i="11"/>
  <c r="G175"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32" i="11"/>
  <c r="G31" i="11"/>
  <c r="G35" i="11"/>
  <c r="G38" i="11"/>
  <c r="G37" i="11"/>
  <c r="G36" i="11"/>
  <c r="G42" i="11"/>
  <c r="G41" i="11"/>
  <c r="G155" i="12"/>
  <c r="G154" i="12"/>
  <c r="G153" i="12"/>
  <c r="G152" i="12"/>
  <c r="G151" i="12"/>
  <c r="G150" i="12"/>
  <c r="G149" i="12"/>
  <c r="G148" i="12"/>
  <c r="G147" i="12"/>
  <c r="G146" i="12"/>
  <c r="G144" i="12"/>
  <c r="G143" i="12"/>
  <c r="G142" i="12"/>
  <c r="G141" i="12"/>
  <c r="G140" i="12"/>
  <c r="G139" i="12"/>
  <c r="G138" i="12"/>
  <c r="G137"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6" i="12"/>
  <c r="G95" i="12"/>
  <c r="G94" i="12"/>
  <c r="G93" i="12"/>
  <c r="G92" i="12"/>
  <c r="G182" i="13"/>
  <c r="G181" i="13"/>
  <c r="G180" i="13"/>
  <c r="G179" i="13"/>
  <c r="G178" i="13"/>
  <c r="G177" i="13"/>
  <c r="G176" i="13"/>
  <c r="G175" i="13"/>
  <c r="G174" i="13"/>
  <c r="G173" i="13"/>
  <c r="G172" i="13"/>
  <c r="G171" i="13"/>
  <c r="G169" i="13"/>
  <c r="G168" i="13"/>
  <c r="G167" i="13"/>
  <c r="G166" i="13"/>
  <c r="G165" i="13"/>
  <c r="G163" i="13"/>
  <c r="G154" i="13"/>
  <c r="G153" i="13"/>
  <c r="G152" i="13"/>
  <c r="G151" i="13"/>
  <c r="G150" i="13"/>
  <c r="G149" i="13"/>
  <c r="G148" i="13"/>
  <c r="G147" i="13"/>
  <c r="G146" i="13"/>
  <c r="G145" i="13"/>
  <c r="G144" i="13"/>
  <c r="G143" i="13"/>
  <c r="G142" i="13"/>
  <c r="G141" i="13"/>
  <c r="G140" i="13"/>
  <c r="G139" i="13"/>
  <c r="G138" i="13"/>
  <c r="G137" i="13"/>
  <c r="G136" i="13"/>
  <c r="G135" i="13"/>
  <c r="G134" i="13"/>
  <c r="G133" i="13"/>
  <c r="G132" i="13"/>
  <c r="G131" i="13"/>
  <c r="G130" i="13"/>
  <c r="G129" i="13"/>
  <c r="G128" i="13"/>
  <c r="G127" i="13"/>
  <c r="G126" i="13"/>
  <c r="G125" i="13"/>
  <c r="G124" i="13"/>
  <c r="G123" i="13"/>
  <c r="G122" i="13"/>
  <c r="G121" i="13"/>
  <c r="G120" i="13"/>
  <c r="G119" i="13"/>
  <c r="G118" i="13"/>
  <c r="G117" i="13"/>
  <c r="G113" i="13"/>
  <c r="G112" i="13"/>
  <c r="G111" i="13"/>
  <c r="G110" i="13"/>
  <c r="G109" i="13"/>
  <c r="E106" i="26"/>
  <c r="E105" i="26"/>
  <c r="E100" i="26"/>
  <c r="E99" i="26"/>
  <c r="E98" i="26"/>
  <c r="E97" i="26"/>
  <c r="E96" i="26"/>
  <c r="E95" i="26"/>
  <c r="E94" i="26"/>
  <c r="E93" i="26"/>
  <c r="E92" i="26"/>
  <c r="E91" i="26"/>
  <c r="E90" i="26"/>
  <c r="E89" i="26"/>
  <c r="E88" i="26"/>
  <c r="E87" i="26"/>
  <c r="E85" i="26"/>
  <c r="E84" i="26"/>
  <c r="E83" i="26"/>
  <c r="E82" i="26"/>
  <c r="E81" i="26"/>
  <c r="E80" i="26"/>
  <c r="E79" i="26"/>
  <c r="E78" i="26"/>
  <c r="E72" i="26"/>
  <c r="E71" i="26"/>
  <c r="E70" i="26"/>
  <c r="E69" i="26"/>
  <c r="E68" i="26"/>
  <c r="E67" i="26"/>
  <c r="E66" i="26"/>
  <c r="E65" i="26"/>
  <c r="E58" i="26"/>
  <c r="E57" i="26"/>
  <c r="E56" i="26"/>
  <c r="E55" i="26"/>
  <c r="E42" i="26"/>
  <c r="E41" i="26"/>
  <c r="E40" i="26"/>
  <c r="E38" i="26"/>
  <c r="E37" i="26"/>
  <c r="E35" i="26"/>
  <c r="E34" i="26"/>
  <c r="E33" i="26"/>
  <c r="E32" i="26"/>
  <c r="E31" i="26"/>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19" i="15"/>
  <c r="E118" i="15"/>
  <c r="E117" i="15"/>
  <c r="E111" i="15"/>
  <c r="K111" i="15" s="1"/>
  <c r="E110" i="15"/>
  <c r="E107" i="15"/>
  <c r="E106" i="15"/>
  <c r="E105" i="15"/>
  <c r="E104" i="15"/>
  <c r="E103" i="15"/>
  <c r="E102" i="15"/>
  <c r="E100" i="15"/>
  <c r="E99" i="15"/>
  <c r="E97" i="15"/>
  <c r="E96" i="15"/>
  <c r="E95" i="15"/>
  <c r="E93" i="15"/>
  <c r="E92" i="15"/>
  <c r="E91" i="15"/>
  <c r="E81" i="15" s="1"/>
  <c r="E32" i="15" s="1"/>
  <c r="E90" i="15"/>
  <c r="E89" i="15"/>
  <c r="E69" i="15"/>
  <c r="E68" i="15"/>
  <c r="E67" i="15"/>
  <c r="E60" i="15"/>
  <c r="E59" i="15"/>
  <c r="E58" i="15"/>
  <c r="E56" i="15"/>
  <c r="E55" i="15"/>
  <c r="E54" i="15"/>
  <c r="E52" i="15"/>
  <c r="E51" i="15"/>
  <c r="E50" i="15"/>
  <c r="E49" i="15"/>
  <c r="E47" i="15"/>
  <c r="E46" i="15"/>
  <c r="E45" i="15"/>
  <c r="E44" i="15"/>
  <c r="E13" i="15"/>
  <c r="E12" i="15"/>
  <c r="E155" i="12"/>
  <c r="E154" i="12"/>
  <c r="E153" i="12"/>
  <c r="E152" i="12"/>
  <c r="E151" i="12"/>
  <c r="E150" i="12"/>
  <c r="E149" i="12"/>
  <c r="E148" i="12"/>
  <c r="E147" i="12"/>
  <c r="E146" i="12"/>
  <c r="E144" i="12"/>
  <c r="E143" i="12"/>
  <c r="E142" i="12"/>
  <c r="E141" i="12"/>
  <c r="E139" i="12"/>
  <c r="E138" i="12"/>
  <c r="E137"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0" i="12"/>
  <c r="E89" i="12"/>
  <c r="E88" i="12"/>
  <c r="E82" i="12"/>
  <c r="F82" i="12" s="1"/>
  <c r="E80" i="12"/>
  <c r="E79" i="12"/>
  <c r="E77" i="12"/>
  <c r="E76" i="12"/>
  <c r="E75" i="12"/>
  <c r="E74" i="12"/>
  <c r="E73" i="12"/>
  <c r="E71" i="12"/>
  <c r="E70" i="12"/>
  <c r="E69" i="12"/>
  <c r="E67" i="12"/>
  <c r="E66" i="12"/>
  <c r="E65" i="12"/>
  <c r="E63" i="12"/>
  <c r="E62" i="12"/>
  <c r="E61" i="12"/>
  <c r="E59" i="12"/>
  <c r="E56" i="12"/>
  <c r="E55" i="12"/>
  <c r="E54" i="12"/>
  <c r="E53" i="12"/>
  <c r="E52" i="12"/>
  <c r="E51" i="12"/>
  <c r="E50" i="12"/>
  <c r="E48" i="12"/>
  <c r="E42" i="12"/>
  <c r="E41" i="12"/>
  <c r="E40" i="12"/>
  <c r="E39" i="12"/>
  <c r="E33" i="12"/>
  <c r="E32" i="12"/>
  <c r="E31" i="12"/>
  <c r="E16" i="12"/>
  <c r="F16" i="12" s="1"/>
  <c r="E15" i="12"/>
  <c r="F15" i="12" s="1"/>
  <c r="E203" i="11"/>
  <c r="E202" i="11"/>
  <c r="E201" i="11"/>
  <c r="E200" i="11"/>
  <c r="E199" i="11"/>
  <c r="E198" i="11"/>
  <c r="E197" i="11"/>
  <c r="E196" i="11"/>
  <c r="E195" i="11"/>
  <c r="E194" i="11"/>
  <c r="E193" i="11"/>
  <c r="E192" i="11"/>
  <c r="E191" i="11"/>
  <c r="E190" i="11"/>
  <c r="E188" i="11"/>
  <c r="E187" i="11"/>
  <c r="E186" i="11"/>
  <c r="E185" i="11"/>
  <c r="E184" i="11"/>
  <c r="E180" i="11"/>
  <c r="E179" i="11"/>
  <c r="E178" i="11"/>
  <c r="E177" i="11"/>
  <c r="E176" i="11"/>
  <c r="E175"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2" i="11"/>
  <c r="E121" i="11"/>
  <c r="E120" i="11"/>
  <c r="E114" i="11"/>
  <c r="E112" i="11"/>
  <c r="E111" i="11"/>
  <c r="E110" i="11"/>
  <c r="E109" i="11"/>
  <c r="E108" i="11"/>
  <c r="E107" i="11"/>
  <c r="E106" i="11"/>
  <c r="E102" i="11"/>
  <c r="E101" i="11"/>
  <c r="E100" i="11"/>
  <c r="E99" i="11"/>
  <c r="E98" i="11"/>
  <c r="E97" i="11"/>
  <c r="E93" i="11"/>
  <c r="E92" i="11"/>
  <c r="E90" i="11"/>
  <c r="E89" i="11"/>
  <c r="E88" i="11"/>
  <c r="E87" i="11"/>
  <c r="E86" i="11"/>
  <c r="E85" i="11"/>
  <c r="E84" i="11"/>
  <c r="E83" i="11"/>
  <c r="E81" i="11"/>
  <c r="E80" i="11"/>
  <c r="E79" i="11"/>
  <c r="E78" i="11"/>
  <c r="E76" i="11"/>
  <c r="E75" i="11"/>
  <c r="E73" i="11"/>
  <c r="E72" i="11"/>
  <c r="E71" i="11"/>
  <c r="E70" i="11"/>
  <c r="E68" i="11"/>
  <c r="E65" i="11"/>
  <c r="E64" i="11"/>
  <c r="E63" i="11"/>
  <c r="E62" i="11"/>
  <c r="E60" i="11"/>
  <c r="E59" i="11"/>
  <c r="E58" i="11"/>
  <c r="E57" i="11"/>
  <c r="E50" i="11"/>
  <c r="E49" i="11"/>
  <c r="E48" i="11"/>
  <c r="E47" i="11"/>
  <c r="E38" i="11"/>
  <c r="E37" i="11"/>
  <c r="E36" i="11"/>
  <c r="E35" i="11"/>
  <c r="E31" i="11"/>
  <c r="E30" i="11"/>
  <c r="E28" i="11" s="1"/>
  <c r="E29" i="11"/>
  <c r="E127" i="10"/>
  <c r="E126" i="10"/>
  <c r="E125" i="10"/>
  <c r="E123" i="10"/>
  <c r="E122" i="10"/>
  <c r="E120" i="10"/>
  <c r="E119" i="10"/>
  <c r="E118" i="10"/>
  <c r="E117" i="10"/>
  <c r="E115" i="10"/>
  <c r="E114" i="10"/>
  <c r="E111" i="10"/>
  <c r="E110" i="10"/>
  <c r="E109" i="10"/>
  <c r="E108" i="10"/>
  <c r="E107" i="10"/>
  <c r="E106" i="10"/>
  <c r="E100" i="10"/>
  <c r="E99" i="10"/>
  <c r="E98" i="10"/>
  <c r="E97" i="10"/>
  <c r="E96" i="10"/>
  <c r="E95" i="10"/>
  <c r="E94" i="10"/>
  <c r="E93" i="10"/>
  <c r="E92" i="10"/>
  <c r="E91" i="10"/>
  <c r="E90" i="10"/>
  <c r="E89" i="10"/>
  <c r="E88" i="10"/>
  <c r="E87" i="10"/>
  <c r="E86" i="10"/>
  <c r="E85" i="10"/>
  <c r="E84" i="10"/>
  <c r="E83" i="10"/>
  <c r="E82" i="10"/>
  <c r="E81" i="10"/>
  <c r="E80" i="10"/>
  <c r="E79" i="10"/>
  <c r="E78" i="10"/>
  <c r="E76" i="10"/>
  <c r="E75" i="10"/>
  <c r="E74" i="10"/>
  <c r="E68" i="10"/>
  <c r="E67" i="10"/>
  <c r="E66" i="10"/>
  <c r="E64" i="10"/>
  <c r="E63" i="10"/>
  <c r="E61" i="10"/>
  <c r="E60" i="10"/>
  <c r="E59" i="10"/>
  <c r="E58" i="10"/>
  <c r="E57" i="10"/>
  <c r="E55" i="10"/>
  <c r="E54" i="10"/>
  <c r="E51" i="10"/>
  <c r="E50" i="10"/>
  <c r="E49" i="10"/>
  <c r="E48" i="10"/>
  <c r="E47" i="10"/>
  <c r="E46" i="10"/>
  <c r="E39" i="10"/>
  <c r="E38" i="10"/>
  <c r="E37" i="10"/>
  <c r="E36" i="10"/>
  <c r="E31" i="10"/>
  <c r="E28" i="10"/>
  <c r="E16" i="10"/>
  <c r="E15" i="10"/>
  <c r="E211" i="21"/>
  <c r="E208" i="21"/>
  <c r="E207" i="21"/>
  <c r="E204" i="21"/>
  <c r="E203" i="21"/>
  <c r="E202" i="21"/>
  <c r="E201" i="21"/>
  <c r="E200" i="21"/>
  <c r="E199" i="21"/>
  <c r="E198" i="21"/>
  <c r="E197" i="21"/>
  <c r="E196" i="21"/>
  <c r="E195" i="21"/>
  <c r="E193" i="21"/>
  <c r="E192" i="21"/>
  <c r="E191" i="21"/>
  <c r="E189" i="21"/>
  <c r="E188" i="21"/>
  <c r="E187" i="21"/>
  <c r="E186" i="21"/>
  <c r="E185" i="21"/>
  <c r="E184" i="21"/>
  <c r="E183" i="21"/>
  <c r="E182" i="21"/>
  <c r="E180" i="21"/>
  <c r="E175" i="21"/>
  <c r="E172" i="21"/>
  <c r="E171" i="21"/>
  <c r="E170" i="21"/>
  <c r="E169" i="21"/>
  <c r="E168" i="21"/>
  <c r="E167" i="21"/>
  <c r="E166" i="21"/>
  <c r="E165" i="21"/>
  <c r="E164" i="21"/>
  <c r="E163" i="21"/>
  <c r="E162" i="21"/>
  <c r="E161" i="21"/>
  <c r="E160" i="21"/>
  <c r="E159" i="21"/>
  <c r="E158" i="21"/>
  <c r="E157" i="21"/>
  <c r="E156" i="21"/>
  <c r="E155" i="21"/>
  <c r="E154" i="21"/>
  <c r="E153" i="21"/>
  <c r="E152" i="21"/>
  <c r="E147" i="21"/>
  <c r="E146" i="21"/>
  <c r="E145" i="21"/>
  <c r="E144" i="21"/>
  <c r="E143" i="21"/>
  <c r="E142" i="21"/>
  <c r="E141" i="21"/>
  <c r="E140" i="21"/>
  <c r="E139" i="21"/>
  <c r="E137" i="21"/>
  <c r="E136" i="21"/>
  <c r="E135" i="21"/>
  <c r="E134" i="21"/>
  <c r="E133" i="21"/>
  <c r="E132" i="21"/>
  <c r="E131" i="21"/>
  <c r="E130" i="21"/>
  <c r="E129" i="21"/>
  <c r="E128" i="21"/>
  <c r="E125" i="21"/>
  <c r="E124" i="21"/>
  <c r="E123" i="21"/>
  <c r="E117" i="21"/>
  <c r="E98" i="21"/>
  <c r="E95" i="21"/>
  <c r="E94" i="21"/>
  <c r="E93" i="21"/>
  <c r="E92" i="21"/>
  <c r="E91" i="21"/>
  <c r="E90" i="21"/>
  <c r="E78" i="21"/>
  <c r="E76" i="21"/>
  <c r="E74" i="21"/>
  <c r="E73" i="21"/>
  <c r="E72" i="21"/>
  <c r="E70" i="21"/>
  <c r="E69" i="21"/>
  <c r="E68" i="21"/>
  <c r="E58" i="21"/>
  <c r="E54" i="21"/>
  <c r="E53" i="21"/>
  <c r="E46" i="21"/>
  <c r="E45" i="21"/>
  <c r="E44" i="21"/>
  <c r="E43" i="21"/>
  <c r="E38" i="21"/>
  <c r="E33" i="21"/>
  <c r="E28" i="21"/>
  <c r="E27" i="21"/>
  <c r="E26" i="21"/>
  <c r="E25" i="21"/>
  <c r="E221" i="14"/>
  <c r="E220" i="14"/>
  <c r="E219" i="14"/>
  <c r="E218" i="14"/>
  <c r="E217" i="14"/>
  <c r="E216" i="14"/>
  <c r="E215" i="14"/>
  <c r="E214" i="14"/>
  <c r="E213" i="14"/>
  <c r="E212" i="14"/>
  <c r="E211" i="14"/>
  <c r="E210" i="14"/>
  <c r="E207" i="14"/>
  <c r="E206" i="14"/>
  <c r="E205" i="14"/>
  <c r="E204" i="14"/>
  <c r="E203" i="14"/>
  <c r="E200" i="14"/>
  <c r="E199" i="14"/>
  <c r="E198" i="14"/>
  <c r="E197" i="14"/>
  <c r="E196" i="14"/>
  <c r="E195" i="14"/>
  <c r="E194" i="14" s="1"/>
  <c r="E193" i="14"/>
  <c r="E192" i="14"/>
  <c r="E185" i="14"/>
  <c r="E184" i="14"/>
  <c r="E183" i="14"/>
  <c r="E182" i="14"/>
  <c r="E181" i="14"/>
  <c r="E180" i="14"/>
  <c r="E179" i="14"/>
  <c r="E178" i="14"/>
  <c r="E177" i="14"/>
  <c r="E176" i="14"/>
  <c r="E175" i="14"/>
  <c r="E174" i="14"/>
  <c r="E173" i="14"/>
  <c r="E172" i="14"/>
  <c r="E171" i="14"/>
  <c r="E170" i="14"/>
  <c r="E169" i="14"/>
  <c r="E168" i="14"/>
  <c r="E167" i="14"/>
  <c r="E166" i="14"/>
  <c r="E165" i="14"/>
  <c r="E164" i="14"/>
  <c r="E162" i="14"/>
  <c r="E161" i="14"/>
  <c r="E160" i="14"/>
  <c r="E159" i="14"/>
  <c r="E158" i="14"/>
  <c r="E157" i="14"/>
  <c r="E156" i="14"/>
  <c r="E155" i="14"/>
  <c r="E154" i="14"/>
  <c r="E153" i="14"/>
  <c r="E151" i="14"/>
  <c r="E150" i="14"/>
  <c r="E149" i="14"/>
  <c r="E148" i="14"/>
  <c r="E147" i="14"/>
  <c r="E146" i="14"/>
  <c r="E145" i="14"/>
  <c r="E144" i="14"/>
  <c r="E143" i="14"/>
  <c r="E142" i="14"/>
  <c r="E139" i="14"/>
  <c r="E138" i="14"/>
  <c r="E137" i="14"/>
  <c r="E131" i="14"/>
  <c r="E129" i="14"/>
  <c r="E128" i="14"/>
  <c r="E127" i="14"/>
  <c r="E126" i="14"/>
  <c r="E125" i="14"/>
  <c r="E124" i="14"/>
  <c r="E123" i="14"/>
  <c r="E122" i="14"/>
  <c r="E121" i="14"/>
  <c r="E120" i="14"/>
  <c r="E119" i="14"/>
  <c r="E118" i="14"/>
  <c r="E116" i="14"/>
  <c r="E115" i="14"/>
  <c r="E111" i="14"/>
  <c r="E110" i="14"/>
  <c r="E109" i="14"/>
  <c r="E108" i="14"/>
  <c r="E107" i="14"/>
  <c r="E106" i="14"/>
  <c r="E105" i="14"/>
  <c r="E104" i="14"/>
  <c r="E103" i="14"/>
  <c r="E99" i="14"/>
  <c r="E98" i="14"/>
  <c r="E97" i="14"/>
  <c r="E96" i="14"/>
  <c r="E95" i="14"/>
  <c r="E94" i="14"/>
  <c r="E93" i="14"/>
  <c r="E92" i="14"/>
  <c r="E90" i="14"/>
  <c r="E89" i="14"/>
  <c r="E87" i="14"/>
  <c r="E86" i="14"/>
  <c r="E84" i="14"/>
  <c r="E83" i="14"/>
  <c r="E82" i="14"/>
  <c r="E80" i="14"/>
  <c r="E79" i="14"/>
  <c r="E77" i="14"/>
  <c r="E76" i="14"/>
  <c r="E75" i="14"/>
  <c r="E71" i="14"/>
  <c r="E70" i="14"/>
  <c r="E69" i="14"/>
  <c r="E68" i="14"/>
  <c r="E67" i="14"/>
  <c r="E66" i="14"/>
  <c r="E64" i="14"/>
  <c r="E60" i="14"/>
  <c r="E59" i="14"/>
  <c r="E58" i="14"/>
  <c r="E57" i="14"/>
  <c r="E56" i="14"/>
  <c r="E55" i="14"/>
  <c r="E54" i="14"/>
  <c r="E53" i="14"/>
  <c r="E52" i="14"/>
  <c r="E51" i="14"/>
  <c r="E45" i="14"/>
  <c r="E44" i="14"/>
  <c r="E43" i="14"/>
  <c r="E42" i="14"/>
  <c r="E37" i="14"/>
  <c r="E36" i="14"/>
  <c r="E35" i="14"/>
  <c r="E34" i="14"/>
  <c r="E33" i="14"/>
  <c r="E12" i="14"/>
  <c r="E11" i="14"/>
  <c r="E9" i="14"/>
  <c r="E182" i="13"/>
  <c r="E181" i="13"/>
  <c r="E180" i="13"/>
  <c r="E179" i="13"/>
  <c r="E178" i="13"/>
  <c r="E177" i="13"/>
  <c r="E176" i="13"/>
  <c r="E175" i="13"/>
  <c r="E174" i="13"/>
  <c r="E173" i="13"/>
  <c r="E172" i="13"/>
  <c r="E171" i="13"/>
  <c r="E169" i="13"/>
  <c r="E168" i="13"/>
  <c r="E167" i="13"/>
  <c r="E166" i="13"/>
  <c r="E165" i="13"/>
  <c r="E163"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19" i="13"/>
  <c r="E118" i="13"/>
  <c r="E117" i="13"/>
  <c r="E116" i="13"/>
  <c r="E115" i="13"/>
  <c r="E114" i="13"/>
  <c r="E113" i="13"/>
  <c r="E112" i="13"/>
  <c r="E111" i="13"/>
  <c r="E110" i="13"/>
  <c r="E109" i="13"/>
  <c r="E107" i="13"/>
  <c r="E106" i="13"/>
  <c r="E105" i="13"/>
  <c r="E99" i="13"/>
  <c r="F99" i="13" s="1"/>
  <c r="E98" i="13"/>
  <c r="E97" i="13"/>
  <c r="E96" i="13"/>
  <c r="E95" i="13"/>
  <c r="E94" i="13"/>
  <c r="E93" i="13"/>
  <c r="E90" i="13"/>
  <c r="E89" i="13"/>
  <c r="E87" i="13"/>
  <c r="E86" i="13"/>
  <c r="E85" i="13"/>
  <c r="E84" i="13"/>
  <c r="E83" i="13"/>
  <c r="E82" i="13"/>
  <c r="E79" i="13"/>
  <c r="E78" i="13"/>
  <c r="E74" i="13"/>
  <c r="E73" i="13"/>
  <c r="E72" i="13"/>
  <c r="E71" i="13"/>
  <c r="E70" i="13"/>
  <c r="E68" i="13"/>
  <c r="E67" i="13"/>
  <c r="E66" i="13"/>
  <c r="E64" i="13"/>
  <c r="E63" i="13"/>
  <c r="E61" i="13"/>
  <c r="E60" i="13"/>
  <c r="E59" i="13"/>
  <c r="E57" i="13"/>
  <c r="E55" i="13"/>
  <c r="E54" i="13"/>
  <c r="E53" i="13"/>
  <c r="E52" i="13"/>
  <c r="E51" i="13"/>
  <c r="E50" i="13"/>
  <c r="E49" i="13"/>
  <c r="E47" i="13"/>
  <c r="E40" i="13"/>
  <c r="E39" i="13"/>
  <c r="E38" i="13"/>
  <c r="E37" i="13"/>
  <c r="E32" i="13"/>
  <c r="E31" i="13"/>
  <c r="E30" i="13"/>
  <c r="E29" i="13"/>
  <c r="E11" i="13"/>
  <c r="E10" i="13"/>
  <c r="E8" i="13"/>
  <c r="E111" i="25"/>
  <c r="E123" i="25"/>
  <c r="E122" i="25"/>
  <c r="E21" i="25"/>
  <c r="E20" i="25"/>
  <c r="E19" i="25"/>
  <c r="E28" i="25"/>
  <c r="E27" i="25"/>
  <c r="E26" i="25"/>
  <c r="E25" i="25"/>
  <c r="E24" i="25"/>
  <c r="E23" i="25"/>
  <c r="E32" i="25"/>
  <c r="E31" i="25"/>
  <c r="E30" i="25"/>
  <c r="E121" i="25"/>
  <c r="E120" i="25"/>
  <c r="E119" i="25"/>
  <c r="E118" i="25"/>
  <c r="E117" i="25"/>
  <c r="E116" i="25"/>
  <c r="E115" i="25"/>
  <c r="E114" i="25"/>
  <c r="E113" i="25"/>
  <c r="E112" i="25"/>
  <c r="E110" i="25"/>
  <c r="E109" i="25"/>
  <c r="E108" i="25"/>
  <c r="E107" i="25"/>
  <c r="E106" i="25"/>
  <c r="E105" i="25"/>
  <c r="E104" i="25"/>
  <c r="E103" i="25"/>
  <c r="E102" i="25"/>
  <c r="E101" i="25"/>
  <c r="E100" i="25"/>
  <c r="E99" i="25"/>
  <c r="E98" i="25"/>
  <c r="E97" i="25"/>
  <c r="E95" i="25"/>
  <c r="E94" i="25"/>
  <c r="E93" i="25"/>
  <c r="E92" i="25"/>
  <c r="E91" i="25"/>
  <c r="E90" i="25"/>
  <c r="E89" i="25"/>
  <c r="E88" i="25"/>
  <c r="E87" i="25"/>
  <c r="E81" i="25"/>
  <c r="E80" i="25"/>
  <c r="E79" i="25"/>
  <c r="E77" i="25"/>
  <c r="E76" i="25"/>
  <c r="E75" i="25"/>
  <c r="E73" i="25"/>
  <c r="E72" i="25"/>
  <c r="E70" i="25"/>
  <c r="E69" i="25"/>
  <c r="E68" i="25"/>
  <c r="E67" i="25"/>
  <c r="E66" i="25"/>
  <c r="E65" i="25"/>
  <c r="E63" i="25"/>
  <c r="E62" i="25"/>
  <c r="E61" i="25"/>
  <c r="E60" i="25"/>
  <c r="E59" i="25"/>
  <c r="E87" i="27"/>
  <c r="E86" i="27"/>
  <c r="E85" i="27"/>
  <c r="E84" i="27"/>
  <c r="E83" i="27"/>
  <c r="E82" i="27"/>
  <c r="E76" i="27"/>
  <c r="E75" i="27"/>
  <c r="E74" i="27"/>
  <c r="E73" i="27"/>
  <c r="E71" i="27"/>
  <c r="E70" i="27"/>
  <c r="E69" i="27"/>
  <c r="E68" i="27"/>
  <c r="E67" i="27"/>
  <c r="E66" i="27"/>
  <c r="E65" i="27"/>
  <c r="E64" i="27"/>
  <c r="E57" i="27"/>
  <c r="E56" i="27"/>
  <c r="E55" i="27"/>
  <c r="E54" i="27"/>
  <c r="E53" i="27"/>
  <c r="E31" i="27"/>
  <c r="E30" i="27"/>
  <c r="E29" i="27"/>
  <c r="E26" i="27"/>
  <c r="E25" i="27"/>
  <c r="E22" i="27"/>
  <c r="F21" i="27" s="1"/>
  <c r="L45" i="29"/>
  <c r="K45" i="29"/>
  <c r="J45" i="29"/>
  <c r="I45" i="29"/>
  <c r="H45" i="29"/>
  <c r="G45" i="29"/>
  <c r="F45" i="29"/>
  <c r="E45" i="29"/>
  <c r="E39" i="29" s="1"/>
  <c r="H39" i="29"/>
  <c r="G39" i="29"/>
  <c r="J34" i="29"/>
  <c r="G34" i="29"/>
  <c r="Q33" i="29"/>
  <c r="J29" i="29"/>
  <c r="G29" i="29"/>
  <c r="E29" i="29"/>
  <c r="J28" i="29"/>
  <c r="G28" i="29"/>
  <c r="E28" i="29"/>
  <c r="J27" i="29"/>
  <c r="G27" i="29"/>
  <c r="E27" i="29"/>
  <c r="J26" i="29"/>
  <c r="G26" i="29"/>
  <c r="E26" i="29"/>
  <c r="J58" i="26"/>
  <c r="G58" i="26"/>
  <c r="J57" i="26"/>
  <c r="G57" i="26"/>
  <c r="J56" i="26"/>
  <c r="G56" i="26"/>
  <c r="J55" i="26"/>
  <c r="G55" i="26"/>
  <c r="E75" i="21" l="1"/>
  <c r="E27" i="10"/>
  <c r="E20" i="10" s="1"/>
  <c r="G113" i="10"/>
  <c r="K113" i="10"/>
  <c r="F113" i="10"/>
  <c r="J113" i="10"/>
  <c r="H113" i="10"/>
  <c r="I72" i="23"/>
  <c r="L72" i="23"/>
  <c r="F88" i="23"/>
  <c r="K88" i="23"/>
  <c r="J88" i="23"/>
  <c r="H88" i="23"/>
  <c r="G88" i="23"/>
  <c r="I88" i="23" s="1"/>
  <c r="K25" i="29"/>
  <c r="E124" i="10"/>
  <c r="E20" i="29"/>
  <c r="L20" i="29" s="1"/>
  <c r="E34" i="29"/>
  <c r="J33" i="29" s="1"/>
  <c r="E16" i="29"/>
  <c r="E28" i="13"/>
  <c r="E104" i="26"/>
  <c r="E38" i="12"/>
  <c r="E49" i="12"/>
  <c r="E47" i="12" s="1"/>
  <c r="E174" i="11"/>
  <c r="E183" i="11"/>
  <c r="E46" i="11"/>
  <c r="E114" i="14"/>
  <c r="E117" i="14"/>
  <c r="E120" i="15"/>
  <c r="E104" i="13"/>
  <c r="E45" i="10"/>
  <c r="E44" i="10" s="1"/>
  <c r="E35" i="10"/>
  <c r="E21" i="10" s="1"/>
  <c r="F162" i="13"/>
  <c r="E113" i="10"/>
  <c r="F112" i="10" s="1"/>
  <c r="E116" i="10"/>
  <c r="E105" i="10"/>
  <c r="E191" i="14"/>
  <c r="E190" i="14" s="1"/>
  <c r="E9" i="13"/>
  <c r="E52" i="21"/>
  <c r="E51" i="21" s="1"/>
  <c r="E138" i="21"/>
  <c r="E61" i="21"/>
  <c r="E89" i="21"/>
  <c r="E88" i="21" s="1"/>
  <c r="E101" i="21"/>
  <c r="E151" i="21"/>
  <c r="E71" i="21"/>
  <c r="E127" i="21"/>
  <c r="E79" i="21"/>
  <c r="K104" i="21"/>
  <c r="E104" i="21"/>
  <c r="G140" i="14"/>
  <c r="E202" i="14"/>
  <c r="E189" i="14" s="1"/>
  <c r="F65" i="14"/>
  <c r="F117" i="14"/>
  <c r="F141" i="14"/>
  <c r="E152" i="14"/>
  <c r="E141" i="14" s="1"/>
  <c r="E208" i="14"/>
  <c r="F152" i="14"/>
  <c r="E50" i="14"/>
  <c r="G49" i="14" s="1"/>
  <c r="E136" i="14"/>
  <c r="F202" i="14"/>
  <c r="E163" i="14"/>
  <c r="F63" i="14"/>
  <c r="F62" i="14" s="1"/>
  <c r="F163" i="14"/>
  <c r="F194" i="14"/>
  <c r="F208" i="14"/>
  <c r="F42" i="21"/>
  <c r="F87" i="12"/>
  <c r="K49" i="12"/>
  <c r="J49" i="12"/>
  <c r="F49" i="12"/>
  <c r="H145" i="12"/>
  <c r="F145" i="12"/>
  <c r="E145" i="12"/>
  <c r="K145" i="12"/>
  <c r="J145" i="12"/>
  <c r="G145" i="12"/>
  <c r="E91" i="12"/>
  <c r="E87" i="12" s="1"/>
  <c r="F91" i="12"/>
  <c r="K91" i="12"/>
  <c r="J91" i="12"/>
  <c r="G136" i="12"/>
  <c r="F136" i="12"/>
  <c r="E136" i="12"/>
  <c r="K136" i="12"/>
  <c r="H136" i="12"/>
  <c r="J136" i="12"/>
  <c r="F108" i="13"/>
  <c r="E108" i="13"/>
  <c r="G58" i="25"/>
  <c r="I32" i="27"/>
  <c r="I35" i="27"/>
  <c r="L35" i="27"/>
  <c r="F67" i="11"/>
  <c r="F69" i="11"/>
  <c r="F77" i="11"/>
  <c r="E82" i="11"/>
  <c r="F82" i="11"/>
  <c r="F91" i="11"/>
  <c r="F104" i="11"/>
  <c r="F105" i="11"/>
  <c r="F96" i="11"/>
  <c r="F95" i="11"/>
  <c r="E61" i="11"/>
  <c r="E56" i="11" s="1"/>
  <c r="E55" i="11" s="1"/>
  <c r="F61" i="11"/>
  <c r="G189" i="11"/>
  <c r="F189" i="11"/>
  <c r="E189" i="11"/>
  <c r="H189" i="11"/>
  <c r="F174" i="11"/>
  <c r="G174" i="11"/>
  <c r="H174" i="11"/>
  <c r="F56" i="11"/>
  <c r="F55" i="11"/>
  <c r="F114" i="11"/>
  <c r="E34" i="11"/>
  <c r="F119" i="11"/>
  <c r="E119" i="11"/>
  <c r="K123" i="11"/>
  <c r="J123" i="11"/>
  <c r="H123" i="11"/>
  <c r="F123" i="11"/>
  <c r="E123" i="11"/>
  <c r="G123" i="11"/>
  <c r="G68" i="12"/>
  <c r="H68" i="12"/>
  <c r="F68" i="12"/>
  <c r="E68" i="12"/>
  <c r="J68" i="12"/>
  <c r="K68" i="12"/>
  <c r="F78" i="12"/>
  <c r="K78" i="12"/>
  <c r="J78" i="12"/>
  <c r="F47" i="12"/>
  <c r="F60" i="12"/>
  <c r="E60" i="12"/>
  <c r="K60" i="12"/>
  <c r="J60" i="12"/>
  <c r="F72" i="12"/>
  <c r="K72" i="12"/>
  <c r="J72" i="12"/>
  <c r="F64" i="12"/>
  <c r="E64" i="12"/>
  <c r="K64" i="12"/>
  <c r="J64" i="12"/>
  <c r="J170" i="13"/>
  <c r="F209" i="21"/>
  <c r="F127" i="21"/>
  <c r="G104" i="21"/>
  <c r="H101" i="21"/>
  <c r="K101" i="21"/>
  <c r="F79" i="21"/>
  <c r="G79" i="21"/>
  <c r="F75" i="21"/>
  <c r="F71" i="21"/>
  <c r="F67" i="21"/>
  <c r="K61" i="21"/>
  <c r="K52" i="21"/>
  <c r="F52" i="21"/>
  <c r="G52" i="21"/>
  <c r="H34" i="21"/>
  <c r="G40" i="11"/>
  <c r="F34" i="11"/>
  <c r="J34" i="11"/>
  <c r="K34" i="11"/>
  <c r="J10" i="14"/>
  <c r="K10" i="14"/>
  <c r="K44" i="10"/>
  <c r="H44" i="10"/>
  <c r="F44" i="10"/>
  <c r="G44" i="10"/>
  <c r="J44" i="10"/>
  <c r="K14" i="10"/>
  <c r="H121" i="10"/>
  <c r="E121" i="10"/>
  <c r="G121" i="10"/>
  <c r="F121" i="10"/>
  <c r="K121" i="10"/>
  <c r="J121" i="10"/>
  <c r="F105" i="10"/>
  <c r="J105" i="10"/>
  <c r="H105" i="10"/>
  <c r="G105" i="10"/>
  <c r="F77" i="10"/>
  <c r="F116" i="10"/>
  <c r="K116" i="10"/>
  <c r="J116" i="10"/>
  <c r="H116" i="10"/>
  <c r="G116" i="10"/>
  <c r="K27" i="10"/>
  <c r="J27" i="10"/>
  <c r="H27" i="10"/>
  <c r="G27" i="10"/>
  <c r="F27" i="10"/>
  <c r="F10" i="14"/>
  <c r="H11" i="15"/>
  <c r="G11" i="15"/>
  <c r="F11" i="15"/>
  <c r="K11" i="15"/>
  <c r="J11" i="15"/>
  <c r="F9" i="13"/>
  <c r="K9" i="13"/>
  <c r="J9" i="13"/>
  <c r="G9" i="13"/>
  <c r="H9" i="13"/>
  <c r="K88" i="15"/>
  <c r="J88" i="15"/>
  <c r="F88" i="15"/>
  <c r="F116" i="15"/>
  <c r="E116" i="15"/>
  <c r="E115" i="15" s="1"/>
  <c r="E33" i="15" s="1"/>
  <c r="H120" i="15"/>
  <c r="G120" i="15"/>
  <c r="K120" i="15"/>
  <c r="J120" i="15"/>
  <c r="F120" i="15"/>
  <c r="E88" i="15"/>
  <c r="J111" i="15"/>
  <c r="H111" i="15"/>
  <c r="G111" i="15"/>
  <c r="F98" i="15"/>
  <c r="K98" i="15"/>
  <c r="J98" i="15"/>
  <c r="H66" i="15"/>
  <c r="G66" i="15" a="1"/>
  <c r="G66" i="15" s="1"/>
  <c r="F66" i="15"/>
  <c r="J66" i="15"/>
  <c r="G65" i="15"/>
  <c r="F65" i="15"/>
  <c r="K66" i="15"/>
  <c r="F101" i="15"/>
  <c r="E101" i="15"/>
  <c r="J101" i="15"/>
  <c r="K101" i="15"/>
  <c r="E94" i="15"/>
  <c r="E98" i="15"/>
  <c r="J94" i="15"/>
  <c r="F94" i="15"/>
  <c r="K94" i="15"/>
  <c r="E66" i="15"/>
  <c r="J65" i="15"/>
  <c r="K65" i="15"/>
  <c r="E65" i="15"/>
  <c r="H65" i="15"/>
  <c r="J57" i="15"/>
  <c r="K57" i="15"/>
  <c r="K48" i="15"/>
  <c r="J48" i="15"/>
  <c r="F43" i="15"/>
  <c r="J43" i="15"/>
  <c r="K43" i="15"/>
  <c r="G28" i="13"/>
  <c r="F28" i="13"/>
  <c r="J28" i="13"/>
  <c r="K28" i="13"/>
  <c r="F36" i="13"/>
  <c r="E36" i="13" a="1"/>
  <c r="E36" i="13" s="1"/>
  <c r="K170" i="13"/>
  <c r="H170" i="13"/>
  <c r="G170" i="13"/>
  <c r="F170" i="13"/>
  <c r="E170" i="13"/>
  <c r="K162" i="13"/>
  <c r="J162" i="13"/>
  <c r="H162" i="13"/>
  <c r="G162" i="13"/>
  <c r="E162" i="13"/>
  <c r="F45" i="13"/>
  <c r="F46" i="13"/>
  <c r="K48" i="13"/>
  <c r="J48" i="13"/>
  <c r="F48" i="13"/>
  <c r="K108" i="13"/>
  <c r="J81" i="13"/>
  <c r="K81" i="13"/>
  <c r="F81" i="13"/>
  <c r="E81" i="13"/>
  <c r="J62" i="13"/>
  <c r="F62" i="13"/>
  <c r="K62" i="13"/>
  <c r="F92" i="13"/>
  <c r="J92" i="13"/>
  <c r="K92" i="13"/>
  <c r="K58" i="13"/>
  <c r="J58" i="13"/>
  <c r="F58" i="13"/>
  <c r="F65" i="13"/>
  <c r="K65" i="13"/>
  <c r="J65" i="13"/>
  <c r="K77" i="13"/>
  <c r="J77" i="13"/>
  <c r="F77" i="13"/>
  <c r="J69" i="13"/>
  <c r="E69" i="13"/>
  <c r="K69" i="13"/>
  <c r="F69" i="13"/>
  <c r="F80" i="13"/>
  <c r="F88" i="13"/>
  <c r="F91" i="13"/>
  <c r="E91" i="13"/>
  <c r="J91" i="13"/>
  <c r="F56" i="13"/>
  <c r="F46" i="11"/>
  <c r="F9" i="10"/>
  <c r="E9" i="10"/>
  <c r="K53" i="10"/>
  <c r="L49" i="25"/>
  <c r="K78" i="25"/>
  <c r="H78" i="25"/>
  <c r="F78" i="25"/>
  <c r="E78" i="25"/>
  <c r="J78" i="25"/>
  <c r="G78" i="25"/>
  <c r="E71" i="25"/>
  <c r="J71" i="25"/>
  <c r="G71" i="25"/>
  <c r="F71" i="25"/>
  <c r="H71" i="25"/>
  <c r="K71" i="25"/>
  <c r="H58" i="25"/>
  <c r="J58" i="25"/>
  <c r="K58" i="25"/>
  <c r="F58" i="25"/>
  <c r="J64" i="25"/>
  <c r="E64" i="25"/>
  <c r="H64" i="25"/>
  <c r="F64" i="25"/>
  <c r="G64" i="25"/>
  <c r="K64" i="25"/>
  <c r="K74" i="25"/>
  <c r="J74" i="25"/>
  <c r="G74" i="25"/>
  <c r="F74" i="25"/>
  <c r="E74" i="25"/>
  <c r="H74" i="25"/>
  <c r="F86" i="25"/>
  <c r="H86" i="25"/>
  <c r="G86" i="25"/>
  <c r="K86" i="25"/>
  <c r="J86" i="25"/>
  <c r="F96" i="25"/>
  <c r="K96" i="25"/>
  <c r="J96" i="25"/>
  <c r="G96" i="25"/>
  <c r="H96" i="25"/>
  <c r="G33" i="25"/>
  <c r="K33" i="25"/>
  <c r="J33" i="25"/>
  <c r="H33" i="25"/>
  <c r="E33" i="25"/>
  <c r="I43" i="25" s="1"/>
  <c r="L43" i="25"/>
  <c r="F33" i="25"/>
  <c r="L34" i="25"/>
  <c r="E96" i="25"/>
  <c r="K29" i="25"/>
  <c r="J29" i="25"/>
  <c r="H29" i="25"/>
  <c r="G29" i="25"/>
  <c r="F29" i="25"/>
  <c r="E22" i="25"/>
  <c r="K18" i="25"/>
  <c r="K17" i="25" s="1"/>
  <c r="J18" i="25"/>
  <c r="H18" i="25"/>
  <c r="H17" i="25" s="1"/>
  <c r="G18" i="25"/>
  <c r="G17" i="25" s="1"/>
  <c r="F18" i="25"/>
  <c r="E18" i="25"/>
  <c r="G22" i="25"/>
  <c r="K22" i="25"/>
  <c r="J22" i="25"/>
  <c r="H22" i="25"/>
  <c r="F22" i="25"/>
  <c r="I49" i="25"/>
  <c r="H86" i="26"/>
  <c r="E86" i="26"/>
  <c r="K86" i="26"/>
  <c r="G86" i="26"/>
  <c r="F86" i="26"/>
  <c r="J86" i="26"/>
  <c r="E77" i="26"/>
  <c r="F77" i="26"/>
  <c r="F64" i="26"/>
  <c r="H63" i="26"/>
  <c r="H62" i="26" s="1"/>
  <c r="J63" i="26"/>
  <c r="G63" i="26"/>
  <c r="G62" i="26" s="1"/>
  <c r="E64" i="26"/>
  <c r="E63" i="26" s="1"/>
  <c r="K64" i="26"/>
  <c r="J64" i="26"/>
  <c r="F63" i="26"/>
  <c r="K63" i="26"/>
  <c r="K62" i="26" s="1"/>
  <c r="L46" i="26"/>
  <c r="K39" i="26"/>
  <c r="J39" i="26"/>
  <c r="G39" i="26"/>
  <c r="F39" i="26"/>
  <c r="I46" i="26"/>
  <c r="L43" i="26"/>
  <c r="I43" i="26"/>
  <c r="I27" i="26"/>
  <c r="H39" i="26"/>
  <c r="F36" i="26"/>
  <c r="E36" i="26"/>
  <c r="K36" i="26"/>
  <c r="J36" i="26"/>
  <c r="H54" i="26"/>
  <c r="F81" i="27"/>
  <c r="E81" i="27"/>
  <c r="E80" i="27" s="1"/>
  <c r="J72" i="27"/>
  <c r="G72" i="27"/>
  <c r="F72" i="27"/>
  <c r="E72" i="27"/>
  <c r="K72" i="27"/>
  <c r="H72" i="27"/>
  <c r="F63" i="27"/>
  <c r="E63" i="27"/>
  <c r="F52" i="27"/>
  <c r="E52" i="27"/>
  <c r="F51" i="27"/>
  <c r="L32" i="27"/>
  <c r="E21" i="27"/>
  <c r="F28" i="27"/>
  <c r="H28" i="27"/>
  <c r="G28" i="27"/>
  <c r="E28" i="27"/>
  <c r="K28" i="27"/>
  <c r="J28" i="27"/>
  <c r="E24" i="27"/>
  <c r="F24" i="27"/>
  <c r="J24" i="27"/>
  <c r="H24" i="27"/>
  <c r="G24" i="27"/>
  <c r="K24" i="27"/>
  <c r="I42" i="27"/>
  <c r="L42" i="27"/>
  <c r="F91" i="23"/>
  <c r="H79" i="21"/>
  <c r="H52" i="21"/>
  <c r="H104" i="21"/>
  <c r="J101" i="21"/>
  <c r="J79" i="21"/>
  <c r="F104" i="21"/>
  <c r="J52" i="21"/>
  <c r="J104" i="21"/>
  <c r="G67" i="21"/>
  <c r="F34" i="21"/>
  <c r="K79" i="21"/>
  <c r="E67" i="21"/>
  <c r="E34" i="21"/>
  <c r="J34" i="21"/>
  <c r="F51" i="21"/>
  <c r="J61" i="21"/>
  <c r="G34" i="21"/>
  <c r="F101" i="21"/>
  <c r="K34" i="21"/>
  <c r="G101" i="21"/>
  <c r="F61" i="21"/>
  <c r="G61" i="21"/>
  <c r="H61" i="21"/>
  <c r="K88" i="21"/>
  <c r="F88" i="21"/>
  <c r="J88" i="21"/>
  <c r="H51" i="21"/>
  <c r="J51" i="21"/>
  <c r="K51" i="21"/>
  <c r="K30" i="21"/>
  <c r="G29" i="21"/>
  <c r="F29" i="21"/>
  <c r="E30" i="21"/>
  <c r="H29" i="21"/>
  <c r="F30" i="21"/>
  <c r="J29" i="21"/>
  <c r="G30" i="21"/>
  <c r="K29" i="21"/>
  <c r="H30" i="21"/>
  <c r="J30" i="21"/>
  <c r="K89" i="21"/>
  <c r="F89" i="21"/>
  <c r="J89" i="21"/>
  <c r="K138" i="21"/>
  <c r="F138" i="21"/>
  <c r="J138" i="21"/>
  <c r="E181" i="21"/>
  <c r="K209" i="21"/>
  <c r="F181" i="21"/>
  <c r="F194" i="21"/>
  <c r="G181" i="21"/>
  <c r="H181" i="21"/>
  <c r="E209" i="21" a="1"/>
  <c r="E209" i="21" s="1"/>
  <c r="J181" i="21"/>
  <c r="K181" i="21"/>
  <c r="G209" i="21"/>
  <c r="E194" i="21"/>
  <c r="H209" i="21"/>
  <c r="J209" i="21"/>
  <c r="J100" i="21"/>
  <c r="K100" i="21"/>
  <c r="G100" i="21"/>
  <c r="H100" i="21"/>
  <c r="J24" i="21"/>
  <c r="K71" i="21"/>
  <c r="J75" i="21"/>
  <c r="H67" i="21"/>
  <c r="J67" i="21"/>
  <c r="E24" i="21"/>
  <c r="E122" i="21"/>
  <c r="H75" i="21"/>
  <c r="K8" i="21"/>
  <c r="K75" i="21"/>
  <c r="E29" i="25"/>
  <c r="J102" i="14"/>
  <c r="F101" i="14"/>
  <c r="K102" i="14" a="1"/>
  <c r="K102" i="14" s="1"/>
  <c r="K101" i="14"/>
  <c r="J101" i="14"/>
  <c r="F102" i="14"/>
  <c r="F113" i="14"/>
  <c r="F114" i="14"/>
  <c r="J114" i="14"/>
  <c r="K114" i="14"/>
  <c r="F14" i="10"/>
  <c r="G14" i="10"/>
  <c r="H14" i="10"/>
  <c r="J14" i="10"/>
  <c r="H9" i="10"/>
  <c r="K65" i="10"/>
  <c r="G9" i="10"/>
  <c r="J9" i="10"/>
  <c r="K9" i="10"/>
  <c r="K62" i="10"/>
  <c r="J65" i="10"/>
  <c r="K45" i="10"/>
  <c r="K56" i="10"/>
  <c r="F45" i="10"/>
  <c r="J124" i="10"/>
  <c r="F53" i="10"/>
  <c r="G45" i="10"/>
  <c r="K124" i="10"/>
  <c r="E73" i="10"/>
  <c r="E62" i="10"/>
  <c r="F56" i="10"/>
  <c r="H45" i="10"/>
  <c r="F73" i="10"/>
  <c r="F65" i="10"/>
  <c r="F62" i="10"/>
  <c r="J45" i="10"/>
  <c r="F124" i="10"/>
  <c r="J53" i="10"/>
  <c r="K105" i="10"/>
  <c r="G124" i="10"/>
  <c r="J56" i="10"/>
  <c r="H124" i="10"/>
  <c r="J62" i="10"/>
  <c r="K77" i="10"/>
  <c r="E77" i="10"/>
  <c r="F35" i="10"/>
  <c r="K67" i="21"/>
  <c r="H71" i="21"/>
  <c r="J71" i="21"/>
  <c r="K24" i="21"/>
  <c r="E8" i="21"/>
  <c r="J8" i="21"/>
  <c r="G97" i="23"/>
  <c r="H91" i="23"/>
  <c r="F97" i="23"/>
  <c r="G91" i="23"/>
  <c r="K91" i="23"/>
  <c r="H97" i="23"/>
  <c r="K104" i="23"/>
  <c r="J91" i="23"/>
  <c r="J104" i="23"/>
  <c r="H104" i="23"/>
  <c r="G54" i="26"/>
  <c r="E25" i="29"/>
  <c r="E14" i="29" s="1"/>
  <c r="F25" i="29"/>
  <c r="H25" i="29"/>
  <c r="H33" i="29"/>
  <c r="F33" i="29"/>
  <c r="G25" i="29"/>
  <c r="H20" i="29" s="1"/>
  <c r="J25" i="29"/>
  <c r="G20" i="29"/>
  <c r="E13" i="29"/>
  <c r="F54" i="26"/>
  <c r="J54" i="26"/>
  <c r="K54" i="26"/>
  <c r="E54" i="26"/>
  <c r="E20" i="26" s="1"/>
  <c r="E11" i="25"/>
  <c r="L113" i="10" l="1"/>
  <c r="J112" i="10"/>
  <c r="J104" i="10" s="1"/>
  <c r="K112" i="10"/>
  <c r="K104" i="10" s="1"/>
  <c r="G112" i="10"/>
  <c r="G104" i="10" s="1"/>
  <c r="E179" i="21"/>
  <c r="H87" i="23"/>
  <c r="K87" i="23"/>
  <c r="J87" i="23"/>
  <c r="G87" i="23"/>
  <c r="L88" i="23"/>
  <c r="F84" i="23"/>
  <c r="F104" i="10"/>
  <c r="E118" i="11"/>
  <c r="L25" i="29"/>
  <c r="G33" i="29"/>
  <c r="E33" i="29"/>
  <c r="E15" i="29" s="1"/>
  <c r="K33" i="29"/>
  <c r="L33" i="29" s="1"/>
  <c r="K21" i="27"/>
  <c r="K20" i="27" s="1"/>
  <c r="L63" i="26"/>
  <c r="E72" i="10"/>
  <c r="E23" i="10" s="1"/>
  <c r="E113" i="14"/>
  <c r="E103" i="13"/>
  <c r="F58" i="12"/>
  <c r="F46" i="12" s="1"/>
  <c r="L91" i="12"/>
  <c r="E135" i="12"/>
  <c r="E34" i="12" s="1"/>
  <c r="F30" i="12" s="1"/>
  <c r="I145" i="12"/>
  <c r="L145" i="12"/>
  <c r="G135" i="12"/>
  <c r="F173" i="11"/>
  <c r="E182" i="11"/>
  <c r="K135" i="12"/>
  <c r="J47" i="12"/>
  <c r="E112" i="10"/>
  <c r="E104" i="10" s="1"/>
  <c r="E100" i="21"/>
  <c r="E60" i="21" s="1"/>
  <c r="E126" i="21"/>
  <c r="E121" i="21" s="1"/>
  <c r="E29" i="21"/>
  <c r="I29" i="21" s="1"/>
  <c r="J49" i="14"/>
  <c r="L114" i="14"/>
  <c r="F140" i="14"/>
  <c r="E140" i="14"/>
  <c r="I101" i="21"/>
  <c r="L101" i="21"/>
  <c r="L9" i="10"/>
  <c r="I189" i="11"/>
  <c r="L49" i="12"/>
  <c r="F135" i="12"/>
  <c r="I136" i="12"/>
  <c r="L136" i="12"/>
  <c r="J135" i="12"/>
  <c r="H135" i="12"/>
  <c r="F86" i="12"/>
  <c r="L120" i="15"/>
  <c r="L11" i="15"/>
  <c r="E87" i="15"/>
  <c r="I63" i="26"/>
  <c r="E58" i="25"/>
  <c r="E57" i="25" s="1"/>
  <c r="F57" i="25"/>
  <c r="G57" i="25"/>
  <c r="G183" i="11"/>
  <c r="G182" i="11" s="1"/>
  <c r="G173" i="11" s="1"/>
  <c r="G172" i="11" s="1"/>
  <c r="F183" i="11"/>
  <c r="F118" i="11"/>
  <c r="H183" i="11"/>
  <c r="H182" i="11" s="1"/>
  <c r="I174" i="11"/>
  <c r="E173" i="11"/>
  <c r="F54" i="11"/>
  <c r="L123" i="11"/>
  <c r="I123" i="11"/>
  <c r="E24" i="11"/>
  <c r="K47" i="12"/>
  <c r="L60" i="12"/>
  <c r="L64" i="12"/>
  <c r="L68" i="12"/>
  <c r="I68" i="12"/>
  <c r="F158" i="13"/>
  <c r="E158" i="13"/>
  <c r="I209" i="21"/>
  <c r="I181" i="21"/>
  <c r="I104" i="21"/>
  <c r="I34" i="21"/>
  <c r="L34" i="21"/>
  <c r="L34" i="11"/>
  <c r="L121" i="10"/>
  <c r="L27" i="10"/>
  <c r="I105" i="10"/>
  <c r="L105" i="10"/>
  <c r="I121" i="10"/>
  <c r="I27" i="10"/>
  <c r="I11" i="15"/>
  <c r="I9" i="13"/>
  <c r="L9" i="13"/>
  <c r="K87" i="15"/>
  <c r="J87" i="15"/>
  <c r="F87" i="15"/>
  <c r="F81" i="15" s="1"/>
  <c r="L101" i="15"/>
  <c r="L94" i="15"/>
  <c r="I120" i="15"/>
  <c r="L66" i="15"/>
  <c r="I66" i="15"/>
  <c r="F115" i="15"/>
  <c r="L98" i="15"/>
  <c r="L88" i="15"/>
  <c r="L28" i="13"/>
  <c r="J158" i="13"/>
  <c r="K158" i="13"/>
  <c r="G158" i="13"/>
  <c r="H158" i="13"/>
  <c r="I162" i="13"/>
  <c r="L162" i="13"/>
  <c r="I170" i="13"/>
  <c r="L170" i="13"/>
  <c r="L69" i="13"/>
  <c r="F44" i="13"/>
  <c r="L81" i="13"/>
  <c r="I9" i="10"/>
  <c r="K57" i="25"/>
  <c r="H57" i="25"/>
  <c r="I96" i="25"/>
  <c r="J57" i="25"/>
  <c r="L96" i="25"/>
  <c r="I78" i="25"/>
  <c r="L78" i="25"/>
  <c r="I74" i="25"/>
  <c r="I71" i="25"/>
  <c r="L71" i="25"/>
  <c r="L64" i="25"/>
  <c r="I64" i="25"/>
  <c r="L74" i="25"/>
  <c r="L33" i="25"/>
  <c r="I34" i="25"/>
  <c r="I33" i="25"/>
  <c r="L29" i="25"/>
  <c r="I29" i="25"/>
  <c r="I22" i="25"/>
  <c r="F17" i="25"/>
  <c r="I18" i="25"/>
  <c r="J17" i="25"/>
  <c r="L18" i="25"/>
  <c r="L22" i="25"/>
  <c r="E76" i="26"/>
  <c r="E22" i="26" s="1"/>
  <c r="L86" i="26"/>
  <c r="I86" i="26"/>
  <c r="F76" i="26"/>
  <c r="L64" i="26"/>
  <c r="J62" i="26"/>
  <c r="F62" i="26"/>
  <c r="K30" i="26"/>
  <c r="J30" i="26"/>
  <c r="F30" i="26"/>
  <c r="F26" i="26" s="1"/>
  <c r="E30" i="26"/>
  <c r="L36" i="26" s="1"/>
  <c r="F20" i="27"/>
  <c r="F80" i="27"/>
  <c r="I72" i="27"/>
  <c r="L72" i="27"/>
  <c r="F62" i="27"/>
  <c r="F50" i="27"/>
  <c r="E51" i="27"/>
  <c r="E50" i="27" s="1"/>
  <c r="E15" i="27" s="1"/>
  <c r="E20" i="27"/>
  <c r="L24" i="27"/>
  <c r="I28" i="27"/>
  <c r="L28" i="27"/>
  <c r="I24" i="27"/>
  <c r="J21" i="27"/>
  <c r="J20" i="27" s="1"/>
  <c r="L104" i="23"/>
  <c r="I104" i="23"/>
  <c r="I97" i="23"/>
  <c r="L91" i="23"/>
  <c r="I91" i="23"/>
  <c r="J97" i="23"/>
  <c r="L30" i="21"/>
  <c r="I67" i="21"/>
  <c r="I61" i="21"/>
  <c r="L61" i="21"/>
  <c r="I30" i="21"/>
  <c r="L181" i="21"/>
  <c r="F100" i="21"/>
  <c r="L67" i="21"/>
  <c r="L75" i="21"/>
  <c r="L209" i="21"/>
  <c r="L104" i="21"/>
  <c r="L52" i="21"/>
  <c r="I52" i="21"/>
  <c r="L51" i="21"/>
  <c r="L138" i="21"/>
  <c r="L89" i="21"/>
  <c r="F179" i="21"/>
  <c r="K23" i="21"/>
  <c r="J23" i="21"/>
  <c r="E62" i="27"/>
  <c r="E17" i="25"/>
  <c r="K52" i="10"/>
  <c r="K43" i="10" s="1"/>
  <c r="I116" i="10"/>
  <c r="I45" i="10"/>
  <c r="L62" i="10"/>
  <c r="L45" i="10"/>
  <c r="F52" i="10"/>
  <c r="F43" i="10" s="1"/>
  <c r="I124" i="10"/>
  <c r="L124" i="10"/>
  <c r="J52" i="10"/>
  <c r="L116" i="10"/>
  <c r="F72" i="10"/>
  <c r="L44" i="10"/>
  <c r="K97" i="23"/>
  <c r="I20" i="29"/>
  <c r="I25" i="29"/>
  <c r="L54" i="26"/>
  <c r="I54" i="26"/>
  <c r="I87" i="23" l="1"/>
  <c r="L87" i="23"/>
  <c r="J84" i="23"/>
  <c r="H84" i="23"/>
  <c r="E84" i="23"/>
  <c r="E28" i="23" s="1"/>
  <c r="G84" i="23"/>
  <c r="G28" i="23" s="1"/>
  <c r="K84" i="23"/>
  <c r="K28" i="23" s="1"/>
  <c r="I100" i="21"/>
  <c r="I33" i="29"/>
  <c r="I17" i="25"/>
  <c r="I58" i="25"/>
  <c r="K83" i="15"/>
  <c r="K81" i="15" s="1"/>
  <c r="E30" i="12"/>
  <c r="J30" i="12"/>
  <c r="I135" i="12"/>
  <c r="K30" i="12"/>
  <c r="L135" i="12"/>
  <c r="H173" i="11"/>
  <c r="I173" i="11" s="1"/>
  <c r="E172" i="11"/>
  <c r="E23" i="21"/>
  <c r="E12" i="21" s="1"/>
  <c r="F8" i="21" s="1"/>
  <c r="L29" i="21"/>
  <c r="E62" i="26"/>
  <c r="I62" i="26" s="1"/>
  <c r="L58" i="25"/>
  <c r="F182" i="11"/>
  <c r="I183" i="11"/>
  <c r="L87" i="15"/>
  <c r="J83" i="15"/>
  <c r="J81" i="15" s="1"/>
  <c r="L100" i="21"/>
  <c r="I44" i="10"/>
  <c r="I65" i="15"/>
  <c r="L65" i="15"/>
  <c r="I158" i="13"/>
  <c r="L158" i="13"/>
  <c r="E12" i="25"/>
  <c r="L57" i="25"/>
  <c r="I57" i="25"/>
  <c r="L17" i="25"/>
  <c r="E10" i="25"/>
  <c r="L20" i="27"/>
  <c r="E16" i="27"/>
  <c r="L21" i="27"/>
  <c r="L97" i="23"/>
  <c r="F60" i="21"/>
  <c r="F50" i="21" s="1"/>
  <c r="L88" i="21"/>
  <c r="J43" i="10"/>
  <c r="G116" i="13"/>
  <c r="G115" i="13"/>
  <c r="G114" i="13"/>
  <c r="J107" i="13"/>
  <c r="G107" i="13"/>
  <c r="J106" i="13"/>
  <c r="G106" i="13"/>
  <c r="J105" i="13"/>
  <c r="G105" i="13"/>
  <c r="J40" i="13"/>
  <c r="G40" i="13"/>
  <c r="J39" i="13"/>
  <c r="G39" i="13"/>
  <c r="J38" i="13"/>
  <c r="G38" i="13"/>
  <c r="J37" i="13"/>
  <c r="G37" i="13"/>
  <c r="G99" i="12"/>
  <c r="G98" i="12"/>
  <c r="G97" i="12"/>
  <c r="J90" i="12"/>
  <c r="G90" i="12"/>
  <c r="J89" i="12"/>
  <c r="G89" i="12"/>
  <c r="J88" i="12"/>
  <c r="G88" i="12"/>
  <c r="J42" i="12"/>
  <c r="G42" i="12"/>
  <c r="J41" i="12"/>
  <c r="G41" i="12"/>
  <c r="J40" i="12"/>
  <c r="G40" i="12"/>
  <c r="J39" i="12"/>
  <c r="G39" i="12"/>
  <c r="J122" i="11"/>
  <c r="G122" i="11"/>
  <c r="J121" i="11"/>
  <c r="G121" i="11"/>
  <c r="J120" i="11"/>
  <c r="G120" i="11"/>
  <c r="J50" i="11"/>
  <c r="G50" i="11"/>
  <c r="J49" i="11"/>
  <c r="G49" i="11"/>
  <c r="J48" i="11"/>
  <c r="G48" i="11"/>
  <c r="J47" i="11"/>
  <c r="G47" i="11"/>
  <c r="G100" i="10"/>
  <c r="G99" i="10"/>
  <c r="J76" i="10"/>
  <c r="G76" i="10"/>
  <c r="J75" i="10"/>
  <c r="G75" i="10"/>
  <c r="J74" i="10"/>
  <c r="G74" i="10"/>
  <c r="J39" i="10"/>
  <c r="G39" i="10"/>
  <c r="J38" i="10"/>
  <c r="G38" i="10"/>
  <c r="J37" i="10"/>
  <c r="G37" i="10"/>
  <c r="J36" i="10"/>
  <c r="G36" i="10"/>
  <c r="G19" i="23"/>
  <c r="E155" i="16"/>
  <c r="E153" i="16"/>
  <c r="E152" i="16"/>
  <c r="E151" i="16"/>
  <c r="E150" i="16"/>
  <c r="E149" i="16"/>
  <c r="E148" i="16"/>
  <c r="E147" i="16"/>
  <c r="E146" i="16"/>
  <c r="E145" i="16"/>
  <c r="E132" i="16"/>
  <c r="E131" i="16"/>
  <c r="E130" i="16"/>
  <c r="E129" i="16"/>
  <c r="E128" i="16"/>
  <c r="E127" i="16"/>
  <c r="E126" i="16"/>
  <c r="E125" i="16"/>
  <c r="E110" i="16"/>
  <c r="E109" i="16"/>
  <c r="E108" i="16"/>
  <c r="E107" i="16"/>
  <c r="E106" i="16"/>
  <c r="E105" i="16"/>
  <c r="E104" i="16"/>
  <c r="E103" i="16"/>
  <c r="E99" i="16"/>
  <c r="E98" i="16"/>
  <c r="E97" i="16"/>
  <c r="E91" i="16"/>
  <c r="E68" i="16"/>
  <c r="E67" i="16"/>
  <c r="E66" i="16"/>
  <c r="E61" i="16"/>
  <c r="E60" i="16"/>
  <c r="E59" i="16"/>
  <c r="E53" i="16"/>
  <c r="E42" i="16"/>
  <c r="E41" i="16"/>
  <c r="E40" i="16"/>
  <c r="E27" i="16"/>
  <c r="E26" i="16"/>
  <c r="E25" i="16"/>
  <c r="E14" i="16"/>
  <c r="E13" i="16"/>
  <c r="E11" i="16"/>
  <c r="E10" i="16"/>
  <c r="E9" i="16"/>
  <c r="E68" i="23"/>
  <c r="E67" i="23"/>
  <c r="E66" i="23"/>
  <c r="E59" i="23"/>
  <c r="E58" i="23"/>
  <c r="E57" i="23"/>
  <c r="E52" i="23"/>
  <c r="E51" i="23"/>
  <c r="E50" i="23"/>
  <c r="E49" i="23"/>
  <c r="E47" i="23"/>
  <c r="E46" i="23"/>
  <c r="E45" i="23"/>
  <c r="E43" i="23"/>
  <c r="E42" i="23"/>
  <c r="E41" i="23"/>
  <c r="E36" i="23"/>
  <c r="E35" i="23"/>
  <c r="E34" i="23"/>
  <c r="E33" i="23"/>
  <c r="E26" i="23"/>
  <c r="E25" i="23"/>
  <c r="E24" i="23"/>
  <c r="E22" i="23"/>
  <c r="E20" i="23"/>
  <c r="E19" i="23"/>
  <c r="E18" i="23"/>
  <c r="E86" i="31"/>
  <c r="E85" i="31"/>
  <c r="E84" i="31"/>
  <c r="E83" i="31"/>
  <c r="E82" i="31"/>
  <c r="E81" i="31"/>
  <c r="E80" i="31"/>
  <c r="E78" i="31"/>
  <c r="E73" i="31"/>
  <c r="E72" i="31"/>
  <c r="E71" i="31"/>
  <c r="E70" i="31"/>
  <c r="E69" i="31"/>
  <c r="E68" i="31"/>
  <c r="E67" i="31"/>
  <c r="E66" i="31"/>
  <c r="E65" i="31"/>
  <c r="E64" i="31"/>
  <c r="E63" i="31"/>
  <c r="E62" i="31"/>
  <c r="E60" i="31"/>
  <c r="E59" i="31"/>
  <c r="E58" i="31"/>
  <c r="E57" i="31"/>
  <c r="E56" i="31"/>
  <c r="E54" i="31"/>
  <c r="E49" i="31"/>
  <c r="E48" i="31"/>
  <c r="E47" i="31"/>
  <c r="E46" i="31"/>
  <c r="E45" i="31"/>
  <c r="E44" i="31"/>
  <c r="E43" i="31"/>
  <c r="E41" i="31"/>
  <c r="E39" i="31"/>
  <c r="E38" i="31"/>
  <c r="E37" i="31"/>
  <c r="E36" i="31"/>
  <c r="E35" i="31"/>
  <c r="E34" i="31"/>
  <c r="E33" i="31"/>
  <c r="E32" i="31"/>
  <c r="E31" i="31"/>
  <c r="E30" i="31"/>
  <c r="E29" i="31"/>
  <c r="E27" i="31"/>
  <c r="E26" i="31"/>
  <c r="E25" i="31"/>
  <c r="E24" i="31"/>
  <c r="E18" i="31"/>
  <c r="E17" i="31"/>
  <c r="E16" i="31"/>
  <c r="E17" i="20"/>
  <c r="E16" i="20"/>
  <c r="E19" i="20"/>
  <c r="J62" i="20"/>
  <c r="G62" i="20"/>
  <c r="E62" i="20"/>
  <c r="J60" i="20"/>
  <c r="G60" i="20"/>
  <c r="E60" i="20"/>
  <c r="E44" i="20"/>
  <c r="E43" i="20"/>
  <c r="E42" i="20"/>
  <c r="E87" i="20"/>
  <c r="E86" i="20"/>
  <c r="E85" i="20"/>
  <c r="E80" i="20"/>
  <c r="E79" i="20"/>
  <c r="E78" i="20"/>
  <c r="E77" i="20"/>
  <c r="E76" i="20"/>
  <c r="E74" i="20"/>
  <c r="E73" i="20"/>
  <c r="E72" i="20"/>
  <c r="E70" i="20"/>
  <c r="E69" i="20"/>
  <c r="E63" i="20"/>
  <c r="E59" i="20"/>
  <c r="E58" i="20"/>
  <c r="E53" i="20"/>
  <c r="E52" i="20"/>
  <c r="E51" i="20"/>
  <c r="E50" i="20"/>
  <c r="E48" i="20"/>
  <c r="E47" i="20"/>
  <c r="E46" i="20"/>
  <c r="E40" i="20"/>
  <c r="E39" i="20"/>
  <c r="E38" i="20"/>
  <c r="E37" i="20"/>
  <c r="E35" i="20"/>
  <c r="E30" i="20"/>
  <c r="E29" i="20"/>
  <c r="E27" i="20"/>
  <c r="E26" i="20"/>
  <c r="E25" i="20"/>
  <c r="E24" i="20"/>
  <c r="E23" i="20"/>
  <c r="E22" i="20"/>
  <c r="E21" i="20"/>
  <c r="J119" i="15"/>
  <c r="G119" i="15"/>
  <c r="J118" i="15"/>
  <c r="G118" i="15"/>
  <c r="J117" i="15"/>
  <c r="G117" i="15"/>
  <c r="G103" i="15"/>
  <c r="G102" i="15"/>
  <c r="G100" i="15"/>
  <c r="G96" i="15"/>
  <c r="G95" i="15"/>
  <c r="G93" i="15"/>
  <c r="G90" i="15"/>
  <c r="G89" i="15"/>
  <c r="G59" i="15"/>
  <c r="G58" i="15"/>
  <c r="F57" i="15"/>
  <c r="E57" i="15"/>
  <c r="G56" i="15"/>
  <c r="G55" i="15"/>
  <c r="G54" i="15"/>
  <c r="F53" i="15"/>
  <c r="E53" i="15"/>
  <c r="G52" i="15"/>
  <c r="G51" i="15"/>
  <c r="G50" i="15"/>
  <c r="G49" i="15"/>
  <c r="F48" i="15"/>
  <c r="E48" i="15"/>
  <c r="G47" i="15"/>
  <c r="G46" i="15"/>
  <c r="G45" i="15"/>
  <c r="G44" i="15"/>
  <c r="E43" i="15"/>
  <c r="G20" i="15"/>
  <c r="G19" i="15"/>
  <c r="G18" i="15"/>
  <c r="G17" i="15"/>
  <c r="E11" i="15"/>
  <c r="J8" i="15"/>
  <c r="G10" i="15"/>
  <c r="J9" i="15"/>
  <c r="G9" i="15"/>
  <c r="G8" i="15"/>
  <c r="F8" i="15"/>
  <c r="H61" i="31" l="1"/>
  <c r="F61" i="31"/>
  <c r="E61" i="31"/>
  <c r="F55" i="31" s="1"/>
  <c r="K61" i="31"/>
  <c r="G61" i="31"/>
  <c r="J61" i="31"/>
  <c r="H8" i="21"/>
  <c r="F43" i="16"/>
  <c r="H43" i="16"/>
  <c r="E58" i="16"/>
  <c r="E65" i="16"/>
  <c r="E63" i="16" s="1"/>
  <c r="E39" i="16"/>
  <c r="E17" i="16" s="1"/>
  <c r="F96" i="16"/>
  <c r="F102" i="16"/>
  <c r="F100" i="16" s="1"/>
  <c r="J102" i="16"/>
  <c r="F123" i="16"/>
  <c r="K102" i="16"/>
  <c r="J123" i="16"/>
  <c r="F144" i="16"/>
  <c r="J144" i="16"/>
  <c r="K144" i="16"/>
  <c r="F39" i="16"/>
  <c r="K65" i="16"/>
  <c r="J65" i="16"/>
  <c r="K63" i="16" s="1"/>
  <c r="F65" i="16"/>
  <c r="E144" i="16"/>
  <c r="E24" i="16"/>
  <c r="F24" i="16"/>
  <c r="E102" i="16"/>
  <c r="H94" i="15"/>
  <c r="K87" i="12"/>
  <c r="H73" i="10"/>
  <c r="H116" i="15"/>
  <c r="H115" i="15" s="1"/>
  <c r="H91" i="12"/>
  <c r="H86" i="12" s="1"/>
  <c r="K116" i="15"/>
  <c r="K115" i="15" s="1"/>
  <c r="H77" i="10"/>
  <c r="H72" i="10" s="1"/>
  <c r="H108" i="13"/>
  <c r="G87" i="12"/>
  <c r="H87" i="12"/>
  <c r="E96" i="16"/>
  <c r="E48" i="23"/>
  <c r="L30" i="12"/>
  <c r="H172" i="11"/>
  <c r="J87" i="12"/>
  <c r="L87" i="12" s="1"/>
  <c r="K36" i="13"/>
  <c r="G8" i="21"/>
  <c r="I8" i="21" s="1"/>
  <c r="E42" i="31"/>
  <c r="E40" i="31" s="1"/>
  <c r="F61" i="20"/>
  <c r="J58" i="16"/>
  <c r="K73" i="10"/>
  <c r="K72" i="10" s="1"/>
  <c r="K46" i="11"/>
  <c r="H101" i="15"/>
  <c r="G98" i="15"/>
  <c r="H98" i="15"/>
  <c r="H88" i="15"/>
  <c r="L62" i="26"/>
  <c r="H46" i="11"/>
  <c r="I182" i="11"/>
  <c r="F172" i="11"/>
  <c r="G36" i="13"/>
  <c r="H36" i="13"/>
  <c r="G91" i="12"/>
  <c r="I91" i="12" s="1"/>
  <c r="J36" i="13"/>
  <c r="L81" i="15"/>
  <c r="L83" i="15"/>
  <c r="G88" i="15"/>
  <c r="G53" i="15"/>
  <c r="J116" i="15"/>
  <c r="G57" i="15"/>
  <c r="G116" i="15"/>
  <c r="I116" i="15" s="1"/>
  <c r="G48" i="15"/>
  <c r="G94" i="15"/>
  <c r="I94" i="15" s="1"/>
  <c r="G101" i="15"/>
  <c r="G43" i="15"/>
  <c r="K53" i="15"/>
  <c r="J53" i="15"/>
  <c r="L57" i="15"/>
  <c r="L48" i="15"/>
  <c r="L43" i="15"/>
  <c r="G108" i="13"/>
  <c r="I108" i="13" s="1"/>
  <c r="J108" i="13"/>
  <c r="L108" i="13" s="1"/>
  <c r="G46" i="11"/>
  <c r="J46" i="11"/>
  <c r="E60" i="23"/>
  <c r="E56" i="23" s="1"/>
  <c r="E11" i="23" s="1"/>
  <c r="J28" i="23"/>
  <c r="F28" i="23"/>
  <c r="K24" i="16"/>
  <c r="J24" i="16"/>
  <c r="J60" i="23"/>
  <c r="F60" i="23"/>
  <c r="K60" i="23"/>
  <c r="G60" i="23"/>
  <c r="L8" i="21"/>
  <c r="H57" i="15"/>
  <c r="H53" i="15"/>
  <c r="G73" i="10"/>
  <c r="I73" i="10" s="1"/>
  <c r="J73" i="10"/>
  <c r="G77" i="10"/>
  <c r="J77" i="10"/>
  <c r="L77" i="10" s="1"/>
  <c r="E23" i="23"/>
  <c r="G119" i="11"/>
  <c r="G118" i="11" s="1"/>
  <c r="H43" i="15"/>
  <c r="J104" i="13"/>
  <c r="E18" i="13"/>
  <c r="K104" i="13"/>
  <c r="K103" i="13" s="1"/>
  <c r="F104" i="13"/>
  <c r="G104" i="13"/>
  <c r="H104" i="13"/>
  <c r="H103" i="13" s="1"/>
  <c r="E86" i="12"/>
  <c r="E21" i="12" s="1"/>
  <c r="J38" i="12"/>
  <c r="F38" i="12"/>
  <c r="K38" i="12"/>
  <c r="G38" i="12"/>
  <c r="H38" i="12"/>
  <c r="G35" i="10"/>
  <c r="K35" i="10"/>
  <c r="H119" i="11"/>
  <c r="H118" i="11" s="1"/>
  <c r="J119" i="11"/>
  <c r="J118" i="11" s="1"/>
  <c r="K119" i="11"/>
  <c r="K118" i="11" s="1"/>
  <c r="H35" i="10"/>
  <c r="J35" i="10"/>
  <c r="H48" i="15"/>
  <c r="H8" i="15"/>
  <c r="I8" i="15" s="1"/>
  <c r="K8" i="15"/>
  <c r="L8" i="15" s="1"/>
  <c r="F58" i="16"/>
  <c r="K58" i="16"/>
  <c r="F23" i="23"/>
  <c r="E8" i="16"/>
  <c r="E17" i="23"/>
  <c r="E16" i="23" s="1"/>
  <c r="G61" i="20"/>
  <c r="J61" i="20"/>
  <c r="F57" i="20"/>
  <c r="E61" i="20"/>
  <c r="E49" i="20"/>
  <c r="E45" i="20"/>
  <c r="E41" i="20"/>
  <c r="L61" i="31" l="1"/>
  <c r="I61" i="31"/>
  <c r="F63" i="16"/>
  <c r="F57" i="16" s="1"/>
  <c r="K57" i="16"/>
  <c r="J63" i="16"/>
  <c r="J57" i="16" s="1"/>
  <c r="L28" i="16"/>
  <c r="L65" i="16"/>
  <c r="E100" i="16"/>
  <c r="E95" i="16" s="1"/>
  <c r="L144" i="16"/>
  <c r="J100" i="16"/>
  <c r="L116" i="15"/>
  <c r="I87" i="12"/>
  <c r="I53" i="15"/>
  <c r="I172" i="11"/>
  <c r="J86" i="12"/>
  <c r="L36" i="13"/>
  <c r="L53" i="15"/>
  <c r="I118" i="11"/>
  <c r="K23" i="16"/>
  <c r="L73" i="10"/>
  <c r="I36" i="13"/>
  <c r="I98" i="15"/>
  <c r="I57" i="15"/>
  <c r="L118" i="11"/>
  <c r="G86" i="12"/>
  <c r="I86" i="12" s="1"/>
  <c r="K86" i="12"/>
  <c r="L38" i="12"/>
  <c r="I101" i="15"/>
  <c r="H87" i="15"/>
  <c r="H81" i="15" s="1"/>
  <c r="I48" i="15"/>
  <c r="I43" i="15"/>
  <c r="L35" i="10"/>
  <c r="G87" i="15"/>
  <c r="I88" i="15"/>
  <c r="G115" i="15"/>
  <c r="I115" i="15" s="1"/>
  <c r="J115" i="15"/>
  <c r="L115" i="15" s="1"/>
  <c r="G103" i="13"/>
  <c r="J103" i="13"/>
  <c r="L104" i="13"/>
  <c r="I104" i="13"/>
  <c r="F103" i="13"/>
  <c r="I46" i="11"/>
  <c r="L46" i="11"/>
  <c r="L60" i="23"/>
  <c r="L58" i="16"/>
  <c r="E23" i="16"/>
  <c r="E16" i="16" s="1"/>
  <c r="F23" i="16"/>
  <c r="L24" i="16"/>
  <c r="J23" i="16"/>
  <c r="G72" i="10"/>
  <c r="I72" i="10" s="1"/>
  <c r="I77" i="10"/>
  <c r="J72" i="10"/>
  <c r="L72" i="10" s="1"/>
  <c r="I38" i="12"/>
  <c r="I119" i="11"/>
  <c r="I35" i="10"/>
  <c r="L119" i="11"/>
  <c r="E75" i="20"/>
  <c r="E32" i="20"/>
  <c r="F95" i="16" l="1"/>
  <c r="I87" i="15"/>
  <c r="L86" i="12"/>
  <c r="G81" i="15"/>
  <c r="I81" i="15" s="1"/>
  <c r="I103" i="13"/>
  <c r="L103" i="13"/>
  <c r="L63" i="16"/>
  <c r="L23" i="16"/>
  <c r="E57" i="16"/>
  <c r="E20" i="20"/>
  <c r="E18" i="20" s="1"/>
  <c r="E15" i="20" s="1"/>
  <c r="G68" i="23"/>
  <c r="G67" i="23"/>
  <c r="G66" i="23"/>
  <c r="J88" i="20"/>
  <c r="G88" i="20"/>
  <c r="E88" i="20"/>
  <c r="E84" i="20" s="1"/>
  <c r="F88" i="20"/>
  <c r="F68" i="20"/>
  <c r="E68" i="20"/>
  <c r="E71" i="20"/>
  <c r="L57" i="16" l="1"/>
  <c r="E18" i="16"/>
  <c r="H60" i="23"/>
  <c r="H28" i="23" s="1"/>
  <c r="E67" i="20"/>
  <c r="H88" i="20"/>
  <c r="I88" i="20" s="1"/>
  <c r="K88" i="20"/>
  <c r="L88" i="20" s="1"/>
  <c r="G86" i="31"/>
  <c r="G85" i="31"/>
  <c r="G84" i="31"/>
  <c r="G83" i="31"/>
  <c r="G82" i="31"/>
  <c r="G81" i="31"/>
  <c r="G80" i="31"/>
  <c r="J79" i="31"/>
  <c r="G79" i="31"/>
  <c r="F79" i="31"/>
  <c r="E79" i="31"/>
  <c r="J78" i="31"/>
  <c r="J77" i="31" s="1"/>
  <c r="G78" i="31"/>
  <c r="G77" i="31"/>
  <c r="F77" i="31"/>
  <c r="J73" i="31"/>
  <c r="G73" i="31"/>
  <c r="J72" i="31"/>
  <c r="G72" i="31"/>
  <c r="J71" i="31"/>
  <c r="G71" i="31"/>
  <c r="J70" i="31"/>
  <c r="G70" i="31"/>
  <c r="J69" i="31"/>
  <c r="G69" i="31"/>
  <c r="J68" i="31"/>
  <c r="G68" i="31"/>
  <c r="J67" i="31"/>
  <c r="G67" i="31"/>
  <c r="J66" i="31"/>
  <c r="G66" i="31"/>
  <c r="J65" i="31"/>
  <c r="G65" i="31"/>
  <c r="J64" i="31"/>
  <c r="G64" i="31"/>
  <c r="J63" i="31"/>
  <c r="G63" i="31"/>
  <c r="J62" i="31"/>
  <c r="G62" i="31"/>
  <c r="G60" i="31"/>
  <c r="G59" i="31"/>
  <c r="G58" i="31"/>
  <c r="G57" i="31"/>
  <c r="G56" i="31"/>
  <c r="J55" i="31"/>
  <c r="E55" i="31"/>
  <c r="E53" i="31" s="1"/>
  <c r="G54" i="31"/>
  <c r="G49" i="31"/>
  <c r="G48" i="31"/>
  <c r="G47" i="31"/>
  <c r="G46" i="31"/>
  <c r="G45" i="31"/>
  <c r="G44" i="31"/>
  <c r="J42" i="31"/>
  <c r="G43" i="31"/>
  <c r="G42" i="31"/>
  <c r="F42" i="31"/>
  <c r="G41" i="31"/>
  <c r="J40" i="31"/>
  <c r="G40" i="31"/>
  <c r="F40" i="31"/>
  <c r="G39" i="31"/>
  <c r="G38" i="31"/>
  <c r="G37" i="31"/>
  <c r="G36" i="31"/>
  <c r="G35" i="31"/>
  <c r="G34" i="31"/>
  <c r="G33" i="31"/>
  <c r="G32" i="31"/>
  <c r="G31" i="31"/>
  <c r="G30" i="31"/>
  <c r="G29" i="31"/>
  <c r="J28" i="31"/>
  <c r="G28" i="31"/>
  <c r="F28" i="31"/>
  <c r="E28" i="31"/>
  <c r="G27" i="31"/>
  <c r="G26" i="31"/>
  <c r="G25" i="31"/>
  <c r="G24" i="31"/>
  <c r="G23" i="31" s="1"/>
  <c r="F23" i="31"/>
  <c r="E23" i="31"/>
  <c r="F22" i="31"/>
  <c r="G18" i="31"/>
  <c r="G17" i="31"/>
  <c r="G16" i="31"/>
  <c r="F15" i="31"/>
  <c r="E15" i="31"/>
  <c r="E8" i="31" s="1"/>
  <c r="G14" i="16"/>
  <c r="G13" i="16"/>
  <c r="H12" i="16" s="1"/>
  <c r="F12" i="16"/>
  <c r="I60" i="23" l="1"/>
  <c r="J15" i="31"/>
  <c r="G15" i="31"/>
  <c r="K23" i="31"/>
  <c r="J23" i="31"/>
  <c r="K79" i="31"/>
  <c r="L79" i="31" s="1"/>
  <c r="H79" i="31"/>
  <c r="I79" i="31" s="1"/>
  <c r="G12" i="16"/>
  <c r="F53" i="31"/>
  <c r="H23" i="31"/>
  <c r="I23" i="31" s="1"/>
  <c r="H42" i="31"/>
  <c r="I42" i="31" s="1"/>
  <c r="H28" i="31"/>
  <c r="I28" i="31" s="1"/>
  <c r="K42" i="31"/>
  <c r="L42" i="31" s="1"/>
  <c r="H15" i="31"/>
  <c r="K15" i="31"/>
  <c r="E10" i="31"/>
  <c r="K55" i="31"/>
  <c r="L55" i="31" s="1"/>
  <c r="J22" i="31"/>
  <c r="E77" i="31"/>
  <c r="K28" i="31"/>
  <c r="L28" i="31" s="1"/>
  <c r="H55" i="31"/>
  <c r="K77" i="31"/>
  <c r="H77" i="31"/>
  <c r="H22" i="31"/>
  <c r="H40" i="31"/>
  <c r="I40" i="31" s="1"/>
  <c r="E22" i="31"/>
  <c r="E9" i="31" s="1"/>
  <c r="G22" i="31"/>
  <c r="K40" i="31"/>
  <c r="L40" i="31" s="1"/>
  <c r="J14" i="16"/>
  <c r="J13" i="16"/>
  <c r="J12" i="16" s="1"/>
  <c r="J11" i="16"/>
  <c r="J10" i="16"/>
  <c r="J9" i="16"/>
  <c r="J35" i="23"/>
  <c r="J34" i="23"/>
  <c r="J32" i="23"/>
  <c r="G175" i="21"/>
  <c r="G172" i="21"/>
  <c r="G171" i="21"/>
  <c r="G170" i="21"/>
  <c r="G169" i="21"/>
  <c r="G168" i="21"/>
  <c r="G167" i="21"/>
  <c r="G166" i="21"/>
  <c r="G165" i="21"/>
  <c r="G164" i="21"/>
  <c r="G163" i="21"/>
  <c r="G162" i="21"/>
  <c r="G161" i="21"/>
  <c r="G160" i="21"/>
  <c r="G159" i="21"/>
  <c r="G158" i="21"/>
  <c r="G157" i="21"/>
  <c r="G156" i="21"/>
  <c r="G155" i="21"/>
  <c r="G154" i="21"/>
  <c r="G153" i="21"/>
  <c r="G152" i="21"/>
  <c r="F151" i="21"/>
  <c r="G147" i="21"/>
  <c r="G146" i="21"/>
  <c r="G145" i="21"/>
  <c r="G144" i="21"/>
  <c r="G143" i="21"/>
  <c r="G142" i="21"/>
  <c r="G141" i="21"/>
  <c r="G140" i="21"/>
  <c r="G139" i="21"/>
  <c r="G137" i="21"/>
  <c r="G136" i="21"/>
  <c r="G135" i="21"/>
  <c r="G134" i="21"/>
  <c r="G133" i="21"/>
  <c r="G132" i="21"/>
  <c r="G131" i="21"/>
  <c r="G130" i="21"/>
  <c r="G129" i="21"/>
  <c r="G128" i="21"/>
  <c r="G125" i="21"/>
  <c r="G124" i="21"/>
  <c r="G123" i="21"/>
  <c r="F122" i="21"/>
  <c r="G117" i="21"/>
  <c r="G98" i="21"/>
  <c r="G91" i="21"/>
  <c r="G90" i="21"/>
  <c r="G46" i="21"/>
  <c r="G45" i="21"/>
  <c r="G44" i="21"/>
  <c r="G43" i="21"/>
  <c r="E42" i="21"/>
  <c r="E13" i="21" s="1"/>
  <c r="G28" i="21"/>
  <c r="G27" i="21"/>
  <c r="G26" i="21"/>
  <c r="G25" i="21"/>
  <c r="F24" i="21"/>
  <c r="G155" i="16"/>
  <c r="G153" i="16"/>
  <c r="G152" i="16"/>
  <c r="G151" i="16"/>
  <c r="G150" i="16"/>
  <c r="G149" i="16"/>
  <c r="G148" i="16"/>
  <c r="G147" i="16"/>
  <c r="G146" i="16"/>
  <c r="G145" i="16"/>
  <c r="H144" i="16" s="1"/>
  <c r="G132" i="16"/>
  <c r="G131" i="16"/>
  <c r="G130" i="16"/>
  <c r="G129" i="16"/>
  <c r="G128" i="16"/>
  <c r="G127" i="16"/>
  <c r="G126" i="16"/>
  <c r="G125" i="16"/>
  <c r="G110" i="16"/>
  <c r="G109" i="16"/>
  <c r="G108" i="16"/>
  <c r="G107" i="16"/>
  <c r="G106" i="16"/>
  <c r="G105" i="16"/>
  <c r="G104" i="16"/>
  <c r="G103" i="16"/>
  <c r="G99" i="16"/>
  <c r="G98" i="16"/>
  <c r="G97" i="16"/>
  <c r="H96" i="16" s="1"/>
  <c r="E74" i="14"/>
  <c r="J53" i="16"/>
  <c r="J43" i="16" s="1"/>
  <c r="G53" i="16"/>
  <c r="G43" i="16" s="1"/>
  <c r="I43" i="16" s="1"/>
  <c r="J41" i="16"/>
  <c r="G41" i="16"/>
  <c r="J40" i="16"/>
  <c r="G40" i="16"/>
  <c r="G59" i="16"/>
  <c r="G61" i="16"/>
  <c r="J35" i="14"/>
  <c r="G37" i="14"/>
  <c r="G35" i="14"/>
  <c r="E88" i="14"/>
  <c r="F78" i="14"/>
  <c r="F81" i="14"/>
  <c r="F85" i="14"/>
  <c r="F88" i="14"/>
  <c r="F91" i="14"/>
  <c r="E91" i="14"/>
  <c r="J90" i="14"/>
  <c r="G90" i="14"/>
  <c r="J89" i="14"/>
  <c r="G89" i="14"/>
  <c r="G87" i="14"/>
  <c r="J87" i="14"/>
  <c r="J92" i="14"/>
  <c r="G92" i="14"/>
  <c r="J131" i="14"/>
  <c r="J129" i="14"/>
  <c r="J128" i="14"/>
  <c r="J127" i="14"/>
  <c r="J126" i="14"/>
  <c r="J125" i="14"/>
  <c r="J124" i="14"/>
  <c r="J123" i="14"/>
  <c r="J122" i="14"/>
  <c r="J121" i="14"/>
  <c r="J120" i="14"/>
  <c r="J119" i="14"/>
  <c r="J118" i="14"/>
  <c r="J139" i="14"/>
  <c r="J138" i="14"/>
  <c r="J137" i="14"/>
  <c r="J185" i="14"/>
  <c r="J184" i="14"/>
  <c r="J183" i="14"/>
  <c r="J182" i="14"/>
  <c r="J181" i="14"/>
  <c r="J180" i="14"/>
  <c r="J179" i="14"/>
  <c r="J178" i="14"/>
  <c r="J177" i="14"/>
  <c r="J176" i="14"/>
  <c r="J175" i="14"/>
  <c r="J174" i="14"/>
  <c r="J173" i="14"/>
  <c r="J172" i="14"/>
  <c r="J171" i="14"/>
  <c r="J170" i="14"/>
  <c r="J169" i="14"/>
  <c r="J168" i="14"/>
  <c r="J167" i="14"/>
  <c r="J166" i="14"/>
  <c r="J165" i="14"/>
  <c r="J164" i="14"/>
  <c r="J162" i="14"/>
  <c r="J161" i="14"/>
  <c r="J160" i="14"/>
  <c r="J159" i="14"/>
  <c r="J158" i="14"/>
  <c r="J157" i="14"/>
  <c r="J156" i="14"/>
  <c r="J155" i="14"/>
  <c r="J154" i="14"/>
  <c r="J153" i="14"/>
  <c r="J151" i="14"/>
  <c r="J150" i="14"/>
  <c r="J149" i="14"/>
  <c r="J148" i="14"/>
  <c r="J147" i="14"/>
  <c r="J146" i="14"/>
  <c r="J145" i="14"/>
  <c r="J144" i="14"/>
  <c r="J143" i="14"/>
  <c r="J142" i="14"/>
  <c r="K141" i="14" s="1"/>
  <c r="F136" i="14"/>
  <c r="F135" i="14" s="1"/>
  <c r="J221" i="14"/>
  <c r="J220" i="14"/>
  <c r="J219" i="14"/>
  <c r="J218" i="14"/>
  <c r="J217" i="14"/>
  <c r="J216" i="14"/>
  <c r="J215" i="14"/>
  <c r="J214" i="14"/>
  <c r="J213" i="14"/>
  <c r="J212" i="14"/>
  <c r="J211" i="14"/>
  <c r="J210" i="14"/>
  <c r="J209" i="14"/>
  <c r="J207" i="14"/>
  <c r="J206" i="14"/>
  <c r="J205" i="14"/>
  <c r="J204" i="14"/>
  <c r="J203" i="14"/>
  <c r="J193" i="14"/>
  <c r="G193" i="14"/>
  <c r="G191" i="14" s="1"/>
  <c r="J192" i="14"/>
  <c r="G192" i="14"/>
  <c r="F191" i="14"/>
  <c r="F190" i="14" s="1"/>
  <c r="J45" i="14"/>
  <c r="J44" i="14"/>
  <c r="J43" i="14"/>
  <c r="G44" i="14"/>
  <c r="F41" i="14"/>
  <c r="E41" i="14"/>
  <c r="E19" i="14" s="1"/>
  <c r="F56" i="23"/>
  <c r="F74" i="14"/>
  <c r="J99" i="14"/>
  <c r="J98" i="14"/>
  <c r="J97" i="14"/>
  <c r="J96" i="14"/>
  <c r="J95" i="14"/>
  <c r="J94" i="14"/>
  <c r="J93" i="14"/>
  <c r="J86" i="14"/>
  <c r="J85" i="14" s="1"/>
  <c r="J84" i="14"/>
  <c r="J83" i="14"/>
  <c r="J82" i="14"/>
  <c r="J80" i="14"/>
  <c r="J79" i="14"/>
  <c r="J77" i="14"/>
  <c r="J76" i="14"/>
  <c r="J75" i="14"/>
  <c r="J71" i="14"/>
  <c r="J70" i="14"/>
  <c r="J69" i="14"/>
  <c r="J68" i="14"/>
  <c r="J67" i="14"/>
  <c r="J66" i="14"/>
  <c r="J64" i="14"/>
  <c r="G60" i="14"/>
  <c r="G59" i="14"/>
  <c r="G58" i="14"/>
  <c r="G57" i="14"/>
  <c r="G55" i="14"/>
  <c r="G56" i="14"/>
  <c r="J60" i="14"/>
  <c r="J59" i="14"/>
  <c r="J58" i="14"/>
  <c r="J57" i="14"/>
  <c r="J56" i="14"/>
  <c r="J55" i="14"/>
  <c r="J53" i="14"/>
  <c r="J52" i="14"/>
  <c r="J51" i="14"/>
  <c r="J54" i="14"/>
  <c r="G53" i="14"/>
  <c r="G51" i="14"/>
  <c r="F50" i="14"/>
  <c r="G54" i="14"/>
  <c r="G52" i="14"/>
  <c r="G139" i="14"/>
  <c r="G138" i="14"/>
  <c r="G137" i="14"/>
  <c r="G136" i="14" s="1"/>
  <c r="G57" i="23"/>
  <c r="J57" i="23"/>
  <c r="G45" i="14"/>
  <c r="G43" i="14"/>
  <c r="J42" i="14"/>
  <c r="G42" i="14"/>
  <c r="G64" i="14"/>
  <c r="E65" i="14"/>
  <c r="F17" i="23"/>
  <c r="F40" i="23"/>
  <c r="F48" i="23"/>
  <c r="G35" i="23"/>
  <c r="J23" i="23"/>
  <c r="J59" i="23"/>
  <c r="G59" i="23"/>
  <c r="E32" i="23"/>
  <c r="E9" i="23" s="1"/>
  <c r="E44" i="23"/>
  <c r="E40" i="23" s="1"/>
  <c r="E10" i="23" s="1"/>
  <c r="J58" i="23"/>
  <c r="G58" i="23"/>
  <c r="G52" i="23"/>
  <c r="G51" i="23"/>
  <c r="G50" i="23"/>
  <c r="G49" i="23"/>
  <c r="J47" i="23"/>
  <c r="G47" i="23"/>
  <c r="J46" i="23"/>
  <c r="G46" i="23"/>
  <c r="J45" i="23"/>
  <c r="G45" i="23"/>
  <c r="F44" i="23"/>
  <c r="G43" i="23"/>
  <c r="G41" i="23"/>
  <c r="J36" i="23"/>
  <c r="G36" i="23"/>
  <c r="G34" i="23"/>
  <c r="J33" i="23"/>
  <c r="G33" i="23"/>
  <c r="F32" i="23"/>
  <c r="J27" i="23"/>
  <c r="G27" i="23"/>
  <c r="J25" i="23"/>
  <c r="G25" i="23"/>
  <c r="J24" i="23"/>
  <c r="G24" i="23"/>
  <c r="G23" i="23" s="1"/>
  <c r="J21" i="23"/>
  <c r="G22" i="23"/>
  <c r="G20" i="23"/>
  <c r="G18" i="23"/>
  <c r="E57" i="20"/>
  <c r="G21" i="20"/>
  <c r="F49" i="20"/>
  <c r="F45" i="20"/>
  <c r="F41" i="20"/>
  <c r="F36" i="20"/>
  <c r="G35" i="20"/>
  <c r="G40" i="20"/>
  <c r="G39" i="20"/>
  <c r="G38" i="20"/>
  <c r="G37" i="20"/>
  <c r="J40" i="20"/>
  <c r="J39" i="20"/>
  <c r="J38" i="20"/>
  <c r="J44" i="20"/>
  <c r="J43" i="20"/>
  <c r="J42" i="20"/>
  <c r="J41" i="20" s="1"/>
  <c r="J48" i="20"/>
  <c r="J47" i="20"/>
  <c r="J46" i="20"/>
  <c r="G48" i="20"/>
  <c r="G47" i="20"/>
  <c r="G46" i="20"/>
  <c r="J53" i="20"/>
  <c r="J52" i="20"/>
  <c r="J51" i="20"/>
  <c r="J50" i="20"/>
  <c r="G58" i="20"/>
  <c r="G57" i="20" s="1"/>
  <c r="J58" i="20"/>
  <c r="G86" i="20"/>
  <c r="F84" i="20"/>
  <c r="J84" i="20"/>
  <c r="G78" i="20"/>
  <c r="G69" i="20"/>
  <c r="G53" i="20"/>
  <c r="G52" i="20"/>
  <c r="G51" i="20"/>
  <c r="G50" i="20"/>
  <c r="G44" i="20"/>
  <c r="G43" i="20"/>
  <c r="G42" i="20"/>
  <c r="J30" i="20"/>
  <c r="J29" i="20"/>
  <c r="J28" i="20" s="1"/>
  <c r="J27" i="20"/>
  <c r="J26" i="20"/>
  <c r="J25" i="20"/>
  <c r="J24" i="20"/>
  <c r="J23" i="20"/>
  <c r="J22" i="20"/>
  <c r="J21" i="20"/>
  <c r="G30" i="20"/>
  <c r="G29" i="20"/>
  <c r="G27" i="20"/>
  <c r="G26" i="20"/>
  <c r="G25" i="20"/>
  <c r="G24" i="20"/>
  <c r="G23" i="20"/>
  <c r="G22" i="20"/>
  <c r="G16" i="20"/>
  <c r="G17" i="20"/>
  <c r="G19" i="20"/>
  <c r="F20" i="20"/>
  <c r="F28" i="20"/>
  <c r="E28" i="20"/>
  <c r="E36" i="20"/>
  <c r="E34" i="20" s="1"/>
  <c r="G87" i="20"/>
  <c r="G85" i="20"/>
  <c r="G80" i="20"/>
  <c r="G79" i="20"/>
  <c r="G77" i="20"/>
  <c r="G76" i="20"/>
  <c r="F75" i="20"/>
  <c r="G74" i="20"/>
  <c r="G73" i="20"/>
  <c r="G72" i="20"/>
  <c r="F71" i="20"/>
  <c r="G70" i="20"/>
  <c r="J63" i="20"/>
  <c r="K61" i="20" s="1"/>
  <c r="L61" i="20" s="1"/>
  <c r="G63" i="20"/>
  <c r="H61" i="20" s="1"/>
  <c r="I61" i="20" s="1"/>
  <c r="J59" i="20"/>
  <c r="G59" i="20"/>
  <c r="H53" i="31" l="1"/>
  <c r="I55" i="31"/>
  <c r="G123" i="16"/>
  <c r="I123" i="16" s="1"/>
  <c r="H123" i="16"/>
  <c r="H102" i="16"/>
  <c r="G96" i="16"/>
  <c r="G144" i="16"/>
  <c r="I144" i="16" s="1"/>
  <c r="J39" i="16"/>
  <c r="G102" i="16"/>
  <c r="I15" i="31"/>
  <c r="K152" i="14"/>
  <c r="K53" i="31"/>
  <c r="K202" i="14"/>
  <c r="K117" i="14"/>
  <c r="K208" i="14"/>
  <c r="K17" i="23"/>
  <c r="J17" i="23"/>
  <c r="L15" i="31"/>
  <c r="I22" i="31"/>
  <c r="L23" i="31"/>
  <c r="L77" i="31"/>
  <c r="H138" i="21"/>
  <c r="H17" i="23"/>
  <c r="K22" i="31"/>
  <c r="L22" i="31" s="1"/>
  <c r="J53" i="31"/>
  <c r="I77" i="31"/>
  <c r="G53" i="31"/>
  <c r="H39" i="16"/>
  <c r="K123" i="16"/>
  <c r="H58" i="16"/>
  <c r="J202" i="14"/>
  <c r="L202" i="14" s="1"/>
  <c r="J191" i="14"/>
  <c r="K65" i="14"/>
  <c r="J141" i="14"/>
  <c r="J208" i="14"/>
  <c r="L208" i="14" s="1"/>
  <c r="J152" i="14"/>
  <c r="L152" i="14" s="1"/>
  <c r="J136" i="14"/>
  <c r="G135" i="14"/>
  <c r="J163" i="14"/>
  <c r="J117" i="14"/>
  <c r="L117" i="14" s="1"/>
  <c r="H88" i="21"/>
  <c r="H89" i="21"/>
  <c r="G39" i="16"/>
  <c r="F23" i="21"/>
  <c r="L24" i="21"/>
  <c r="L71" i="21"/>
  <c r="G89" i="21"/>
  <c r="G88" i="21"/>
  <c r="G51" i="21"/>
  <c r="I51" i="21" s="1"/>
  <c r="G138" i="21"/>
  <c r="I138" i="21" s="1"/>
  <c r="G75" i="21"/>
  <c r="I75" i="21" s="1"/>
  <c r="G71" i="21"/>
  <c r="I71" i="21" s="1"/>
  <c r="I79" i="21"/>
  <c r="L79" i="21"/>
  <c r="G127" i="21"/>
  <c r="I127" i="21" s="1"/>
  <c r="F73" i="14"/>
  <c r="F189" i="14"/>
  <c r="F126" i="21"/>
  <c r="G151" i="21"/>
  <c r="K60" i="21"/>
  <c r="J60" i="21"/>
  <c r="G42" i="21"/>
  <c r="J122" i="21"/>
  <c r="G122" i="21"/>
  <c r="J151" i="21"/>
  <c r="G24" i="21"/>
  <c r="J42" i="21"/>
  <c r="G88" i="14"/>
  <c r="E63" i="14"/>
  <c r="E62" i="14" s="1"/>
  <c r="K40" i="23"/>
  <c r="H56" i="23"/>
  <c r="H122" i="21"/>
  <c r="K88" i="14"/>
  <c r="K91" i="14"/>
  <c r="G58" i="16"/>
  <c r="G17" i="23"/>
  <c r="J96" i="16"/>
  <c r="J95" i="16" s="1"/>
  <c r="E19" i="16"/>
  <c r="J8" i="16"/>
  <c r="K12" i="16"/>
  <c r="K96" i="16"/>
  <c r="G56" i="23"/>
  <c r="J20" i="20"/>
  <c r="E11" i="31"/>
  <c r="F34" i="20"/>
  <c r="K57" i="20"/>
  <c r="J57" i="20"/>
  <c r="G68" i="20"/>
  <c r="J45" i="20"/>
  <c r="G49" i="20"/>
  <c r="G36" i="20"/>
  <c r="K68" i="20"/>
  <c r="J49" i="20"/>
  <c r="G28" i="20"/>
  <c r="J18" i="20"/>
  <c r="G45" i="20"/>
  <c r="F67" i="20"/>
  <c r="J68" i="20"/>
  <c r="G20" i="20"/>
  <c r="J71" i="20"/>
  <c r="G84" i="20"/>
  <c r="E8" i="20"/>
  <c r="H42" i="21"/>
  <c r="H151" i="21"/>
  <c r="H126" i="21" s="1"/>
  <c r="H88" i="14"/>
  <c r="H24" i="21"/>
  <c r="H23" i="21" s="1"/>
  <c r="K151" i="21"/>
  <c r="K122" i="21"/>
  <c r="K42" i="21"/>
  <c r="E15" i="21"/>
  <c r="J88" i="14"/>
  <c r="K73" i="14"/>
  <c r="J73" i="14"/>
  <c r="J91" i="14"/>
  <c r="L91" i="14" s="1"/>
  <c r="K85" i="14"/>
  <c r="H136" i="14"/>
  <c r="I136" i="14" s="1"/>
  <c r="K136" i="14"/>
  <c r="K163" i="14"/>
  <c r="K140" i="14" s="1"/>
  <c r="H191" i="14"/>
  <c r="J41" i="14"/>
  <c r="K191" i="14"/>
  <c r="G41" i="14"/>
  <c r="J65" i="14"/>
  <c r="J63" i="14"/>
  <c r="J50" i="14"/>
  <c r="G50" i="14"/>
  <c r="K50" i="14"/>
  <c r="H50" i="14"/>
  <c r="K28" i="20"/>
  <c r="L28" i="20" s="1"/>
  <c r="H41" i="20"/>
  <c r="K41" i="20"/>
  <c r="L41" i="20" s="1"/>
  <c r="H36" i="20"/>
  <c r="H15" i="20"/>
  <c r="H45" i="20"/>
  <c r="K36" i="20"/>
  <c r="K20" i="20"/>
  <c r="H57" i="20"/>
  <c r="I57" i="20" s="1"/>
  <c r="K15" i="20"/>
  <c r="H20" i="20"/>
  <c r="K49" i="20"/>
  <c r="K84" i="20"/>
  <c r="L84" i="20" s="1"/>
  <c r="H28" i="20"/>
  <c r="H40" i="23"/>
  <c r="H48" i="23"/>
  <c r="H44" i="23"/>
  <c r="K44" i="23"/>
  <c r="H41" i="14"/>
  <c r="K41" i="14"/>
  <c r="H23" i="23"/>
  <c r="K23" i="23"/>
  <c r="G40" i="23"/>
  <c r="I40" i="23" s="1"/>
  <c r="J40" i="23"/>
  <c r="J44" i="23"/>
  <c r="G44" i="23"/>
  <c r="G32" i="23"/>
  <c r="K56" i="23"/>
  <c r="K48" i="23"/>
  <c r="G48" i="23"/>
  <c r="J48" i="23"/>
  <c r="J56" i="23"/>
  <c r="G21" i="23"/>
  <c r="K21" i="23"/>
  <c r="H32" i="23"/>
  <c r="K32" i="23"/>
  <c r="L32" i="23" s="1"/>
  <c r="H21" i="23"/>
  <c r="K45" i="20"/>
  <c r="H49" i="20"/>
  <c r="E11" i="20"/>
  <c r="E9" i="20"/>
  <c r="G15" i="20"/>
  <c r="J15" i="20"/>
  <c r="G18" i="20"/>
  <c r="G41" i="20"/>
  <c r="J36" i="20"/>
  <c r="G75" i="20"/>
  <c r="G71" i="20"/>
  <c r="K18" i="20"/>
  <c r="H18" i="20"/>
  <c r="F18" i="20"/>
  <c r="J75" i="20"/>
  <c r="H75" i="20"/>
  <c r="K71" i="20"/>
  <c r="H71" i="20"/>
  <c r="H84" i="20"/>
  <c r="K75" i="20"/>
  <c r="I53" i="31" l="1"/>
  <c r="I88" i="21"/>
  <c r="L40" i="23"/>
  <c r="H100" i="16"/>
  <c r="H95" i="16" s="1"/>
  <c r="G100" i="16"/>
  <c r="I100" i="16" s="1"/>
  <c r="I39" i="16"/>
  <c r="I102" i="16"/>
  <c r="L123" i="16"/>
  <c r="K43" i="16"/>
  <c r="L43" i="16" s="1"/>
  <c r="K39" i="16"/>
  <c r="L39" i="16" s="1"/>
  <c r="K44" i="16"/>
  <c r="L44" i="16" s="1"/>
  <c r="I58" i="16"/>
  <c r="L17" i="23"/>
  <c r="K16" i="23"/>
  <c r="L53" i="31"/>
  <c r="J16" i="23"/>
  <c r="H16" i="23"/>
  <c r="K100" i="16"/>
  <c r="I88" i="14"/>
  <c r="I44" i="23"/>
  <c r="L44" i="23"/>
  <c r="I56" i="23"/>
  <c r="L48" i="23"/>
  <c r="L56" i="23"/>
  <c r="I48" i="23"/>
  <c r="K135" i="14"/>
  <c r="L88" i="14"/>
  <c r="L65" i="14"/>
  <c r="J140" i="14"/>
  <c r="L140" i="14" s="1"/>
  <c r="L141" i="14"/>
  <c r="L163" i="14"/>
  <c r="I89" i="21"/>
  <c r="I122" i="21"/>
  <c r="L122" i="21"/>
  <c r="L151" i="21"/>
  <c r="H60" i="21"/>
  <c r="L42" i="21"/>
  <c r="I42" i="21"/>
  <c r="I20" i="20"/>
  <c r="L20" i="20"/>
  <c r="I32" i="23"/>
  <c r="I18" i="20"/>
  <c r="L18" i="20"/>
  <c r="L50" i="14"/>
  <c r="K49" i="14"/>
  <c r="I50" i="14"/>
  <c r="H49" i="14"/>
  <c r="L102" i="16"/>
  <c r="L96" i="16"/>
  <c r="I17" i="23"/>
  <c r="G16" i="23"/>
  <c r="L60" i="21"/>
  <c r="I24" i="21"/>
  <c r="L23" i="21"/>
  <c r="I151" i="21"/>
  <c r="K50" i="21"/>
  <c r="E50" i="21"/>
  <c r="E14" i="21" s="1"/>
  <c r="G194" i="21"/>
  <c r="G126" i="21"/>
  <c r="I126" i="21" s="1"/>
  <c r="I41" i="14"/>
  <c r="L41" i="14"/>
  <c r="K127" i="21"/>
  <c r="K126" i="21" s="1"/>
  <c r="K121" i="21" s="1"/>
  <c r="J127" i="21"/>
  <c r="J50" i="21"/>
  <c r="H121" i="21"/>
  <c r="G60" i="21"/>
  <c r="G23" i="21"/>
  <c r="I23" i="21" s="1"/>
  <c r="F49" i="14"/>
  <c r="I191" i="14"/>
  <c r="L191" i="14"/>
  <c r="F121" i="21"/>
  <c r="L49" i="20"/>
  <c r="K63" i="14"/>
  <c r="L63" i="14" s="1"/>
  <c r="I96" i="16"/>
  <c r="E21" i="23"/>
  <c r="F21" i="23"/>
  <c r="I84" i="23" s="1"/>
  <c r="L57" i="20"/>
  <c r="I49" i="20"/>
  <c r="I45" i="20"/>
  <c r="L45" i="20"/>
  <c r="I36" i="20"/>
  <c r="L36" i="20"/>
  <c r="H68" i="20"/>
  <c r="I68" i="20" s="1"/>
  <c r="G67" i="20"/>
  <c r="G34" i="20"/>
  <c r="I41" i="20"/>
  <c r="H67" i="20"/>
  <c r="L68" i="20"/>
  <c r="K67" i="20"/>
  <c r="I28" i="20"/>
  <c r="J67" i="20"/>
  <c r="L71" i="20"/>
  <c r="I71" i="20"/>
  <c r="L75" i="20"/>
  <c r="I75" i="20"/>
  <c r="I84" i="20"/>
  <c r="F15" i="20"/>
  <c r="I15" i="20" s="1"/>
  <c r="K62" i="14"/>
  <c r="J62" i="14"/>
  <c r="H34" i="20"/>
  <c r="K34" i="20"/>
  <c r="J34" i="20"/>
  <c r="E10" i="20"/>
  <c r="E39" i="26"/>
  <c r="E72" i="12"/>
  <c r="E78" i="12"/>
  <c r="E77" i="11"/>
  <c r="E14" i="10"/>
  <c r="E81" i="14"/>
  <c r="J87" i="27"/>
  <c r="G87" i="27"/>
  <c r="J86" i="27"/>
  <c r="G86" i="27"/>
  <c r="J85" i="27"/>
  <c r="G85" i="27"/>
  <c r="J84" i="27"/>
  <c r="J81" i="27" s="1"/>
  <c r="G84" i="27"/>
  <c r="G81" i="27" s="1"/>
  <c r="J83" i="27"/>
  <c r="G83" i="27"/>
  <c r="J82" i="27"/>
  <c r="G82" i="27"/>
  <c r="J71" i="27"/>
  <c r="G71" i="27"/>
  <c r="J70" i="27"/>
  <c r="G70" i="27"/>
  <c r="J69" i="27"/>
  <c r="G69" i="27"/>
  <c r="J68" i="27"/>
  <c r="G68" i="27"/>
  <c r="J67" i="27"/>
  <c r="G67" i="27"/>
  <c r="J66" i="27"/>
  <c r="G66" i="27"/>
  <c r="J65" i="27"/>
  <c r="G65" i="27"/>
  <c r="J64" i="27"/>
  <c r="J57" i="27"/>
  <c r="G57" i="27"/>
  <c r="J56" i="27"/>
  <c r="G56" i="27"/>
  <c r="J55" i="27"/>
  <c r="G55" i="27"/>
  <c r="J54" i="27"/>
  <c r="G54" i="27"/>
  <c r="J53" i="27"/>
  <c r="G53" i="27"/>
  <c r="G22" i="27"/>
  <c r="E21" i="26"/>
  <c r="J106" i="26"/>
  <c r="G106" i="26"/>
  <c r="J105" i="26"/>
  <c r="G105" i="26"/>
  <c r="F104" i="26"/>
  <c r="J85" i="26"/>
  <c r="G85" i="26"/>
  <c r="J84" i="26"/>
  <c r="G84" i="26"/>
  <c r="J83" i="26"/>
  <c r="G83" i="26"/>
  <c r="J82" i="26"/>
  <c r="G82" i="26"/>
  <c r="J81" i="26"/>
  <c r="G81" i="26"/>
  <c r="J80" i="26"/>
  <c r="G80" i="26"/>
  <c r="J79" i="26"/>
  <c r="G79" i="26"/>
  <c r="J78" i="26"/>
  <c r="G78" i="26"/>
  <c r="G37" i="26"/>
  <c r="H36" i="26" s="1"/>
  <c r="E86" i="25"/>
  <c r="G95" i="16" l="1"/>
  <c r="I95" i="16" s="1"/>
  <c r="K95" i="16"/>
  <c r="L95" i="16" s="1"/>
  <c r="L100" i="16"/>
  <c r="I23" i="23"/>
  <c r="L84" i="23"/>
  <c r="L28" i="23" s="1"/>
  <c r="H77" i="26"/>
  <c r="H76" i="26" s="1"/>
  <c r="K77" i="26"/>
  <c r="K76" i="26" s="1"/>
  <c r="K63" i="27"/>
  <c r="K62" i="27" s="1"/>
  <c r="K81" i="27"/>
  <c r="G21" i="27"/>
  <c r="G20" i="27" s="1"/>
  <c r="H21" i="27"/>
  <c r="H20" i="27" s="1"/>
  <c r="K52" i="27"/>
  <c r="H52" i="27"/>
  <c r="H63" i="27"/>
  <c r="H62" i="27" s="1"/>
  <c r="L86" i="25"/>
  <c r="I86" i="25"/>
  <c r="L62" i="14"/>
  <c r="J135" i="14"/>
  <c r="L81" i="27"/>
  <c r="L78" i="12"/>
  <c r="E58" i="12"/>
  <c r="E46" i="12" s="1"/>
  <c r="J58" i="12"/>
  <c r="L72" i="12"/>
  <c r="K58" i="12"/>
  <c r="I60" i="21"/>
  <c r="L50" i="21"/>
  <c r="I14" i="10"/>
  <c r="L14" i="10"/>
  <c r="E85" i="25"/>
  <c r="K85" i="25"/>
  <c r="H85" i="25"/>
  <c r="F85" i="25"/>
  <c r="J85" i="25"/>
  <c r="G85" i="25"/>
  <c r="G77" i="26"/>
  <c r="G76" i="26" s="1"/>
  <c r="I76" i="26" s="1"/>
  <c r="J77" i="26"/>
  <c r="J76" i="26" s="1"/>
  <c r="L76" i="26" s="1"/>
  <c r="I39" i="26"/>
  <c r="L39" i="26"/>
  <c r="G36" i="26"/>
  <c r="J51" i="27"/>
  <c r="J52" i="27"/>
  <c r="G52" i="27"/>
  <c r="G51" i="27"/>
  <c r="G50" i="27" s="1"/>
  <c r="H81" i="27"/>
  <c r="I81" i="27" s="1"/>
  <c r="J63" i="27"/>
  <c r="G63" i="27"/>
  <c r="H51" i="27"/>
  <c r="I28" i="23"/>
  <c r="F16" i="23"/>
  <c r="I21" i="23"/>
  <c r="L23" i="23"/>
  <c r="L15" i="20"/>
  <c r="G179" i="21"/>
  <c r="L127" i="21"/>
  <c r="G50" i="21"/>
  <c r="H50" i="21"/>
  <c r="H194" i="21"/>
  <c r="I194" i="21" s="1"/>
  <c r="J194" i="21"/>
  <c r="H196" i="21"/>
  <c r="K194" i="21"/>
  <c r="K179" i="21" s="1"/>
  <c r="G121" i="21"/>
  <c r="I121" i="21" s="1"/>
  <c r="J126" i="21"/>
  <c r="L126" i="21" s="1"/>
  <c r="G64" i="26"/>
  <c r="G104" i="26"/>
  <c r="L21" i="23"/>
  <c r="E8" i="23"/>
  <c r="I67" i="20"/>
  <c r="I34" i="20"/>
  <c r="L67" i="20"/>
  <c r="L34" i="20"/>
  <c r="K80" i="27"/>
  <c r="H80" i="27"/>
  <c r="G80" i="27"/>
  <c r="J80" i="27"/>
  <c r="H64" i="26"/>
  <c r="K104" i="26"/>
  <c r="H104" i="26"/>
  <c r="J104" i="26"/>
  <c r="G196" i="14"/>
  <c r="J200" i="14"/>
  <c r="J199" i="14"/>
  <c r="J198" i="14"/>
  <c r="J197" i="14"/>
  <c r="J196" i="14"/>
  <c r="J195" i="14"/>
  <c r="K74" i="14"/>
  <c r="K81" i="14"/>
  <c r="K78" i="14"/>
  <c r="J78" i="14"/>
  <c r="J33" i="14"/>
  <c r="J37" i="14"/>
  <c r="J36" i="14"/>
  <c r="J34" i="14"/>
  <c r="G12" i="14"/>
  <c r="G11" i="14"/>
  <c r="I21" i="27" l="1"/>
  <c r="I20" i="27"/>
  <c r="I52" i="27"/>
  <c r="L85" i="25"/>
  <c r="L58" i="12"/>
  <c r="I85" i="25"/>
  <c r="E13" i="25"/>
  <c r="I64" i="26"/>
  <c r="G30" i="26"/>
  <c r="G26" i="26" s="1"/>
  <c r="I36" i="26"/>
  <c r="H30" i="26"/>
  <c r="H26" i="26" s="1"/>
  <c r="E26" i="26"/>
  <c r="E19" i="26" s="1"/>
  <c r="L52" i="27"/>
  <c r="K51" i="27"/>
  <c r="L51" i="27" s="1"/>
  <c r="G62" i="27"/>
  <c r="I62" i="27" s="1"/>
  <c r="I63" i="27"/>
  <c r="L63" i="27"/>
  <c r="J62" i="27"/>
  <c r="L62" i="27" s="1"/>
  <c r="J50" i="27"/>
  <c r="H50" i="27"/>
  <c r="I50" i="27" s="1"/>
  <c r="I51" i="27"/>
  <c r="L80" i="27"/>
  <c r="I80" i="27"/>
  <c r="E13" i="27"/>
  <c r="L16" i="23"/>
  <c r="J179" i="21"/>
  <c r="L179" i="21" s="1"/>
  <c r="L194" i="21"/>
  <c r="I50" i="21"/>
  <c r="H179" i="21"/>
  <c r="I179" i="21" s="1"/>
  <c r="J121" i="21"/>
  <c r="L121" i="21" s="1"/>
  <c r="I104" i="26"/>
  <c r="I16" i="23"/>
  <c r="J194" i="14"/>
  <c r="K194" i="14"/>
  <c r="K190" i="14" s="1"/>
  <c r="K189" i="14" s="1"/>
  <c r="H10" i="14"/>
  <c r="L104" i="26"/>
  <c r="J81" i="14"/>
  <c r="L81" i="14" s="1"/>
  <c r="G10" i="14"/>
  <c r="J74" i="14"/>
  <c r="L74" i="14" s="1"/>
  <c r="G203" i="14"/>
  <c r="G221" i="14"/>
  <c r="G220" i="14"/>
  <c r="G219" i="14"/>
  <c r="G218" i="14"/>
  <c r="G217" i="14"/>
  <c r="G216" i="14"/>
  <c r="G215" i="14"/>
  <c r="G214" i="14"/>
  <c r="G213" i="14"/>
  <c r="G212" i="14"/>
  <c r="G211" i="14"/>
  <c r="G210" i="14"/>
  <c r="G209" i="14"/>
  <c r="G207" i="14"/>
  <c r="G206" i="14"/>
  <c r="G205" i="14"/>
  <c r="G204" i="14"/>
  <c r="G200" i="14"/>
  <c r="G199" i="14"/>
  <c r="G198" i="14"/>
  <c r="G197" i="14"/>
  <c r="G195" i="14"/>
  <c r="G185" i="14"/>
  <c r="G184" i="14"/>
  <c r="F131" i="14"/>
  <c r="G145" i="14"/>
  <c r="G144" i="14"/>
  <c r="G143" i="14"/>
  <c r="G142" i="14"/>
  <c r="G131" i="14"/>
  <c r="G129" i="14"/>
  <c r="G115" i="14"/>
  <c r="H114" i="14" s="1"/>
  <c r="G104" i="14"/>
  <c r="G103" i="14"/>
  <c r="G183" i="14"/>
  <c r="G182" i="14"/>
  <c r="G181" i="14"/>
  <c r="G180" i="14"/>
  <c r="G179" i="14"/>
  <c r="G178" i="14"/>
  <c r="G177" i="14"/>
  <c r="G176" i="14"/>
  <c r="G175" i="14"/>
  <c r="G174" i="14"/>
  <c r="G173" i="14"/>
  <c r="G172" i="14"/>
  <c r="G171" i="14"/>
  <c r="G170" i="14"/>
  <c r="G169" i="14"/>
  <c r="G168" i="14"/>
  <c r="G167" i="14"/>
  <c r="G166" i="14"/>
  <c r="G165" i="14"/>
  <c r="G164" i="14"/>
  <c r="G162" i="14"/>
  <c r="G161" i="14"/>
  <c r="G160" i="14"/>
  <c r="G159" i="14"/>
  <c r="G158" i="14"/>
  <c r="G157" i="14"/>
  <c r="G156" i="14"/>
  <c r="G155" i="14"/>
  <c r="G154" i="14"/>
  <c r="G153" i="14"/>
  <c r="G151" i="14"/>
  <c r="G150" i="14"/>
  <c r="G149" i="14"/>
  <c r="G148" i="14"/>
  <c r="G147" i="14"/>
  <c r="G146" i="14"/>
  <c r="G128" i="14"/>
  <c r="G127" i="14"/>
  <c r="G126" i="14"/>
  <c r="G125" i="14"/>
  <c r="G124" i="14"/>
  <c r="G123" i="14"/>
  <c r="G122" i="14"/>
  <c r="G121" i="14"/>
  <c r="G120" i="14"/>
  <c r="G119" i="14"/>
  <c r="G118" i="14"/>
  <c r="G106" i="14"/>
  <c r="G105" i="14"/>
  <c r="G116" i="14"/>
  <c r="G110" i="14"/>
  <c r="G108" i="14"/>
  <c r="G107" i="14"/>
  <c r="G97" i="14"/>
  <c r="G96" i="14"/>
  <c r="G98" i="14"/>
  <c r="G75" i="14"/>
  <c r="G84" i="14"/>
  <c r="G68" i="14"/>
  <c r="G67" i="14"/>
  <c r="J184" i="11"/>
  <c r="J203" i="11"/>
  <c r="J202" i="11"/>
  <c r="J201" i="11"/>
  <c r="J200" i="11"/>
  <c r="J199" i="11"/>
  <c r="J198" i="11"/>
  <c r="J197" i="11"/>
  <c r="J196" i="11"/>
  <c r="J195" i="11"/>
  <c r="J194" i="11"/>
  <c r="J193" i="11"/>
  <c r="J192" i="11"/>
  <c r="J191" i="11"/>
  <c r="J190" i="11"/>
  <c r="J188" i="11"/>
  <c r="J187" i="11"/>
  <c r="J186" i="11"/>
  <c r="J185" i="11"/>
  <c r="J180" i="11"/>
  <c r="J179" i="11"/>
  <c r="J178" i="11"/>
  <c r="J177" i="11"/>
  <c r="J176" i="11"/>
  <c r="J175" i="11"/>
  <c r="J112" i="11"/>
  <c r="J111" i="11"/>
  <c r="J110" i="11"/>
  <c r="J109" i="11"/>
  <c r="J108" i="11"/>
  <c r="J107" i="11"/>
  <c r="J106" i="11"/>
  <c r="K105" i="11" s="1"/>
  <c r="J102" i="11"/>
  <c r="J101" i="11"/>
  <c r="J100" i="11"/>
  <c r="J99" i="11"/>
  <c r="J98" i="11"/>
  <c r="J97" i="11"/>
  <c r="J93" i="11"/>
  <c r="J92" i="11"/>
  <c r="K91" i="11" s="1"/>
  <c r="J90" i="11"/>
  <c r="J89" i="11"/>
  <c r="J88" i="11"/>
  <c r="J87" i="11"/>
  <c r="J86" i="11"/>
  <c r="J85" i="11"/>
  <c r="J84" i="11"/>
  <c r="J83" i="11"/>
  <c r="J80" i="11"/>
  <c r="J79" i="11"/>
  <c r="J78" i="11"/>
  <c r="J76" i="11"/>
  <c r="J75" i="11"/>
  <c r="J73" i="11"/>
  <c r="J72" i="11"/>
  <c r="J71" i="11"/>
  <c r="J70" i="11"/>
  <c r="K69" i="11" s="1"/>
  <c r="J68" i="11"/>
  <c r="J65" i="11"/>
  <c r="J64" i="11"/>
  <c r="J63" i="11"/>
  <c r="J62" i="11"/>
  <c r="K61" i="11" s="1"/>
  <c r="J60" i="11"/>
  <c r="J59" i="11"/>
  <c r="J58" i="11"/>
  <c r="J57" i="11"/>
  <c r="G58" i="11"/>
  <c r="G65" i="11"/>
  <c r="G64" i="11"/>
  <c r="G63" i="11"/>
  <c r="G62" i="11"/>
  <c r="G60" i="11"/>
  <c r="G59" i="11"/>
  <c r="G57" i="11"/>
  <c r="G68" i="11"/>
  <c r="G29" i="11"/>
  <c r="K74" i="11" l="1"/>
  <c r="J74" i="11"/>
  <c r="H102" i="14"/>
  <c r="H152" i="14"/>
  <c r="H202" i="14"/>
  <c r="K174" i="11"/>
  <c r="G61" i="11"/>
  <c r="H61" i="11"/>
  <c r="K189" i="11"/>
  <c r="H208" i="14"/>
  <c r="K95" i="11"/>
  <c r="K96" i="11"/>
  <c r="K82" i="11"/>
  <c r="J77" i="11"/>
  <c r="K77" i="11"/>
  <c r="G117" i="14"/>
  <c r="I117" i="14" s="1"/>
  <c r="H117" i="14"/>
  <c r="I26" i="26"/>
  <c r="H56" i="11"/>
  <c r="H141" i="14"/>
  <c r="J61" i="11"/>
  <c r="L61" i="11" s="1"/>
  <c r="J91" i="11"/>
  <c r="J189" i="11"/>
  <c r="K183" i="11" s="1"/>
  <c r="L194" i="14"/>
  <c r="J190" i="14"/>
  <c r="G202" i="14"/>
  <c r="I202" i="14" s="1"/>
  <c r="G152" i="14"/>
  <c r="I152" i="14" s="1"/>
  <c r="G163" i="14"/>
  <c r="G194" i="14"/>
  <c r="G141" i="14"/>
  <c r="G208" i="14"/>
  <c r="I208" i="14" s="1"/>
  <c r="G102" i="14"/>
  <c r="G56" i="11"/>
  <c r="J56" i="11"/>
  <c r="J69" i="11"/>
  <c r="J82" i="11"/>
  <c r="L82" i="11" s="1"/>
  <c r="J105" i="11"/>
  <c r="K104" i="11"/>
  <c r="J104" i="11"/>
  <c r="J174" i="11"/>
  <c r="J183" i="11"/>
  <c r="J96" i="11"/>
  <c r="J95" i="11"/>
  <c r="I77" i="26"/>
  <c r="I30" i="26"/>
  <c r="J27" i="26"/>
  <c r="L30" i="26"/>
  <c r="K27" i="26"/>
  <c r="K26" i="26" s="1"/>
  <c r="G113" i="14"/>
  <c r="G114" i="14"/>
  <c r="I114" i="14" s="1"/>
  <c r="H194" i="14"/>
  <c r="H190" i="14" s="1"/>
  <c r="H189" i="14" s="1"/>
  <c r="H113" i="14"/>
  <c r="H163" i="14"/>
  <c r="K50" i="27"/>
  <c r="L50" i="27" s="1"/>
  <c r="G36" i="14"/>
  <c r="G34" i="14"/>
  <c r="G33" i="14"/>
  <c r="G21" i="14"/>
  <c r="G20" i="14"/>
  <c r="G19" i="14"/>
  <c r="G18" i="14"/>
  <c r="G14" i="14"/>
  <c r="E102" i="14"/>
  <c r="L102" i="14" s="1"/>
  <c r="E10" i="14"/>
  <c r="E91" i="11"/>
  <c r="G22" i="11"/>
  <c r="G21" i="11"/>
  <c r="K182" i="11" l="1"/>
  <c r="I61" i="11"/>
  <c r="L77" i="11"/>
  <c r="K56" i="11"/>
  <c r="I141" i="14"/>
  <c r="H140" i="14"/>
  <c r="I140" i="14" s="1"/>
  <c r="L189" i="11"/>
  <c r="I163" i="14"/>
  <c r="G190" i="14"/>
  <c r="I194" i="14"/>
  <c r="J189" i="14"/>
  <c r="L189" i="14" s="1"/>
  <c r="L190" i="14"/>
  <c r="L174" i="11"/>
  <c r="L91" i="11"/>
  <c r="L183" i="11"/>
  <c r="J182" i="11"/>
  <c r="K173" i="11" s="1"/>
  <c r="K172" i="11" s="1"/>
  <c r="L77" i="26"/>
  <c r="J26" i="26"/>
  <c r="L26" i="26" s="1"/>
  <c r="L27" i="26"/>
  <c r="I10" i="14"/>
  <c r="L10" i="14"/>
  <c r="F40" i="11"/>
  <c r="L40" i="11" s="1"/>
  <c r="I102" i="14"/>
  <c r="I113" i="14"/>
  <c r="E21" i="14"/>
  <c r="E32" i="14"/>
  <c r="E135" i="14"/>
  <c r="E101" i="14"/>
  <c r="L101" i="14" s="1"/>
  <c r="G34" i="11"/>
  <c r="H34" i="11"/>
  <c r="H40" i="11"/>
  <c r="E32" i="11"/>
  <c r="E85" i="14"/>
  <c r="G111" i="14"/>
  <c r="G109" i="14"/>
  <c r="G99" i="14"/>
  <c r="G95" i="14"/>
  <c r="G94" i="14"/>
  <c r="G93" i="14"/>
  <c r="G86" i="14"/>
  <c r="G83" i="14"/>
  <c r="G82" i="14"/>
  <c r="G80" i="14"/>
  <c r="G79" i="14"/>
  <c r="E78" i="14"/>
  <c r="G77" i="14"/>
  <c r="G76" i="14"/>
  <c r="G71" i="14"/>
  <c r="G70" i="14"/>
  <c r="G69" i="14"/>
  <c r="G66" i="14"/>
  <c r="E105" i="11"/>
  <c r="G112" i="11"/>
  <c r="G110" i="11"/>
  <c r="G109" i="11"/>
  <c r="G108" i="11"/>
  <c r="G107" i="11"/>
  <c r="G106" i="11"/>
  <c r="E96" i="11"/>
  <c r="G102" i="11"/>
  <c r="G100" i="11"/>
  <c r="G99" i="11"/>
  <c r="G98" i="11"/>
  <c r="G97" i="11"/>
  <c r="H95" i="11" l="1"/>
  <c r="H96" i="11"/>
  <c r="G101" i="14"/>
  <c r="H101" i="14"/>
  <c r="H105" i="11"/>
  <c r="H135" i="14"/>
  <c r="I135" i="14" s="1"/>
  <c r="G73" i="14"/>
  <c r="L85" i="14"/>
  <c r="E73" i="14"/>
  <c r="L73" i="14" s="1"/>
  <c r="L78" i="14"/>
  <c r="G189" i="14"/>
  <c r="I189" i="14" s="1"/>
  <c r="I190" i="14"/>
  <c r="G95" i="11"/>
  <c r="G96" i="11"/>
  <c r="E104" i="11"/>
  <c r="L182" i="11"/>
  <c r="J173" i="11"/>
  <c r="G105" i="11"/>
  <c r="H104" i="11"/>
  <c r="G104" i="11"/>
  <c r="K28" i="11"/>
  <c r="J28" i="11"/>
  <c r="E21" i="11"/>
  <c r="G28" i="11"/>
  <c r="F28" i="11"/>
  <c r="I34" i="11"/>
  <c r="L135" i="14"/>
  <c r="L136" i="14"/>
  <c r="I40" i="11"/>
  <c r="I101" i="14"/>
  <c r="H78" i="14"/>
  <c r="G78" i="14"/>
  <c r="H85" i="14"/>
  <c r="G85" i="14"/>
  <c r="H73" i="14"/>
  <c r="H91" i="14"/>
  <c r="G91" i="14"/>
  <c r="G32" i="14"/>
  <c r="K32" i="14"/>
  <c r="F32" i="14"/>
  <c r="J32" i="14"/>
  <c r="G65" i="14"/>
  <c r="G63" i="14"/>
  <c r="H81" i="14"/>
  <c r="H65" i="14"/>
  <c r="H74" i="14"/>
  <c r="E95" i="11"/>
  <c r="L96" i="11" s="1"/>
  <c r="G74" i="14"/>
  <c r="G81" i="14"/>
  <c r="E18" i="14"/>
  <c r="H32" i="14"/>
  <c r="E69" i="11"/>
  <c r="G93" i="11"/>
  <c r="G92" i="11"/>
  <c r="H91" i="11" s="1"/>
  <c r="G90" i="11"/>
  <c r="G89" i="11"/>
  <c r="G88" i="11"/>
  <c r="G87" i="11"/>
  <c r="G86" i="11"/>
  <c r="G84" i="11"/>
  <c r="G83" i="11"/>
  <c r="G80" i="11"/>
  <c r="G79" i="11"/>
  <c r="G78" i="11"/>
  <c r="H77" i="11" s="1"/>
  <c r="G76" i="11"/>
  <c r="G75" i="11"/>
  <c r="E74" i="11"/>
  <c r="G73" i="11"/>
  <c r="G72" i="11"/>
  <c r="G70" i="11"/>
  <c r="H69" i="11" s="1"/>
  <c r="E65" i="10"/>
  <c r="L65" i="10" s="1"/>
  <c r="E56" i="10"/>
  <c r="L56" i="10" s="1"/>
  <c r="E53" i="10"/>
  <c r="G10" i="16"/>
  <c r="G9" i="16"/>
  <c r="E12" i="16"/>
  <c r="G67" i="16"/>
  <c r="G66" i="16"/>
  <c r="G27" i="16"/>
  <c r="G26" i="16"/>
  <c r="G25" i="16"/>
  <c r="G11" i="16"/>
  <c r="F8" i="16"/>
  <c r="I74" i="11" l="1"/>
  <c r="L74" i="11"/>
  <c r="H65" i="16"/>
  <c r="G24" i="16"/>
  <c r="G65" i="16"/>
  <c r="G63" i="16" s="1"/>
  <c r="G57" i="16" s="1"/>
  <c r="H24" i="16"/>
  <c r="H23" i="16" s="1"/>
  <c r="I105" i="11"/>
  <c r="I96" i="11"/>
  <c r="H82" i="11"/>
  <c r="L53" i="10"/>
  <c r="E52" i="10" a="1"/>
  <c r="E52" i="10" s="1"/>
  <c r="E43" i="10" s="1"/>
  <c r="I78" i="14"/>
  <c r="G77" i="11"/>
  <c r="I77" i="11" s="1"/>
  <c r="E49" i="14"/>
  <c r="I49" i="14" s="1"/>
  <c r="I85" i="14"/>
  <c r="H8" i="16"/>
  <c r="I74" i="14"/>
  <c r="I81" i="14"/>
  <c r="I73" i="14"/>
  <c r="G82" i="11"/>
  <c r="I65" i="14"/>
  <c r="L69" i="11"/>
  <c r="I104" i="11"/>
  <c r="L104" i="11"/>
  <c r="G69" i="11"/>
  <c r="I69" i="11" s="1"/>
  <c r="G91" i="11"/>
  <c r="I91" i="11" s="1"/>
  <c r="I95" i="11"/>
  <c r="L95" i="11"/>
  <c r="J172" i="11"/>
  <c r="L172" i="11" s="1"/>
  <c r="L173" i="11"/>
  <c r="L105" i="11"/>
  <c r="K55" i="11"/>
  <c r="G55" i="11"/>
  <c r="I56" i="11"/>
  <c r="L28" i="11"/>
  <c r="I12" i="16"/>
  <c r="L12" i="16"/>
  <c r="L32" i="14"/>
  <c r="I91" i="14"/>
  <c r="I32" i="14"/>
  <c r="H63" i="14"/>
  <c r="I63" i="14" s="1"/>
  <c r="H62" i="14"/>
  <c r="G8" i="16"/>
  <c r="G62" i="14"/>
  <c r="L56" i="11"/>
  <c r="J55" i="11"/>
  <c r="H55" i="11"/>
  <c r="K67" i="11"/>
  <c r="J67" i="11"/>
  <c r="E67" i="11"/>
  <c r="K8" i="16"/>
  <c r="L8" i="16" s="1"/>
  <c r="E88" i="13"/>
  <c r="G30" i="11"/>
  <c r="H28" i="11" s="1"/>
  <c r="I28" i="11" s="1"/>
  <c r="G30" i="13"/>
  <c r="G31" i="13"/>
  <c r="E48" i="13"/>
  <c r="L48" i="13" s="1"/>
  <c r="G66" i="10"/>
  <c r="G64" i="10"/>
  <c r="G63" i="10"/>
  <c r="G61" i="10"/>
  <c r="G60" i="10"/>
  <c r="G58" i="10"/>
  <c r="G57" i="10"/>
  <c r="G55" i="10"/>
  <c r="G80" i="12"/>
  <c r="G79" i="12"/>
  <c r="G77" i="12"/>
  <c r="G76" i="12"/>
  <c r="G75" i="12"/>
  <c r="G66" i="12"/>
  <c r="G65" i="12"/>
  <c r="H64" i="12" s="1"/>
  <c r="G63" i="12"/>
  <c r="G62" i="12"/>
  <c r="G61" i="12"/>
  <c r="G59" i="12"/>
  <c r="G54" i="12"/>
  <c r="G53" i="12"/>
  <c r="G52" i="12"/>
  <c r="G51" i="12"/>
  <c r="G50" i="12"/>
  <c r="G48" i="12"/>
  <c r="G33" i="12"/>
  <c r="G32" i="12"/>
  <c r="G31" i="12"/>
  <c r="I65" i="16" l="1"/>
  <c r="H63" i="16"/>
  <c r="H57" i="16" s="1"/>
  <c r="I24" i="16"/>
  <c r="H67" i="11"/>
  <c r="H54" i="11" s="1"/>
  <c r="H72" i="12"/>
  <c r="I82" i="11"/>
  <c r="H62" i="10"/>
  <c r="G49" i="12"/>
  <c r="H47" i="12" s="1"/>
  <c r="H49" i="12"/>
  <c r="G60" i="12"/>
  <c r="H60" i="12"/>
  <c r="G78" i="12"/>
  <c r="H78" i="12"/>
  <c r="L52" i="10"/>
  <c r="E22" i="10"/>
  <c r="L43" i="10"/>
  <c r="L49" i="14"/>
  <c r="E20" i="14"/>
  <c r="I8" i="16"/>
  <c r="G53" i="10"/>
  <c r="H53" i="10"/>
  <c r="G56" i="10"/>
  <c r="H56" i="10"/>
  <c r="G65" i="10"/>
  <c r="H65" i="10"/>
  <c r="G47" i="12"/>
  <c r="H30" i="12"/>
  <c r="G30" i="12"/>
  <c r="G72" i="12"/>
  <c r="I62" i="14"/>
  <c r="G67" i="11"/>
  <c r="G54" i="11" s="1"/>
  <c r="I55" i="11"/>
  <c r="E54" i="11"/>
  <c r="E23" i="11" s="1"/>
  <c r="K54" i="11"/>
  <c r="L67" i="11"/>
  <c r="J54" i="11"/>
  <c r="G64" i="12"/>
  <c r="I64" i="12" s="1"/>
  <c r="L112" i="10"/>
  <c r="E46" i="13"/>
  <c r="K46" i="13"/>
  <c r="J46" i="13"/>
  <c r="L46" i="13" s="1"/>
  <c r="E80" i="13"/>
  <c r="G62" i="10"/>
  <c r="K46" i="12"/>
  <c r="J46" i="12"/>
  <c r="E20" i="12"/>
  <c r="E92" i="13"/>
  <c r="L92" i="13" s="1"/>
  <c r="I62" i="10" l="1"/>
  <c r="I78" i="12"/>
  <c r="I72" i="12"/>
  <c r="I60" i="12"/>
  <c r="I53" i="10"/>
  <c r="I49" i="12"/>
  <c r="I47" i="12"/>
  <c r="I56" i="10"/>
  <c r="H46" i="12"/>
  <c r="H58" i="12"/>
  <c r="L46" i="12"/>
  <c r="I30" i="12"/>
  <c r="L55" i="11"/>
  <c r="I65" i="10"/>
  <c r="H52" i="10"/>
  <c r="H43" i="10" s="1"/>
  <c r="I67" i="11"/>
  <c r="G46" i="12"/>
  <c r="I46" i="12" s="1"/>
  <c r="I54" i="11"/>
  <c r="L54" i="11"/>
  <c r="L47" i="12"/>
  <c r="G58" i="12"/>
  <c r="L104" i="10"/>
  <c r="G52" i="10"/>
  <c r="G43" i="10" s="1"/>
  <c r="K91" i="13"/>
  <c r="L91" i="13" s="1"/>
  <c r="K88" i="13"/>
  <c r="J88" i="13"/>
  <c r="K80" i="13" s="1"/>
  <c r="K45" i="13"/>
  <c r="J45" i="13"/>
  <c r="E45" i="13" a="1"/>
  <c r="E45" i="13" s="1"/>
  <c r="I63" i="16"/>
  <c r="G99" i="13"/>
  <c r="E58" i="13"/>
  <c r="L58" i="13" s="1"/>
  <c r="E65" i="13"/>
  <c r="L65" i="13" s="1"/>
  <c r="G98" i="13"/>
  <c r="G97" i="13"/>
  <c r="G96" i="13"/>
  <c r="G95" i="13"/>
  <c r="G94" i="13"/>
  <c r="G93" i="13"/>
  <c r="G90" i="13"/>
  <c r="G89" i="13"/>
  <c r="G88" i="13" s="1"/>
  <c r="G87" i="13"/>
  <c r="G86" i="13"/>
  <c r="G85" i="13"/>
  <c r="G84" i="13"/>
  <c r="G83" i="13"/>
  <c r="H81" i="13" s="1"/>
  <c r="G82" i="13"/>
  <c r="G79" i="13"/>
  <c r="G78" i="13"/>
  <c r="G76" i="13"/>
  <c r="G75" i="13"/>
  <c r="G74" i="13"/>
  <c r="G73" i="13"/>
  <c r="G72" i="13"/>
  <c r="G71" i="13"/>
  <c r="G70" i="13"/>
  <c r="H69" i="13" s="1"/>
  <c r="G68" i="13"/>
  <c r="G67" i="13"/>
  <c r="G66" i="13"/>
  <c r="G64" i="13"/>
  <c r="G63" i="13"/>
  <c r="G61" i="13"/>
  <c r="G60" i="13"/>
  <c r="G59" i="13"/>
  <c r="H58" i="13" s="1"/>
  <c r="G57" i="13"/>
  <c r="E62" i="13"/>
  <c r="L62" i="13" s="1"/>
  <c r="E77" i="13"/>
  <c r="L77" i="13" s="1"/>
  <c r="G53" i="13"/>
  <c r="G52" i="13"/>
  <c r="G51" i="13"/>
  <c r="G50" i="13"/>
  <c r="G49" i="13"/>
  <c r="H48" i="13" s="1"/>
  <c r="G47" i="13"/>
  <c r="L45" i="13" l="1"/>
  <c r="I58" i="12"/>
  <c r="H62" i="13"/>
  <c r="H65" i="13"/>
  <c r="H77" i="13"/>
  <c r="H92" i="13"/>
  <c r="H91" i="13"/>
  <c r="I43" i="10"/>
  <c r="E56" i="13"/>
  <c r="E44" i="13" s="1"/>
  <c r="E17" i="13" s="1"/>
  <c r="K56" i="13"/>
  <c r="K44" i="13" s="1"/>
  <c r="I52" i="10"/>
  <c r="G65" i="13"/>
  <c r="I65" i="13" s="1"/>
  <c r="G77" i="13"/>
  <c r="I77" i="13" s="1"/>
  <c r="G80" i="13"/>
  <c r="G48" i="13"/>
  <c r="G58" i="13"/>
  <c r="I58" i="13" s="1"/>
  <c r="G69" i="13"/>
  <c r="I69" i="13" s="1"/>
  <c r="H88" i="13"/>
  <c r="I88" i="13" s="1"/>
  <c r="H80" i="13"/>
  <c r="H56" i="13" s="1"/>
  <c r="L88" i="13"/>
  <c r="J80" i="13"/>
  <c r="G81" i="13"/>
  <c r="I81" i="13" s="1"/>
  <c r="G62" i="13"/>
  <c r="I62" i="13" s="1"/>
  <c r="G92" i="13"/>
  <c r="I92" i="13" s="1"/>
  <c r="G91" i="13"/>
  <c r="I91" i="13" s="1"/>
  <c r="I80" i="13" l="1"/>
  <c r="I48" i="13"/>
  <c r="H46" i="13"/>
  <c r="G46" i="13"/>
  <c r="H45" i="13" s="1"/>
  <c r="H44" i="13" s="1"/>
  <c r="J56" i="13"/>
  <c r="L80" i="13"/>
  <c r="G56" i="13"/>
  <c r="G29" i="13"/>
  <c r="H28" i="13" l="1"/>
  <c r="I28" i="13" s="1"/>
  <c r="I56" i="13"/>
  <c r="L56" i="13"/>
  <c r="J44" i="13"/>
  <c r="L44" i="13" s="1"/>
  <c r="I46" i="13"/>
  <c r="G45" i="13"/>
  <c r="I45" i="13" s="1"/>
  <c r="G44" i="13" l="1"/>
  <c r="I44" i="13" s="1"/>
  <c r="J113" i="14" l="1"/>
  <c r="K113" i="14"/>
  <c r="L113" i="14" l="1"/>
  <c r="I57" i="16" l="1"/>
  <c r="G29" i="16"/>
  <c r="G28" i="16" s="1"/>
  <c r="I28" i="16" l="1"/>
  <c r="G23" i="16"/>
  <c r="I23" i="16" s="1"/>
  <c r="I113" i="10"/>
  <c r="H112" i="10"/>
  <c r="I112" i="10" s="1"/>
  <c r="H104" i="10" l="1"/>
  <c r="I104" i="1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<sst xmlns="http://schemas.openxmlformats.org/spreadsheetml/2006/main" count="8294" uniqueCount="2352">
  <si>
    <t>RVSM</t>
  </si>
  <si>
    <t>RNP 4</t>
  </si>
  <si>
    <t>CAR 181</t>
  </si>
  <si>
    <t xml:space="preserve"> </t>
  </si>
  <si>
    <t>RNP AR</t>
  </si>
  <si>
    <t>5.3.3.3.1.3g</t>
  </si>
  <si>
    <t>5.3.3.3.1.3h</t>
  </si>
  <si>
    <t>Supplied</t>
  </si>
  <si>
    <t>Status</t>
  </si>
  <si>
    <t>(e) copies of the sections of the MEL applicable to the requested PBN operations;</t>
  </si>
  <si>
    <t>Statement of Equivalency/Comments</t>
  </si>
  <si>
    <t>Action Required or RFI</t>
  </si>
  <si>
    <t>Publication Affected</t>
  </si>
  <si>
    <t>Compliant</t>
  </si>
  <si>
    <t>Not Compliant</t>
  </si>
  <si>
    <t>Satisfactory</t>
  </si>
  <si>
    <t>Unsatisfactory</t>
  </si>
  <si>
    <t>Likely to become compliant</t>
  </si>
  <si>
    <t>Not Supplied</t>
  </si>
  <si>
    <t>Under Amendment</t>
  </si>
  <si>
    <t>Not Known</t>
  </si>
  <si>
    <t>Initial Compliance
Recommendation by DASA</t>
  </si>
  <si>
    <t>Final Compliance Recommendation by DASA</t>
  </si>
  <si>
    <t>Initial Document Assessment by MAO</t>
  </si>
  <si>
    <t>Initial Compliance Assessment by MAO</t>
  </si>
  <si>
    <t>NAT HLA MNPS</t>
  </si>
  <si>
    <t>RNP 10
RNAV 10</t>
  </si>
  <si>
    <t>RNP 0.3
(Heli)</t>
  </si>
  <si>
    <t>Advanced RNP
(A-RNP)</t>
  </si>
  <si>
    <t xml:space="preserve">
#</t>
  </si>
  <si>
    <t xml:space="preserve">
Aircraft Manufacturer</t>
  </si>
  <si>
    <t xml:space="preserve">
Est. date of entry into service dd/mmm/yy</t>
  </si>
  <si>
    <t xml:space="preserve">
Is it a new Aircraft? (Y/N)</t>
  </si>
  <si>
    <t>RF Legs</t>
  </si>
  <si>
    <t>FRT</t>
  </si>
  <si>
    <t>The aircraft must have the capability to automatically execute leg transitions and maintain tracks consistent with the following ARINC 424 path terminators, or their equivalent.
‐ initial fix (IF)
‐ course to fix (CF)
‐ direct to fix (DF)
‐ track to fix (TF)
Notes:
1. Path terminators are defined in ARINC Specification 424, and their application is described in more detail in documents RTCA DO-236B / EUROCAE ED-75B and RTCA DO-201A / EUROCAE ED-77.
2. Numeric values for courses and tracks must be automatically loaded from the RNP system database.</t>
  </si>
  <si>
    <t>The RNAV 5 navigation specification allows aircraft navigation systems to use the following types or combinations of sensors:
a. Very High Frequency Omni Range (VOR) / Distance Measuring Equipment (DME) or
b. DME/DME or
c. Stand-alone inertial systems (INS or IRS) or
d. GNSS.</t>
  </si>
  <si>
    <t>A.3.2.1</t>
  </si>
  <si>
    <t>A.3.2.2</t>
  </si>
  <si>
    <t>A.3.2.3</t>
  </si>
  <si>
    <t>A.3.2.4</t>
  </si>
  <si>
    <t xml:space="preserve">The use of GNSS to perform RNAV 5 operations is limited to equipment approved to European ETSO C129 ( ), ETSO C145( ), ETSO C146( ), FAA TSO C145( ), TSO C146( ), TSO C196 and TSO-C129( ) or equivalent.  </t>
  </si>
  <si>
    <t>While aircraft may be authorised to use any of the above sensors, it is the operator’s responsibility to ensure that the navigation aid infrastructure supports the navigation performance requirements for the intended route and designated alternates. To meet the RNAV 5 navigation specification accuracy requirements, the following limitations apply to the above sensors: 
a. VOR may be used to a maximum or 60 NM (75 NM for Doppler VOR) from the navigation aid.
b. INS or IRS systems are limited to a maximum of two hours from the last alignment or position update.</t>
  </si>
  <si>
    <t>A.3.2.5</t>
  </si>
  <si>
    <t>Navigation integrity should be provided by RAIM or SBAS GNSS or an equivalent means within a multi-sensor navigation system. In addition, GPS stand-alone equipment should include the following functions: 
a. pseudo-range step detection
b. health word checking.
Note: These two additional functions must be implemented in accordance with TSO C129a/ETSO-C129a or equivalent criteria.</t>
  </si>
  <si>
    <t>A.4.3.1.a</t>
  </si>
  <si>
    <t>A.4.3.1.a.2</t>
  </si>
  <si>
    <t>A.4.3.1.a.1</t>
  </si>
  <si>
    <t>The displays must be visible to the pilot and located in the primary field of view (± 15 degrees from the pilot’s normal line-of-sight) when looking forward along the flight path.</t>
  </si>
  <si>
    <t>The lateral deviation display scaling should agree with any alerting and annunciation limits, if implemented.</t>
  </si>
  <si>
    <t>The lateral deviation display must also have a full-scale deflection suitable for the current phase of flight and must be based on the required total system accuracy.</t>
  </si>
  <si>
    <t>The display scaling may be set automatically by default logic or set to a value obtained from a navigation database. The full-scale deflection value must be known or must be available for display to the pilot commensurate with en-route, terminal, or approach values.</t>
  </si>
  <si>
    <t>The lateral deviation display must be automatically slaved to the RNAV computed path. The course selector of the deviation display should be automatically slewed to the RNAV computed path.</t>
  </si>
  <si>
    <t>A.4.3.1.a.3</t>
  </si>
  <si>
    <t>A.4.3.1.a.4</t>
  </si>
  <si>
    <t>A.4.3.1.a.5</t>
  </si>
  <si>
    <t>A.4.3.1.b</t>
  </si>
  <si>
    <t>A.4.3.1.b.1</t>
  </si>
  <si>
    <t>The capability to continuously display to the pilot flying, on the primary flight instruments for navigation of the aircraft (primary navigation display), the RNAV computed desired path and aircraft position relative to the path. For operations where the required minimum flight crew is two pilots, the means for the pilot not flying to verify the desired path and the aircraft position relative to the path must also be provided;</t>
  </si>
  <si>
    <t>A.4.3.1.b.2</t>
  </si>
  <si>
    <t>A.4.3.1.b.3</t>
  </si>
  <si>
    <t>The means to display the validity period of the navigation data to the pilot;</t>
  </si>
  <si>
    <t>A.4.3.1.b.4</t>
  </si>
  <si>
    <t xml:space="preserve">The means to retrieve and display data stored in the navigation database relating to individual waypoints and NAVAIDs, to enable the pilot to verify the route to be flown; </t>
  </si>
  <si>
    <t>A.4.3.1.b.5</t>
  </si>
  <si>
    <t>The capacity to load from the database into the RNAV system the entire RNAV segment of the SID or STAR to be flown.</t>
  </si>
  <si>
    <t>A.4.3.1.c</t>
  </si>
  <si>
    <t xml:space="preserve">The means to display the following items, either in the pilot’s primary field of view, or on a readily accessible display page: </t>
  </si>
  <si>
    <t>A.4.3.1.c.1</t>
  </si>
  <si>
    <t>A.4.3.1.c.2</t>
  </si>
  <si>
    <t>A.4.3.1.c.3</t>
  </si>
  <si>
    <t>A.4.3.1.c.4</t>
  </si>
  <si>
    <t>A.4.3.1.d</t>
  </si>
  <si>
    <t>A.4.3.1.e</t>
  </si>
  <si>
    <t xml:space="preserve">The capability for automatic leg sequencing with the display of sequencing to the pilot. </t>
  </si>
  <si>
    <t>A.4.3.1.f</t>
  </si>
  <si>
    <t>The capability to execute SIDs or STARs extracted from the on-board database, including the capability to execute flyover and fly-by turns.</t>
  </si>
  <si>
    <t>A.4.3.1.g</t>
  </si>
  <si>
    <t>The aircraft must have the capability to automatically execute leg transitions and maintain tracks consistent with the following ARINC 424 path terminators, or their equivalent: 
initial fix (IF) 
course to fix (CF) 
direct to fix (DF) 
track to fix (TF) . 
Notes:
1. Path terminators are defined in ARINC Specification 424, and their application is described in more detail in documents RTCA DO-236B / EUROCAE ED-75B and RTCA DO-201A / EUROCAE ED-77.
2. Numeric values for courses and tracks must be automatically loaded from the RNAV system database.</t>
  </si>
  <si>
    <t>A.4.3.1.h</t>
  </si>
  <si>
    <t xml:space="preserve">The aircraft must have the capability to automatically execute leg transitions consistent with VA, VM and VI ARINC 424 path terminators, or must be able to be manually flown on a heading to intercept a course or to go direct to another fix after reaching a procedure-specified altitude. </t>
  </si>
  <si>
    <t xml:space="preserve">The aircraft must have the capability to automatically execute leg transitions consistent with CA and FM ARINC 424 path terminators, or the RNAV system must permit the pilot to readily designate a waypoint and select a desired course to or from a designated waypoint. </t>
  </si>
  <si>
    <t>A.4.3.1.i</t>
  </si>
  <si>
    <t>A.4.3.1.j</t>
  </si>
  <si>
    <t xml:space="preserve">The capability to load an RNAV SID or STAR from the database, by route name, into the RNAV system is a recommended function. However, if all or part of the RNAV SID or STAR is entered through the manual entry of waypoints from the navigation database, the paths between a manually entered waypoint and the preceding and following waypoints must be flown in the same manner as a TF leg in terminal airspace. </t>
  </si>
  <si>
    <t>A.4.3.1.k</t>
  </si>
  <si>
    <t xml:space="preserve">The capability to display an indication of the RNAV system failure, including the associated sensors, in the pilot’s primary field of view. </t>
  </si>
  <si>
    <t xml:space="preserve">For multi-sensor systems, the capability for automatic reversion to an alternate RNAV sensor if the primary RNAV sensor fails. This does not preclude providing a means for manual navigation source selection. </t>
  </si>
  <si>
    <t>A.4.3.1.l</t>
  </si>
  <si>
    <t>A.4.3.1.m</t>
  </si>
  <si>
    <t>A navigation database, containing current navigation data officially promulgated for civil aviation, which can be updated in accordance with the Aeronautical Information Regulation and Control (AIRAC) cycle and from which ATS routes can be retrieved and loaded into the RNAV system. The stored resolution of the data must be sufficient to achieve negligible PDE. The database must be protected against pilot modification of the stored data;</t>
  </si>
  <si>
    <t xml:space="preserve">The capabilities and limitations of the navigation system(s) installed. </t>
  </si>
  <si>
    <t xml:space="preserve">Knowledge of each of the navigation specifications to be used by the aircraft. </t>
  </si>
  <si>
    <t xml:space="preserve">The meaning and proper use of aircraft equipment/navigation suffixes and functionality. </t>
  </si>
  <si>
    <t xml:space="preserve">Route, airspace and procedure characteristics as determined from chart depiction and textual description. </t>
  </si>
  <si>
    <t>Depiction of waypoint types (fly-over, fly-by and FRT) and AIRINC 424 path terminators (IF, TF, RF, CF, DF, FA, HA, HM, HF, CA, VA, FM, VM, VI) and any other types used by the operator, as well as associated aircraft/helicopter flight paths.</t>
  </si>
  <si>
    <t xml:space="preserve">Knowledge on the required navigation equipment in order to conduct various RNAV and RNP operations including: 
GPS concepts and characteristics Augmented GNSS characteristics 
Minimum Equipment List provisions. </t>
  </si>
  <si>
    <t xml:space="preserve">Levels of automation, mode annunciations, changes, alerts, interactions, reversions, and degradation. </t>
  </si>
  <si>
    <t xml:space="preserve">Use of autopilot, auto throttle and flight director. </t>
  </si>
  <si>
    <t xml:space="preserve">Functional integration with other aircraft systems. </t>
  </si>
  <si>
    <t xml:space="preserve">Flight Guidance(FG) mode behaviour. </t>
  </si>
  <si>
    <t xml:space="preserve">The meaning and appropriateness of lateral and vertical route discontinuities as well as related pilot procedures. </t>
  </si>
  <si>
    <t xml:space="preserve">Pilot procedures consistent with the operation. </t>
  </si>
  <si>
    <t xml:space="preserve">Monitoring procedures for each phase of the flight (e.g. monitor PROG or LEGS page). </t>
  </si>
  <si>
    <t xml:space="preserve">Lateral and vertical path management. </t>
  </si>
  <si>
    <t xml:space="preserve">Types of navigation sensors (e.g. DME, IRU, GNSS) utilized by the navigation system and associated system prioritization/weighting/logic. </t>
  </si>
  <si>
    <t xml:space="preserve">Turn anticipation with consideration to speed and altitude effects. </t>
  </si>
  <si>
    <t xml:space="preserve">Interpretation of (electronic) displays and symbols. </t>
  </si>
  <si>
    <t xml:space="preserve">Understanding of the aircraft configuration and operational conditions required to support PBN operations, i.e. appropriate selection of CDI scaling (lateral deviation display scaling). </t>
  </si>
  <si>
    <t xml:space="preserve">Understand the performance requirement to couple the autopilot/flight director (AP/FD) to the navigation system’s lateral guidance on RNP procedures, if required. </t>
  </si>
  <si>
    <t xml:space="preserve">Automatic and/ or manual setting of the required navigation accuracy. </t>
  </si>
  <si>
    <t xml:space="preserve">Verify currency and integrity of the aircraft navigation data. </t>
  </si>
  <si>
    <t xml:space="preserve">Verify the successful completion of RNP system self-tests. </t>
  </si>
  <si>
    <t xml:space="preserve">Initialize navigation system position. </t>
  </si>
  <si>
    <t xml:space="preserve">Retrieve and fly a route, SID or a STAR, or approach by name with appropriate transition. </t>
  </si>
  <si>
    <t xml:space="preserve">Retrieving a LP or LPV approach procedure from the database (e.g. using its name or the SBAS channel number) [LP and LPV only]. </t>
  </si>
  <si>
    <t xml:space="preserve">Adhere to speed and/or altitude constraints associated with routes and procedures. </t>
  </si>
  <si>
    <t xml:space="preserve">Impact of pilot selectable bank limitations on aircraft/rotorcraft ability to achieve the required accuracy on the planned route. </t>
  </si>
  <si>
    <t xml:space="preserve">The effect of wind on aircraft performance during execution of RF Legs and the need to remain within the RNP containment area. The training program should address any operational wind limitations and aircraft configurations essential to safely complete the RF turn. </t>
  </si>
  <si>
    <t xml:space="preserve">The effect of ground speed on compliance with RF paths and bank angle restrictions impacting the ability to remain on the course centreline. </t>
  </si>
  <si>
    <t xml:space="preserve">Select the appropriate RNP 1 SID or STAR for the active runway in use and be familiar with procedures to deal with a runway change [RNP 1 and RNAV 1 &amp; RNAV 2 only]. </t>
  </si>
  <si>
    <t xml:space="preserve">Verify waypoints and flight plan programming. </t>
  </si>
  <si>
    <t xml:space="preserve">Fly direct to a waypoint. </t>
  </si>
  <si>
    <t xml:space="preserve">Fly a course/track to a waypoint. </t>
  </si>
  <si>
    <t xml:space="preserve">Intercept a course/track. </t>
  </si>
  <si>
    <t xml:space="preserve">Intercept a course/track. (Fly vectors, and rejoin an RNP route/procedure from the ‘heading’ mode.) </t>
  </si>
  <si>
    <t xml:space="preserve">Intercept initial or intermediate segment of an approach following ATC notification. </t>
  </si>
  <si>
    <t xml:space="preserve">Fly interception of the extended final approach segment (e.g. using the VTF function). </t>
  </si>
  <si>
    <t xml:space="preserve">Determine cross-track (vertical) error/deviation. More specifically, the maximum deviations allowed to support route / procedure must be understood and respected. </t>
  </si>
  <si>
    <t xml:space="preserve">Resolve route discontinuities. </t>
  </si>
  <si>
    <t xml:space="preserve">Insert and delete route discontinuity. </t>
  </si>
  <si>
    <t xml:space="preserve">Remove and reselect navigation sensor input. </t>
  </si>
  <si>
    <t xml:space="preserve">When required, confirm exclusion of a specific NAVAID or NAVAID type. </t>
  </si>
  <si>
    <t xml:space="preserve">Change arrival airport and alternate airport. </t>
  </si>
  <si>
    <t xml:space="preserve">Perform parallel offset function if capability exists. Pilots should know how offsets are applied, the functionality of their particular RNP system and the need to advise ATC if this functionality is not available. </t>
  </si>
  <si>
    <t xml:space="preserve">Perform RNAV holding function. </t>
  </si>
  <si>
    <t xml:space="preserve">Performing a conventional holding pattern. </t>
  </si>
  <si>
    <t xml:space="preserve">Perform gross navigation error checks using conventional NAVAIDs. </t>
  </si>
  <si>
    <t xml:space="preserve">Perform a manual or automatic runway update (with take-off point shift), if applicable. </t>
  </si>
  <si>
    <t xml:space="preserve">Operator-recommended levels of automation for phase of flight and workload, including methods to minimize cross-track error to maintain route centreline. </t>
  </si>
  <si>
    <t xml:space="preserve">The radio/telephony phraseology for the relevant airspace in accordance with the Aeronautical Information Publication (AIP) for the State in which the aircraft is operating. </t>
  </si>
  <si>
    <t xml:space="preserve">Contingency procedures for RNAV/RNP failures. </t>
  </si>
  <si>
    <t xml:space="preserve">The flight planning requirements for the RNAV/RNP operations. </t>
  </si>
  <si>
    <t xml:space="preserve">There should be a clear understanding of crew requirements for comparisons to primary altimeter information, altitude cross-checks (e.g. altimetry comparisons of 30 m (100 ft), temperature limitations for instrument procedures using Barometric VNAV, and procedures for altimeter settings for approach. </t>
  </si>
  <si>
    <t xml:space="preserve">Application and use of temperature compensation procedures, either manually or using FMS functions. </t>
  </si>
  <si>
    <t>Discontinuation of a procedure based upon loss of systems or performance and flight conditions, e.g. inability to maintain required path tracking, loss of required guidance, etc. [Baro-VNAV only].</t>
  </si>
  <si>
    <t>1. Use a new line if equipment fits vary between aircraft in the same fleet</t>
  </si>
  <si>
    <t>2. Depending upon the change in functionality of specification - a new workbook may be required for groups of aircraft with differing navigation/display functionality within the one fleet or aircraft type</t>
  </si>
  <si>
    <t>RVSM guidance material</t>
  </si>
  <si>
    <t>A.10</t>
  </si>
  <si>
    <t>A.13</t>
  </si>
  <si>
    <t>AC91.U‐01</t>
  </si>
  <si>
    <t>APV 
Baro-VNAV</t>
  </si>
  <si>
    <t>A.8.2.1</t>
  </si>
  <si>
    <t>4.7.2.1</t>
  </si>
  <si>
    <t>4.7.2.1.1</t>
  </si>
  <si>
    <t>4.7.2.1.2</t>
  </si>
  <si>
    <t>4.13.1</t>
  </si>
  <si>
    <t>A.11.2.1</t>
  </si>
  <si>
    <t xml:space="preserve">In Australia, Advanced RNP is predicated upon the use of GNSS for the primary means of navigation. The sensor must comply with the guidelines in FAA AC 20-138( ) or FAA AC 20-130A. For systems that comply with FAA AC 20-138( ), the following sensor accuracies can be used in the total system accuracy analysis without additional substantiation: GNSS sensor accuracy is better than 36 metres (95%), and augmented GNSS (GBAS or SBAS) sensor accuracy is better than 2 metres (95%). In the event of a latent GNSS satellite failure and marginal GNSS satellite geometry, the probability the TSE remains within the procedure design obstacle clearance volume must be greater than 95%. 
Note:
GNSS-based sensors output a HIL, also known as a HPL (see FAA AC 20-138( ) and RTCA DO-229D for an explanation of these terms). The HIL is a measure of the position estimation error assuming a latent failure is present. In lieu of a detailed analysis of the effects of latent failures on the TSE, an acceptable means of compliance for GNSS-based systems is to ensure the HIL remains less than twice the navigation accuracy, minus the 95 per cent of FTE, during the RNP operation. </t>
  </si>
  <si>
    <t>A.11.3</t>
  </si>
  <si>
    <t>A.11.3.1.a</t>
  </si>
  <si>
    <t>A.11.3.1.b</t>
  </si>
  <si>
    <t>A.11.3.1.c</t>
  </si>
  <si>
    <t>A.11.3.1.d</t>
  </si>
  <si>
    <t>A.11.3.1.e</t>
  </si>
  <si>
    <t>A.11.3.1.f</t>
  </si>
  <si>
    <t>A.11.3.1.g</t>
  </si>
  <si>
    <t>A.11.3.1.h</t>
  </si>
  <si>
    <t>A.11.3.1.i</t>
  </si>
  <si>
    <t>A.11.3.1.j</t>
  </si>
  <si>
    <t>A.11.3.1.k</t>
  </si>
  <si>
    <t>A.11.3.1.l</t>
  </si>
  <si>
    <t>Path definition and flight planning</t>
  </si>
  <si>
    <t>a</t>
  </si>
  <si>
    <t>b</t>
  </si>
  <si>
    <t>c</t>
  </si>
  <si>
    <t>d</t>
  </si>
  <si>
    <t>e</t>
  </si>
  <si>
    <t>f</t>
  </si>
  <si>
    <t>g</t>
  </si>
  <si>
    <t>h</t>
  </si>
  <si>
    <t>i</t>
  </si>
  <si>
    <t>j</t>
  </si>
  <si>
    <t>k</t>
  </si>
  <si>
    <t>l</t>
  </si>
  <si>
    <t>m</t>
  </si>
  <si>
    <t>n</t>
  </si>
  <si>
    <t>System</t>
  </si>
  <si>
    <t>Final Compliance Submission by MAO</t>
  </si>
  <si>
    <t>Partly Compliant</t>
  </si>
  <si>
    <t>181F</t>
  </si>
  <si>
    <t>The aircraft is equipped with
(i)  2 independent altitude measurement systems;
(ii)  a secondary surveillance radar transponder that has an altitude‑reporting system that can be switched to operate from either of the altitude measurement systems;
(iii)  an altitude alert system;
(iv)  an automatic altitude control system; and
(c)  enough information to show that the equipment mentioned in paragraph (b) meets the requirements of ICAO Doc. 9574‑AN/934; and
(d)  enough information to show that the aircraft is of a type that meets the requirements of ICAO Doc. 9574‑AN/934.</t>
  </si>
  <si>
    <t>Compliance with the Australian Airspace Monitoring Agency (AAMA) RVSM Minimum Monitoring Requirements – Military 
http://mirror.airservicesaustralia.com/wp-content/uploads/RVSM-MINIMUM-MONITORING-REQUIREMENTS-15-June-2018_Military.pdf</t>
  </si>
  <si>
    <t>CAAP 181A-1(2)</t>
  </si>
  <si>
    <t>RVSM Operational Approval</t>
  </si>
  <si>
    <t>RVSM - Continuing Airworthiness</t>
  </si>
  <si>
    <t>General
The  integrity  of  the  design  features  necessary  to  ensure  that  altimetry  systems  continue  to  meet RVSM standards should beverified by scheduled tests and/or inspections in conjunction with an approved  maintenance  program. The  operator  should  review  its  maintenance  procedures  and address all aspects of continuing airworthiness which are affected by RVSM requirements.
Each  operator  should  demonstrate  that  adequate  maintenance  facilities  are  available  to  ensure continued compliance with the RVSM maintenance requirements.</t>
  </si>
  <si>
    <t>Maintenance documents requirements
The following items should be reviewed as appropriate for RVSM maintenance approval:
(a) Maintenance Manuals;
(b) Structural Repair Manuals;
(c) Standards Practices Manuals;
(d) Illustrated Parts Catalogues;
(e) Maintenance Schedule;
(f) MMEL/Minimum Equipment List (MEL);
(g) Maintenance Control Manuals; and
(h) Equipment Lists/Wiring Diagram Manuals.</t>
  </si>
  <si>
    <t>Maintenance practices for non-compliant aircraft
Those aircraft positively identified as exhibiting height-keeping performance errors which require investigation as specified in section 12.9 (paragraph 1)should not be operated in airspace where RVSMis applied until the following actions have been taken:
(a) the failure or malfunction is confirmed and isolated by maintenance action; and
(b) corrective  action  is  carried  out  as  required  to  comply  with section  10.2.5(d)(vi)and verified to ensure RVSM approval integrity.</t>
  </si>
  <si>
    <t>Test equipment</t>
  </si>
  <si>
    <t>11.7.1</t>
  </si>
  <si>
    <t>11.7.2</t>
  </si>
  <si>
    <t>12.4.1</t>
  </si>
  <si>
    <t>A13.3</t>
  </si>
  <si>
    <t>A.8.3</t>
  </si>
  <si>
    <t>A.8.4</t>
  </si>
  <si>
    <t>5.3.3.3.1</t>
  </si>
  <si>
    <t>5.3.3.3.1.2</t>
  </si>
  <si>
    <t>5.3.3.3.1.3</t>
  </si>
  <si>
    <t xml:space="preserve">The following system functions are required as a minimum:
</t>
  </si>
  <si>
    <t>5.3.3.3.1.2.a</t>
  </si>
  <si>
    <t>Each display must be visible to the pilot and located in the primary field of view (±15 degrees from the pilot’s normal line of sight) when looking forward along the flight path.</t>
  </si>
  <si>
    <t>5.3.3.3.1.2.b</t>
  </si>
  <si>
    <t>The lateral deviation display scaling should agree with any implemented alerting and annunciation limits.</t>
  </si>
  <si>
    <t>5.3.3.3.1.2.c</t>
  </si>
  <si>
    <t>5.3.3.3.1.2.d</t>
  </si>
  <si>
    <t>The display scaling may be set automatically by default logic or set to a value obtained from a navigation database. The full‐scale deflection value must be known or must be available for display to the pilot commensurate with approach values</t>
  </si>
  <si>
    <t>5.3.3.3.1.2.e</t>
  </si>
  <si>
    <t>As an alternate means, a navigation map display must give equivalent functionality to a lateral deviation display with appropriate map scales (scaling may be set manually by the pilot). To be approved, the navigation map display must be shown to meet TSE requirements.</t>
  </si>
  <si>
    <t>5.3.3.3.1.2.f</t>
  </si>
  <si>
    <t>Flight director and/or autopilot is not required for this type of operation, however, if the lateral TSE cannot be demonstrated without these systems, it becomes mandatory. In this case, coupling to the flight director and/or automatic pilot from the RNP system must be clearly indicated at the cockpit level.</t>
  </si>
  <si>
    <t>Enhanced navigation display (e.g. electronic map display or enhanced EHSI) to improve lateral situational awareness, navigation monitoring and approach verification (flight plan verification) could become mandatory if the RNP installation does not support the display of information necessary for the accomplishment of these crew tasks.</t>
  </si>
  <si>
    <t>5.3.3.3.1.3.a</t>
  </si>
  <si>
    <t>5.3.3.3.1.3.b</t>
  </si>
  <si>
    <t>A navigation database, containing current navigation data officially promulgated for civil aviation, which can be updated in accordance with the AIRAC cycle and from which approach procedures can be retrieved and loaded into the RNP system. The stored resolution of the data must be sufficient to achieve the required track‐keeping accuracy. The database must be protected against pilot modification of the stored data.</t>
  </si>
  <si>
    <t>5.3.3.3.1.3.c</t>
  </si>
  <si>
    <t>The means to display the validity period of the navigation data to the pilot.</t>
  </si>
  <si>
    <t>5.3.3.3.1.3.d</t>
  </si>
  <si>
    <t>5.3.3.3.1.3.e</t>
  </si>
  <si>
    <t>Capacity to load from the database into the RNP system the whole approach to be flown. The approach must be loaded from the database, into the RNP system, by its name.</t>
  </si>
  <si>
    <t>5.3.3.3.1.3.f</t>
  </si>
  <si>
    <t>5.3.3.3.1.3.g</t>
  </si>
  <si>
    <t>5.3.3.3.1.3.h</t>
  </si>
  <si>
    <t>The capability to execute a 'Direct to' function.</t>
  </si>
  <si>
    <t>5.3.3.3.1.3.i</t>
  </si>
  <si>
    <t>The capability for automatic leg sequencing with the display of sequencing to the pilot</t>
  </si>
  <si>
    <t>5.3.3.3.1.3.j</t>
  </si>
  <si>
    <t>The capability to execute procedures extracted from the on‐board database, including the capability to execute fly‐over and fly‐by turns.</t>
  </si>
  <si>
    <t>5.3.3.3.1.3.k</t>
  </si>
  <si>
    <t>5.3.3.3.1.3.l</t>
  </si>
  <si>
    <t>the capability to display an indication of the RNP system failure, including the associated sensors, in the pilot’s primary field of view</t>
  </si>
  <si>
    <t>5.3.3.3.1.3.m</t>
  </si>
  <si>
    <t>the capability to indicate to the crew when NSE alert limit is exceeded (alert provided by the 'on‐board performance monitoring and alerting function')</t>
  </si>
  <si>
    <t>5.3.3.3.1.3.n</t>
  </si>
  <si>
    <t>the capability to automatically load numeric values for courses and tracks from the RNP system database.</t>
  </si>
  <si>
    <t>f. The indication of the LOI function in the pilot’s normal field of view (e.g. by means of an appropriately located annunciator)</t>
  </si>
  <si>
    <t>e. The indication of the loss of navigation (e.g. system failure) in the pilot’s primary field of view by means of a navigation warning flag or equivalent indicator on the vertical and/or lateral navigation display)</t>
  </si>
  <si>
    <t>d. The capacity to select from the database into the installed system the whole approach procedure to be flown (SBAS channel number and/or approach name)</t>
  </si>
  <si>
    <t>b. the display must be visible to the pilot and located in the primary field of view (±15º from the pilot’s normal line of sight) when looking forward along the flight path</t>
  </si>
  <si>
    <t>c. the deviation display must have a suitable full-scale deflection based on the required track-keeping accuracy. The lateral and vertical full-scale deflection are angular and associated to the lateral and vertical definitions of the Final Approach Segment (FAS) contained in the FAS Data Block (FAS DB).
Notes:
1. Where the minimum flight crew is two pilots, it should be possible for the pilot not flying to verify the desired path and the aircraft position relative to the path.
2. For more details on lateral and vertical deviation display scales, see the non-numeric lateral cross-track and vertical deviation requirements of RTCA DO-229C ().</t>
  </si>
  <si>
    <t xml:space="preserve">Approach guidance must be displayed on a lateral and vertical deviation display (HSI, EHSI, CDI/VDI) including a failure indicator and must meet the following requirements:
</t>
  </si>
  <si>
    <t>The means to retrieve and display data stored in the navigation database relating to individual waypoints and NAVAIDs, to enable the pilot to verify the procedure to be flown.</t>
  </si>
  <si>
    <t>The lateral deviation display must also have a full‐scale deflection suitable for the current phase of flight and must be based on the TSE requirement. Scaling is ±1 NM for the initial and intermediate segments and ±0.3 NM for the final segment</t>
  </si>
  <si>
    <t>A.6.2.1</t>
  </si>
  <si>
    <t>6.3.1.a</t>
  </si>
  <si>
    <t>6.3.1.a.1</t>
  </si>
  <si>
    <t>The capability to continuously display to the pilot flying, on the primary flight instruments for navigation of the aircraft (primary navigation display), the computed path and aircraft position relative to the path. For operations where the required minimum flight crew is two pilots, the means for the pilot not flying to verify the desired path and the aircraft position relative to the path must also be provided.</t>
  </si>
  <si>
    <t>6.3.1.a.2</t>
  </si>
  <si>
    <t>6.3.1.a.3</t>
  </si>
  <si>
    <t>6.3.1.a.4</t>
  </si>
  <si>
    <t>6.3.1.a.5</t>
  </si>
  <si>
    <t>6.3.1.a.6</t>
  </si>
  <si>
    <t>The lateral deviation display must be automatically slaved to the computed path. The course selector of the deviation display should be automatically slewed to the computed path or the pilot must adjust the CDI or HSI selected course to the computed desired track.</t>
  </si>
  <si>
    <t>6.3.1.b</t>
  </si>
  <si>
    <t>6.3.1.b.1</t>
  </si>
  <si>
    <t>6.3.1.b.2</t>
  </si>
  <si>
    <t>6.3.1.b.3</t>
  </si>
  <si>
    <t>6.3.1.b.4</t>
  </si>
  <si>
    <t>6.3.1.c</t>
  </si>
  <si>
    <t>6.3.1.d</t>
  </si>
  <si>
    <t>The capability to execute a 'direct to' function.</t>
  </si>
  <si>
    <t>6.3.1.e</t>
  </si>
  <si>
    <t>The capability for automatic leg sequencing with the display of sequencing to the pilot.</t>
  </si>
  <si>
    <t>6.3.1.f</t>
  </si>
  <si>
    <t>The capability to load and execute a RNP1 SID or STAR from the on board database, by procedure name, into the RNP system.</t>
  </si>
  <si>
    <t>6.3.1.g</t>
  </si>
  <si>
    <t>6.3.1.h</t>
  </si>
  <si>
    <t>The aircraft must have the capability to automatically execute leg transitions consistent with VA, VM and VI ARINC 424 path terminators, or must be able to be manually flown on a heading to intercept a course or to go direct to another fix after reaching a procedure‐specified altitude.</t>
  </si>
  <si>
    <t>6.3.1.i</t>
  </si>
  <si>
    <t>The aircraft must have the capability to automatically execute leg transitions consistent with CA and FM ARINC 424 path terminators, or the RNP system must permit the pilot to readily designate a waypoint and select a desired course to or from a designated waypoint.</t>
  </si>
  <si>
    <t>6.3.1.j</t>
  </si>
  <si>
    <t>The capability to display an indication of the RNP 1 system failure, in the pilot’s primary field of view.</t>
  </si>
  <si>
    <t>A navigation database, containing current navigation data officially promulgated for civil aviation, which can be updated in accordance with the AIRAC cycle and from which ATS routes can be retrieved and loaded into the RNP system. The stored resolution of the data must be sufficient to achieve negligible PDE. The database must be protected against pilot modification of the stored data.</t>
  </si>
  <si>
    <t>The means to retrieve and display data stored in the navigation database relating to individual waypoints and NAVAIDs, to enable the pilot to verify the route to be flown.</t>
  </si>
  <si>
    <t>A.5.4.1.a</t>
  </si>
  <si>
    <t>A.5.4.1.a.1</t>
  </si>
  <si>
    <t>The capability to continuously display to the pilot flying, on the primary flight instruments for navigation of the aircraft (primary navigation display), the computed path and aircraft position relative to the path. For operations where the required minimum flight crew is two pilots, the means for the pilot not flying to verify the desired path and the aircraft position relative to the path must also be provided</t>
  </si>
  <si>
    <t>A.5.4.1.a.2</t>
  </si>
  <si>
    <t>Each display must be visible to the pilot and located in the primary field of view (±15 degrees from the pilot’s normal line of sight) when looking forward along the flight path;</t>
  </si>
  <si>
    <t>A.5.4.1.a.3</t>
  </si>
  <si>
    <t>A.5.4.1.a.4</t>
  </si>
  <si>
    <t>The lateral deviation display must also have a full‐scale deflection suitable for the current phase of flight and must be based on the required track‐ keeping accuracy.</t>
  </si>
  <si>
    <t>A.5.4.1.a.5</t>
  </si>
  <si>
    <t>A.5.4.1.a.6</t>
  </si>
  <si>
    <t>A.5.4.1.b.1</t>
  </si>
  <si>
    <t>A.5.4.1.b.2</t>
  </si>
  <si>
    <t>A.5.4.1.b.3</t>
  </si>
  <si>
    <t>A means to retrieve and display data stored in the navigation database relating to individual waypoints and NAVAIDs (when applicable), to enable the pilot to verify the RNP 2 route to be flown.</t>
  </si>
  <si>
    <t>A.5.4.1.b.4</t>
  </si>
  <si>
    <t>A.5.4.1.c</t>
  </si>
  <si>
    <t>A.5.4.1.d</t>
  </si>
  <si>
    <t>The capability to execute a 'direct to' function. 
Note: The aircraft and avionics manufacturers should identify any limitations associated with conducting the 'direct to' function during RNP 2 operations in the manufacturer’s documentation.</t>
  </si>
  <si>
    <t>A.5.4.1.e</t>
  </si>
  <si>
    <t>A.5.4.1.f</t>
  </si>
  <si>
    <t>The capability to automatically execute waypoint transitions and maintain track consistent with the RNP 2 performance requirements.</t>
  </si>
  <si>
    <t>A.5.4.1.g</t>
  </si>
  <si>
    <t>The capability to display an indication of RNP 2 system failure in the pilot’s primary field of view.</t>
  </si>
  <si>
    <t>A.5.4.1.h</t>
  </si>
  <si>
    <r>
      <rPr>
        <sz val="10"/>
        <rFont val="Calibri"/>
        <family val="2"/>
      </rPr>
      <t xml:space="preserve">The display scaling may be set automatically by default logic; automatically to a value obtained from a navigation database; or, </t>
    </r>
    <r>
      <rPr>
        <u/>
        <sz val="10"/>
        <rFont val="Calibri"/>
        <family val="2"/>
      </rPr>
      <t>manually by flight crew</t>
    </r>
    <r>
      <rPr>
        <sz val="10"/>
        <rFont val="Calibri"/>
        <family val="2"/>
      </rPr>
      <t xml:space="preserve"> </t>
    </r>
    <r>
      <rPr>
        <u/>
        <sz val="10"/>
        <rFont val="Calibri"/>
        <family val="2"/>
      </rPr>
      <t>procedure</t>
    </r>
    <r>
      <rPr>
        <sz val="10"/>
        <rFont val="Calibri"/>
        <family val="2"/>
      </rPr>
      <t>s. The full‐scale deflection value must be known or must be available for display to the pilot commensurate with the required track keeping accuracy;</t>
    </r>
  </si>
  <si>
    <r>
      <rPr>
        <sz val="10"/>
        <rFont val="Calibri"/>
        <family val="2"/>
      </rPr>
      <t>The means to display the following items, either in the pilot’s primary field of view, or on a readily accessible display:
1. the active navigation sensor type
2. the identification of the active (To) waypoint
3. the groundspeed or time to the active (To) waypoint
4. the distance and bearing to the active (To) waypoint.</t>
    </r>
  </si>
  <si>
    <t>A navigation database, containing current navigation data officially promulgated for civil aviation, which can be updated in accordance with the AIRAC cycle and from which RNP 2 routes can be retrieved and loaded into the RNP system. The stored resolution of the data must be sufficient to achieve negligible PDE. Database protections must prevent pilot modification of the on‐board, stored data.</t>
  </si>
  <si>
    <t>For RNP 2 tracks in oceanic/remote continental airspace using flexible (e.g. organized) tracks, a means to enter the unique waypoints required to build a track assigned by the ATS provider.</t>
  </si>
  <si>
    <t xml:space="preserve">The following system functions are required as a minimum within any RNAV 1 or RNAV 2 equipment: 
Note: Due to variability in RNAV systems, this document defines the RNAV segment from the first occurrence of a named waypoint, track, or course to the last occurrence of a named waypoint, track, or course. Heading legs prior to the first named waypoint or after the last named waypoint do not have to be loaded from the database. </t>
  </si>
  <si>
    <t>A.7.3.1.b.1</t>
  </si>
  <si>
    <t>A.7.3.1.b.2</t>
  </si>
  <si>
    <t>A.7.3.1.b.3</t>
  </si>
  <si>
    <t>A.7.3.1.b.4</t>
  </si>
  <si>
    <t>A.7.3.1.b.5</t>
  </si>
  <si>
    <t>The means to retrieve and display data stored in the navigation database relating to individual waypoints and navigation aids, to enable the pilot to verify the ATS route to be flown.</t>
  </si>
  <si>
    <t>The capacity to load into the RNP system, from the database, the entire Instrument Flight Procedure and the ATS route to be flown.</t>
  </si>
  <si>
    <t>A.7.3.1.c</t>
  </si>
  <si>
    <t>The means to display the following items, either in the pilot’s primary field of view, or on a readily accessible display page:</t>
  </si>
  <si>
    <t>A.7.3.1.c.1</t>
  </si>
  <si>
    <t>A.7.3.1.c.2</t>
  </si>
  <si>
    <t>A.7.3.1.c.3</t>
  </si>
  <si>
    <t>A.7.3.1.c.4</t>
  </si>
  <si>
    <t>A.7.1.3.d</t>
  </si>
  <si>
    <t>A.7.1.3.e</t>
  </si>
  <si>
    <t>A.7.1.3.f</t>
  </si>
  <si>
    <t>The capability to execute RNP 0.3 terminal procedures extracted from the on-board navigation database, including the capability to execute fly-over and fly-by transitions.</t>
  </si>
  <si>
    <t>A.7.1.3.g</t>
  </si>
  <si>
    <t>The capability to automatically execute leg transitions and maintain tracks consistent with the following ARINC 424 path terminators, or their equivalent.
Initial Fix (IF)
Course to Fix (CF)
Course to Altitude (CA) 
Direct to Fix (DF)
Track to Fix (TF)
Note: Path terminators are defined in ARINC 424, and their application is described in more detail in documents RTCA DO-236B and RTCA DO-201A.</t>
  </si>
  <si>
    <t>A.7.1.3.h</t>
  </si>
  <si>
    <t>The capability to automatically execute leg transitions consistent with VA, VM and VI ARINC 424 path terminators, or must be able to be manually flown on a heading to intercept a course or to go direct to another fix after reaching a procedure specified altitude.</t>
  </si>
  <si>
    <t>A.7.1.3.i</t>
  </si>
  <si>
    <t>The capability to automatically execute leg transitions consistent with CA and FM ARINC 424 path terminators, or the RNAV system must permit the pilot to readily designate a waypoint and select a desired course to or from a designated waypoint.</t>
  </si>
  <si>
    <t>A.7.1.3.j</t>
  </si>
  <si>
    <t>The capability to load an ATS route from the database, by name.</t>
  </si>
  <si>
    <t>A.7.1.3.k</t>
  </si>
  <si>
    <t>The capability to display an indication of the RNP 0.3 system failure, in the pilot’s primary field of view.</t>
  </si>
  <si>
    <t>A.7.1.3.l</t>
  </si>
  <si>
    <t>6.2.3</t>
  </si>
  <si>
    <t>6.2.4</t>
  </si>
  <si>
    <t>6.3.9</t>
  </si>
  <si>
    <t>6.3.10</t>
  </si>
  <si>
    <t>6.3.11</t>
  </si>
  <si>
    <t>6.3.12</t>
  </si>
  <si>
    <t>6.3.13</t>
  </si>
  <si>
    <t>6.3.14</t>
  </si>
  <si>
    <t>6.3.15</t>
  </si>
  <si>
    <t>6.3.16</t>
  </si>
  <si>
    <t>6.3.17</t>
  </si>
  <si>
    <t>7.1.1</t>
  </si>
  <si>
    <t>7.2.1</t>
  </si>
  <si>
    <t>7.2.2</t>
  </si>
  <si>
    <t>6.2.2</t>
  </si>
  <si>
    <r>
      <rPr>
        <b/>
        <sz val="10"/>
        <rFont val="Calibri"/>
        <family val="2"/>
      </rPr>
      <t>Parallel offset function (optional)</t>
    </r>
    <r>
      <rPr>
        <sz val="10"/>
        <rFont val="Calibri"/>
        <family val="2"/>
      </rPr>
      <t xml:space="preserve">
If implemented:
1. The system must have the capability to fly parallel tracks at a selected offset distance.
2. When executing a parallel offset, the navigation accuracy and all performance requirements of the original route in the active flight plan apply to the offset route.
3. The system must provide for entry of offset distances in increments of 1 NM, left or right of course.
4. The system must be capable of offsets of at least 20 NM.
5. When in use, the system must clearly annunciate the operation of offset mode.
6. When in offset mode, the system must provide reference parameters (e.g. cross-track deviation, distance-to-go, time-to-go) relative to the offset path and offset reference points.
7. The system must annunciate the upcoming end of the offset path and allow sufficient time for the aircraft to return to the original flight plan path.
8. Once the pilot activates a parallel offset, the offset must remain active for all flight plan route segments until the system deletes the offset automatically; the pilot enters a new direct-to routing; or, the pilot manually cancels the offset.</t>
    </r>
  </si>
  <si>
    <r>
      <rPr>
        <b/>
        <u/>
        <sz val="10"/>
        <rFont val="Calibri"/>
        <family val="2"/>
      </rPr>
      <t>Alternate means of compliance</t>
    </r>
    <r>
      <rPr>
        <sz val="10"/>
        <rFont val="Calibri"/>
        <family val="2"/>
      </rPr>
      <t xml:space="preserve">
As an alternate means of compliance, a navigation map display can provide equivalent functionality to a lateral deviation display as described in 1‐6 above, with appropriate map scales and giving equivalent functionality to a lateral deviation display. The map scale should be set manually to a value appropriate for the RNP 2 operation</t>
    </r>
  </si>
  <si>
    <r>
      <rPr>
        <b/>
        <u/>
        <sz val="10"/>
        <rFont val="Calibri"/>
        <family val="2"/>
      </rPr>
      <t>Functional requirement (From ICAO PBN Manual)</t>
    </r>
    <r>
      <rPr>
        <u/>
        <sz val="10"/>
        <rFont val="Calibri"/>
        <family val="2"/>
      </rPr>
      <t xml:space="preserve">
</t>
    </r>
    <r>
      <rPr>
        <sz val="10"/>
        <rFont val="Calibri"/>
        <family val="2"/>
      </rPr>
      <t xml:space="preserve">Navigation data, including a failure indicator, must be displayed on a lateral deviation display (CDI, (E) HSI)) and/or a navigation map display. These must be used as primary flight instruments for the navigation of the aircraft, for manoeuvre anticipation and for failure/status/integrity indication.
</t>
    </r>
    <r>
      <rPr>
        <b/>
        <u/>
        <sz val="10"/>
        <rFont val="Calibri"/>
        <family val="2"/>
      </rPr>
      <t>Explanation</t>
    </r>
    <r>
      <rPr>
        <u/>
        <sz val="10"/>
        <rFont val="Calibri"/>
        <family val="2"/>
      </rPr>
      <t xml:space="preserve">
</t>
    </r>
    <r>
      <rPr>
        <sz val="10"/>
        <rFont val="Calibri"/>
        <family val="2"/>
      </rPr>
      <t>Non‐numeric lateral deviation display (e.g. CDI, (E)HSI), a failure annunciation, for use as primary flight instruments for navigation of the aircraft, for manoeuvre anticipation, and for failure/status/integrity indication, with the following six attributes: (see below)</t>
    </r>
  </si>
  <si>
    <t>9.1.3</t>
  </si>
  <si>
    <t>9.1.4</t>
  </si>
  <si>
    <t>9.1.5</t>
  </si>
  <si>
    <t>9.1.8</t>
  </si>
  <si>
    <t>9.2.2</t>
  </si>
  <si>
    <t>10.1</t>
  </si>
  <si>
    <t>10.3</t>
  </si>
  <si>
    <t>12.2</t>
  </si>
  <si>
    <t>12.3</t>
  </si>
  <si>
    <t>12.3.1</t>
  </si>
  <si>
    <t>12.3.2</t>
  </si>
  <si>
    <t>12.3.3</t>
  </si>
  <si>
    <t>12.3.4</t>
  </si>
  <si>
    <t>12.3.5</t>
  </si>
  <si>
    <t>12.3.6</t>
  </si>
  <si>
    <t>12.6</t>
  </si>
  <si>
    <t>12.7</t>
  </si>
  <si>
    <t>12.8</t>
  </si>
  <si>
    <t>c. The navigation database must contain all the necessary data/information to fly the published approach procedure. Although data may be stored or transmitted in different ways, the data has to be organised in Final Approach Segment Data Blocks (FAS DBs) for the purpose of computing the Cyclic Redundancy Check (CRC). This format provides integrity protection for the data it contains. Consequently, each FAS is defined by a specific 'FAS DB' containing the necessary lateral and vertical parameters depicting the approach to be flown. Once the FAS
DB has been decoded, the equipment shall apply the CRC to the DB to determine whether the data is valid. If the FAS DB does not pass the CRC test, the equipment shall not allow activation of the approach operation</t>
  </si>
  <si>
    <t>b. The capability to continuously display the distance to the Landing Threshold Point (LTP) / Fictitious Threshold Point (FTP).</t>
  </si>
  <si>
    <t>a. The capability to display the GNSS approach mode (e.g. LP, LPV, LNAV/VNAV, lateral navigation) in the primary field of view. This annunciation indicates to the crew the active approach mode in order to correlate it to the corresponding line of minima on the approach chart. It can also detect a level of service degradation (e.g. downgrade from LPV to lateral navigation). The airborne system should automatically provide the highest 'level of service' available for the annunciation of the GNSS approach mode when the approach is selected.</t>
  </si>
  <si>
    <t>General Instructions</t>
  </si>
  <si>
    <t>ToAC</t>
  </si>
  <si>
    <t>Convent'l Routes</t>
  </si>
  <si>
    <t>(E)TSO-C129, (E)TSO-C145, (E)TSO-C146 or (E)TSO-C196 GNSS when either a stand-alone system or part of a multi-sensor navigation system where the operator holds, or is deemed to hold, a navigation authorisation for RNP 2 in accordance with the requirements of Appendix 3 are suitable for use as substitute means of navigation or alternate means of navigation during the en route phase of flight.</t>
  </si>
  <si>
    <t>(E)TSO-C129, (E)TSO-C145, (E)TSO-C146 or (E)TSO-C196 GNSS when either a stand-alone system or part of a multi-sensor navigation system where the operator holds, or is deemed to hold, a navigation authorisation for RNP 1 and RNP APCH in accordance with the requirements of Appendix 4 and Appendix 6 are suitable for use as substitute means of navigation or alternate means of navigation during the terminal and approach phases of flight provided that they have been verified as capable of flying the procedures as published.</t>
  </si>
  <si>
    <t>A.13.3.1</t>
  </si>
  <si>
    <t>A.13.3.2</t>
  </si>
  <si>
    <t>A.13.3.3</t>
  </si>
  <si>
    <t>Initial TSO Compliance assessment by MAO</t>
  </si>
  <si>
    <t>Unknown</t>
  </si>
  <si>
    <t>Applicability</t>
  </si>
  <si>
    <t>Applicable</t>
  </si>
  <si>
    <t>Not Applicable</t>
  </si>
  <si>
    <t>Required Equipment / TSO / ETSO</t>
  </si>
  <si>
    <t>Unknown / Missing</t>
  </si>
  <si>
    <t>Revised Rationale / Evidence / Compliance Statement</t>
  </si>
  <si>
    <t>Not Required / Applicable</t>
  </si>
  <si>
    <t>Navigation Authorisation for IFR Flights</t>
  </si>
  <si>
    <t>Basic RNP 1 requires GNSS as the primary navigation sensor</t>
  </si>
  <si>
    <t>Approval based on Other Navigation Authorisations</t>
  </si>
  <si>
    <t>System Performance Specification</t>
  </si>
  <si>
    <t>Aircraft with (E)TSO-C129a Class A1 or (E)TSO-C146( ) equipment installed for IFR use in accordance with AC 21-36( ) or FAA AC 20-138A</t>
  </si>
  <si>
    <t>App 4 - 3.3</t>
  </si>
  <si>
    <t>App 4- 5</t>
  </si>
  <si>
    <t>App 4-5.2</t>
  </si>
  <si>
    <t>App 4-5.3</t>
  </si>
  <si>
    <t>App 4-5.4</t>
  </si>
  <si>
    <t>Linked Documents</t>
  </si>
  <si>
    <t>Updated Linked documents</t>
  </si>
  <si>
    <t>The aircraft’s AFM, an AFM Supplement or an OEM service letter states that the aircraft navigation system is approved for Basic RNP 1 operations. These references may also state that the aircraft is approved for GPS RNAV Terminal Operations</t>
  </si>
  <si>
    <t>CAO 20.91 App 4 - 1</t>
  </si>
  <si>
    <t>CAO 20.91 App 4- 1</t>
  </si>
  <si>
    <t>CAO 20.91 App 4 - 3.2</t>
  </si>
  <si>
    <t>AC 91U-01 A.6.2.1</t>
  </si>
  <si>
    <t xml:space="preserve">Aircraft Eligibility </t>
  </si>
  <si>
    <t>Aircraft with (E)TSO‐C129a sensor (Class B or C), (E)TSO‐C145( ) or TSO C196 and the requirements of (E)TSO C115b FMS, installed for IFR use in accordance with FAA AC 20‐130A.</t>
  </si>
  <si>
    <r>
      <t>Demonstration to DASA that the aircraft meets the requirements of ICAO Doc 9613, Performance-based Navigation (PBN) Manual, Volume II, Part C, Chapter 3, Implementing Basic-RNP 1</t>
    </r>
    <r>
      <rPr>
        <sz val="11"/>
        <color rgb="FF000000"/>
        <rFont val="Calibri"/>
        <family val="2"/>
      </rPr>
      <t>.</t>
    </r>
  </si>
  <si>
    <t xml:space="preserve">A Baro-VNAV authorisation may be used in conjunction with RNP 1 </t>
  </si>
  <si>
    <t>Operating standards — flight planning – general</t>
  </si>
  <si>
    <t>Before a Basic RNP 1 operation commences, consideration must be given to matters that may affect the safety of the operation, including the following:</t>
  </si>
  <si>
    <t>(a) whether the aircraft and the flight crew have relevant authorisations for Basic RNP 1;</t>
  </si>
  <si>
    <t>(b) whether the aircraft can be operated in accordance with the Basic RNP 1 requirements for:</t>
  </si>
  <si>
    <t>(i) the planned route, including the route to any alternate aerodromes; and</t>
  </si>
  <si>
    <t>(ii) minimum equipment requirements for the flight;</t>
  </si>
  <si>
    <t>(c) whether the navaids required for the planned route are available and adequate for the period of the operation, including any non-RNAV contingencies;</t>
  </si>
  <si>
    <t>(d) whether, if a navigation database is used, it is current and appropriate for the region of operation and includes the navaids and waypoints required for the route;</t>
  </si>
  <si>
    <t>(e) whether operating restrictions, including time limits, apply to the operation.</t>
  </si>
  <si>
    <t>If the aircraft’s essential Basic RNP 1 equipment is functioning properly, the PBN capability of the aircraft must be indicated in the flight plan.</t>
  </si>
  <si>
    <t>Operating standards — flight planning – GNSS integrity availability</t>
  </si>
  <si>
    <t>If a continuous loss of the GNSS integrity function for more than 5 minutes is predicted for any part of the Basic RNP 1 operation, the flight plan must be revised, for example, by delaying the departure time or planning a different route.</t>
  </si>
  <si>
    <t>For a Basic RNP 1 operation navigating with SBAS receivers, a check must be made for GNSS integrity availability in areas where SBAS is unavailable.</t>
  </si>
  <si>
    <t xml:space="preserve">Operating standards — </t>
  </si>
  <si>
    <t>Flight Procedures</t>
  </si>
  <si>
    <t>(b) verification of proper entry of the ATC-assigned route immediately after initial clearance from ATC to conduct the relevant RNAV route;</t>
  </si>
  <si>
    <t>(c) action to ensure the waypoints sequence, depicted by the navigation system, matches the route depicted on the appropriate charts and the assigned route.</t>
  </si>
  <si>
    <t>(a) selection of a Basic RNP 1 SID or STAR by route name from the on-board navigation database;</t>
  </si>
  <si>
    <t>(b) confirmation that the selected route conforms to the charted route, or the route as modified through the insertion or deletion of specific waypoints in response to ATC clearances.</t>
  </si>
  <si>
    <t>(b) making manual entry of latitude, longitude or rho/theta values; or</t>
  </si>
  <si>
    <t>(c) changing an RNAV SID or STAR database waypoint type from a fly-by to a flyover or visa versa.</t>
  </si>
  <si>
    <t>(a) a cross-check of the flight plan by comparing charts or other applicable resources with the navigation system flight plan and the aircraft map display (if applicable);
Note Small differences between charted navigation information and displayed navigation data may be noted. Differences of 3 degrees or less due to the equipment manufacturer’s application of magnetic variation or leg track averaging are operationally acceptable.</t>
  </si>
  <si>
    <t>(b) if required, confirm the exclusion of specific navaids.</t>
  </si>
  <si>
    <t>Note Flight crew procedures and training should emphasise observance of turn anticipation commands and management of rate of turn.</t>
  </si>
  <si>
    <t>Operating standards - Flight Procedures</t>
  </si>
  <si>
    <t>RNAV SID requirements</t>
  </si>
  <si>
    <t>(a) that the aircraft’s RNAV system is available, is operating correctly and the correct aerodrome and runway data is loaded;</t>
  </si>
  <si>
    <t>(c) that the correct runway and departure procedure (including any applicable en route transition) is entered in the navigation system flight plan and properly depicted;</t>
  </si>
  <si>
    <t>Operating standards — flight procedures</t>
  </si>
  <si>
    <t>RNAV STAR requirements</t>
  </si>
  <si>
    <t>(a) that the aircraft navigation system is operating correctly;</t>
  </si>
  <si>
    <t>(b) that the correct arrival procedure and runway (including any applicable transition) are entered in the system and properly depicted.</t>
  </si>
  <si>
    <t>A route is not to be used if doubt exists as to its validity in the navigation database.</t>
  </si>
  <si>
    <t>No member of the flight crew may create a new waypoint by manual entry into the RNAV system.</t>
  </si>
  <si>
    <t>If the operator’s contingency procedures require reversion to a conventional arrival route, provision for that arrival route must be made before commencement of the RNAV STAR.</t>
  </si>
  <si>
    <t>Route modifications in the terminal area may take the form of radar headings or “direct to” clearances and may require the insertion of tactical waypoints from the navigation database. However, no member of the flight crew may make a manual entry or modification of the loaded route using temporary waypoints or fixes not contained in the database.</t>
  </si>
  <si>
    <t>All relevant published altitude and speed constraints must be observed.</t>
  </si>
  <si>
    <t>Contingency procedures for performance failure</t>
  </si>
  <si>
    <t>ATC must be notified immediately if the system performance ceases to meet Basic RNP 1 requirements during a Basic RNP 1 operation in controlled airspace.</t>
  </si>
  <si>
    <t>Supporting Rationale / Evidence / Compliance Statement</t>
  </si>
  <si>
    <t xml:space="preserve">System Functional Performance </t>
  </si>
  <si>
    <t>Demonstration to DASA that the aircraft meets the requirements of ICAO Doc 9613, Performance-based Navigation (PBN) Manual, Volume II, Part C, Chapter 3, Implementing Basic-RNP 1.</t>
  </si>
  <si>
    <t>System Functions</t>
  </si>
  <si>
    <t>Functionally Equivalent</t>
  </si>
  <si>
    <t>Functionally Equivalent with Operational work-a-round</t>
  </si>
  <si>
    <t>Not Equivalent</t>
  </si>
  <si>
    <t>Initial Compliance Review DASA</t>
  </si>
  <si>
    <t>Explanatory Notes - MAO</t>
  </si>
  <si>
    <t>Alternate Aircraft Eligibility (If Required)</t>
  </si>
  <si>
    <t>If RF Legs are authorised for use in conjunction with RNP 1, the aircraft must be equipped with a map display that depicts the computed aircraft flight path.
This is an additional specification for operation with RNP 1 and must be authorised on this sheet</t>
  </si>
  <si>
    <t>Associated Supplementary Approvals</t>
  </si>
  <si>
    <t>RVSM Eligibility + Initial Airworthiness</t>
  </si>
  <si>
    <t xml:space="preserve">Maintenance program approval requirements
Each  operator  requesting  an RVSM  operational  approvalshould  submit  a  maintenance  and inspection  program  which  includes  any  maintenance  requirements  defined  in  the  approved  data package as part of a continued airworthiness (approved system of) maintenance program approval or an equivalent program approved by DASA. </t>
  </si>
  <si>
    <t xml:space="preserve">Compliance Requirements - Flight Operations </t>
  </si>
  <si>
    <t xml:space="preserve">(g) Procedures for the reporting navigation errors/system failure procedures </t>
  </si>
  <si>
    <t>Continuing Airworthiness</t>
  </si>
  <si>
    <t>Aircraft Eligibility and Initial Airworthiness</t>
  </si>
  <si>
    <t>RNP 1 - Compliance Requirements - Summary Section</t>
  </si>
  <si>
    <t>RNP-APCH - Compliance Requirements - Summary Section</t>
  </si>
  <si>
    <t>CAO 20.91 App 6-1</t>
  </si>
  <si>
    <t>RNP-APCH requires either:</t>
  </si>
  <si>
    <t>An aircraft that is approved for RNP APCH – LPV, when operating within an SBAS service volume, may utilise SBAS derived vertical guidance to carry out an RNP APCH – LNAV/VNAV procedure</t>
  </si>
  <si>
    <t>CAO 20.91 App 6 - 3.2</t>
  </si>
  <si>
    <t xml:space="preserve">Aircraft Eligibility - RNP APCH </t>
  </si>
  <si>
    <t>Aircraft Eligibility - RNP APCH-LNAV/VNAV</t>
  </si>
  <si>
    <t>the AFM, an AFMS or OEM service letter states that the aircraft navigation system is approved for RNP 0.3 approach operations with GNSS updating</t>
  </si>
  <si>
    <t>the aircraft is equipped with a navigation system which meets the requirements for PBN type RNP AR navigation authorisation</t>
  </si>
  <si>
    <t>the aircraft is equipped with a GNSS stand-alone system approved for NPA operations in accordance with AC 21-36 ( ) ((E)TSO-C129a Class A1 or (E)TSO-C146 Class Gamma and operational Class 2 or 3) and is approved for Baro-VNAV operations</t>
  </si>
  <si>
    <t xml:space="preserve">the aircraft is equipped with a multi-sensor system (for example, FMS) with GNSS equipment that is;
 - in accordance with (E)TSO-C129a Class B1, C1, B3, C3 or (E)TSO-C145 Class Beta and operational Class 2 or 3 or (E)TSO-C196; and
 - installed in accordance with AC 21-36 and AC 21-37; and
 - the aircraft is authorised for Baro-VNAV operations </t>
  </si>
  <si>
    <r>
      <t xml:space="preserve">An aircraft is eligible for RNP APCH-LNAV/VNAV operations if at least </t>
    </r>
    <r>
      <rPr>
        <b/>
        <sz val="11"/>
        <rFont val="Calibri"/>
        <family val="2"/>
      </rPr>
      <t>ONE</t>
    </r>
    <r>
      <rPr>
        <sz val="11"/>
        <rFont val="Calibri"/>
        <family val="2"/>
      </rPr>
      <t xml:space="preserve"> of the following options is valid</t>
    </r>
  </si>
  <si>
    <t>the AFM, an AFMS, or OEM service letter states that the aircraft navigation system is approved for RNP APCH – LP approach operations</t>
  </si>
  <si>
    <t>the aircraft is equipped with a GNSS stand-alone system approved for LP operations that is:
 - in accordance with (E)TSO-C146 ( ) Class Gamma and operational Class 3; and
 -installed in accordance with AC 21-36</t>
  </si>
  <si>
    <t>the aircraft is equipped with a multi-sensor system (for example, FMS) with GNSS equipment that is:
 - in accordance with (E)TSO-C145 Class Beta and operational Class 3; and
 - installed in accordance with AC 21-36 and AC 21-37</t>
  </si>
  <si>
    <t>Aircraft Eligibility - RNP-APCH LP and LPV</t>
  </si>
  <si>
    <t>An aircraft is eligible for RNP APCH – LP and RNP APCH – LPV operations if</t>
  </si>
  <si>
    <t>the AFM, an AFMS or OEM service letter states that the aircraft navigation system is approved for RNP APCH – LPV approach operations</t>
  </si>
  <si>
    <t>the aircraft is equipped with a GNSS stand-alone system approved for LP and LPV operations that is:
 - in accordance with (E)TSO-C146 Class Gamma and operational Class 3; and 
 - installed in accordance with AC 21-36</t>
  </si>
  <si>
    <t>the aircraft is equipped with a multi-sensor system (for example, FMS) with GNSS equipment that is:
 - in accordance with (E)TSO-C145 ( ) Class Beta and operational Class 3; and
 - installed in accordance with AC 21-36 and AC 21-37</t>
  </si>
  <si>
    <t>Before an RNP APCH operation commences, consideration must be given to matters that may affect the safety of the operation, including the following:</t>
  </si>
  <si>
    <t>(a) whether the aircraft, and each member of the flight crew, has relevant authorisations for RNP APCH;</t>
  </si>
  <si>
    <t>(b)whether the navigation database is current and appropriate for the region of operation and includes the navaids and waypoints required for the route</t>
  </si>
  <si>
    <t>If the aircraft’s essential RNP APCH equipment is functioning properly, the PBN capability of the aircraft must be indicated in the flight plan.</t>
  </si>
  <si>
    <t>The following must be checked and confirmed:</t>
  </si>
  <si>
    <t>(e) if barometric aiding is used — that the current aerodrome barometric altimeter setting is entered</t>
  </si>
  <si>
    <t>The operator must ensure that the appropriate displays are selected to permit monitoring of the aircraft’s:</t>
  </si>
  <si>
    <t>(b)position relative to the approach path (cross-track and, where applicable, vertical deviation).</t>
  </si>
  <si>
    <t>The aircraft is to be established on the final approach course no later than the FAF</t>
  </si>
  <si>
    <t>Descent in the final segment is not to be commenced unless</t>
  </si>
  <si>
    <t>(a) the appropriate approach mode is annunciated, namely, LNAV, LNAV/VNAV, LP or LPV; and</t>
  </si>
  <si>
    <t xml:space="preserve">(d) during a segment of a procedure, Cross-track Error/Deviation equals or is reasonably likely to equal the RNP for the segment of the procedure; or </t>
  </si>
  <si>
    <t>(e) where NSE is available during a segment of a procedure, including NSE measured as Estimate of Position Uncertainty, NSE + FTE during the segment equals or exceeds the RNP specified for the segment; or</t>
  </si>
  <si>
    <t>(f) if the aircraft is equipped with serviceable automated cross-track error alerting — when a Cross-Track Error/Deviation alert is received</t>
  </si>
  <si>
    <t xml:space="preserve">Note 1:   NSE and FTE are the largest tracking errors for RNP APCH. ICAO Doc 9613, Performance-based Navigation (PBN) Manual, notes “cross-track error/deviation” as a component of FTE.
Note 2:  ICAO Doc 9613, Performance-based Navigation (PBN) Manual, Volume II, Part C, Chapter 5 – Section A, provides guidance on the use of RNP APCH procedures. Pilots are advised to track along procedure centre lines unless authorised to deviate by ATC or under emergency conditions.  So far as practicable, the cross-track error/deviation for normal operations should be limited to 0.5 NM (½ x RNP) for the initial segment, the intermediate segment and a missed approach, and to 0.15 NM (½ x RNP) for the final approach segment. Brief deviations are acceptable during and immediately after turns where accurate cross-track information is not provided during the turn. The use of a flight director or autopilot is recommended. Flight crew procedures and training should emphasise observance of turn anticipation commands and management of rate of turn. </t>
  </si>
  <si>
    <r>
      <rPr>
        <b/>
        <sz val="11"/>
        <rFont val="Calibri"/>
        <family val="2"/>
      </rPr>
      <t>Estimate of Position Uncertainty</t>
    </r>
    <r>
      <rPr>
        <sz val="11"/>
        <rFont val="Calibri"/>
        <family val="2"/>
      </rPr>
      <t xml:space="preserve">, or </t>
    </r>
    <r>
      <rPr>
        <b/>
        <sz val="11"/>
        <rFont val="Calibri"/>
        <family val="2"/>
      </rPr>
      <t>EPU</t>
    </r>
    <r>
      <rPr>
        <sz val="11"/>
        <rFont val="Calibri"/>
        <family val="2"/>
      </rPr>
      <t>, means a measure of NSE provided by the navigation system of an aircraft based on a defined scale in NM that displays the current performance of the navigation system in accurately estimating the aircraft position. 
Note:   Different system manufacturers assign specific names for EPU, including “Horizontal Protection Limit” or “HPL”, “Actual Navigation Performance” or “ANP” and “Estimate of Position Error” or “EPE”.</t>
    </r>
  </si>
  <si>
    <t>Transient deviations greater than 75 ft above the flight path are acceptable during aircraft configuration changes. Deviations greater than 75 ft below the flight path are not acceptable during aircraft configuration changes.</t>
  </si>
  <si>
    <t>The operator must ensure that the flight crew have and implement contingency procedures for a loss of RNP APCH capability during the approach.</t>
  </si>
  <si>
    <t>Navigation displays</t>
  </si>
  <si>
    <t>g. The capability to immediately provide track deviation indications relative to the extended FAS, in order to facilitate the interception of the extended FAS from a radar vector (e.g. VTF function).
Note: These requirements are limited to the FAS, the straight continuation of the final approach in the missed approach, and to the interception of the extended FAS. If the installed system is also able to fly the initial, intermediate and missed approach segments of the approach, the corresponding requirement (e.g. RNP APCH, Section A of this chapter, or RNAV1 criteria) applies.</t>
  </si>
  <si>
    <t>The aircraft is equipped with a navigation system which meets the requirements for RNP AR navigation authorisation</t>
  </si>
  <si>
    <t xml:space="preserve">The aircraft is equipped with a GNSS stand-alone system approved for NPA operations in accordance with AC 21-36 ( ) ((E)(TSO-C129a Class A1 or (E)TSO-C146 Class Gamma and operational Class 1, 2 or 3); </t>
  </si>
  <si>
    <t>The aircraft is equipped with a multi-sensor system (for example, FMS) with GNSS equipment that is:
 - in accordance with (E)TSO-C129a Class B1, C1, B3 or C3 or (E)TSO-C145 ( ) Class 1, 2 or 3 or (E)TSO-C196 ( ); and
 - installation is in accordance with AC 21-36 and AC 21- 37</t>
  </si>
  <si>
    <t>CAO 20.91 App 3- 1</t>
  </si>
  <si>
    <t xml:space="preserve">The aircraft’s AFM, an AFM Supplement or an OEM service letter states that the aircraft navigation system is approved for RNP 2 operations. </t>
  </si>
  <si>
    <t>App 3- 3.3</t>
  </si>
  <si>
    <t>App 3-5.4</t>
  </si>
  <si>
    <t>CAO 20.91 App  - 3.2</t>
  </si>
  <si>
    <r>
      <t>Demonstration to DASA that the aircraft meets the requirements of ICAO Doc 9613, Performance-based Navigation (PBN) Manual, Volume II, Part C, Chapter2, Implementing RNP 2</t>
    </r>
    <r>
      <rPr>
        <sz val="11"/>
        <color rgb="FF000000"/>
        <rFont val="Calibri"/>
        <family val="2"/>
      </rPr>
      <t>.</t>
    </r>
  </si>
  <si>
    <t>Before an RNP 2 operation commences, consideration must be given to matters that may affect the safety of the operation, including the following:</t>
  </si>
  <si>
    <t>(a) whether the aircraft and the flight crew have relevant authorisations for RNP 2;</t>
  </si>
  <si>
    <t>(b) whether the aircraft can be operated in accordance with the  RNP 2 requirements for:</t>
  </si>
  <si>
    <t>If the aircraft’s essential RNP 2 equipment is functioning properly, the PBN capability of the aircraft must be indicated in the flight plan.</t>
  </si>
  <si>
    <t>(a) a lateral deviation indicator / a navigation map display with functionality equivalent to a lateral deviation indicator as described in ICAO Doc. 9613, Performance-based Manual (PBN), Volume II, Part C, Chapter 2, Implementing RNP 2</t>
  </si>
  <si>
    <t>(b) on an RNP 2 route using a lateral deviation indicator that complies with (E)TSO-C129 ( ) — full scale deflection ±5 NM.</t>
  </si>
  <si>
    <t>Where a lateral deviation indicator is used, scaling must be selected suitable for the navigation accuracy associated with the route or procedure, for example:</t>
  </si>
  <si>
    <t>7.5.a/7.6</t>
  </si>
  <si>
    <t>Route centrelines must be maintained, as depicted by L/DEV indicators or flight guidance, unless authorised to deviate by ATC or under emergency conditions.</t>
  </si>
  <si>
    <t>Navigation System Error + Flight Technical Error (lateral deviation) must not exceed the specified navigation accuracy</t>
  </si>
  <si>
    <t>Deviation from the standard mentioned above is acceptable during and immediately after turns, but only to the minimal extent that accurate cross-track information may not be provided during the turn.</t>
  </si>
  <si>
    <t>If ATC issues a heading assignment taking the aircraft off a route, the navigation system flight plan may only be modified when:</t>
  </si>
  <si>
    <t>ATC must be notified immediately if the system performance ceases to meet Basic RNP 2 requirements during a RNP 2 operation in controlled airspace.</t>
  </si>
  <si>
    <t>Positioning data from non-GNSS navigation sensors may be integrated with GNSS data if:</t>
  </si>
  <si>
    <t>(a) the non-GNSS data does not cause position errors exceeding the TSE limit</t>
  </si>
  <si>
    <t>(b) if paragraph (a) does not apply — there is a means to deselect the non GNSS inputs.</t>
  </si>
  <si>
    <t>App 3-5.5</t>
  </si>
  <si>
    <t>FRT (when authorised by DASA) may be used in conjunction with RNP 2</t>
  </si>
  <si>
    <t>CAO 20.91 App 3-3.5</t>
  </si>
  <si>
    <t>Oceanic or Remote</t>
  </si>
  <si>
    <t>Continental En-route</t>
  </si>
  <si>
    <t>An aircraft conducting RNP 2 operations in oceanic or remote airspace must be equipped with appropriate dual, independent, serviceable LRNS</t>
  </si>
  <si>
    <t>An aircraft conducting RNP 2 operations in continental en route airspace must be equipped with at least an appropriate single GNSS RNAV system, provided that an alternative means of navigation is available if required.</t>
  </si>
  <si>
    <t>If GNSS is used for an RNAV 5 operation, positioning data from non GNSS navigation sensors may be integrated with GNSS data if:</t>
  </si>
  <si>
    <t>CAO 20.91 App 1-2</t>
  </si>
  <si>
    <t>If the system performance ceases to meet RNAV 5 requirements during an RNAV 5 operation in controlled airspace, ATC must be notified immediately</t>
  </si>
  <si>
    <t>Where stand-alone GNSS or GNSS/FMS equipment is used for an RNAV 5 operation and a loss of the integrity monitoring function occurs, the following checks and procedures must be followed:
(a) while continuing to navigate using GNSS — cross-check the aircraft position with other sources of position information, for example, VOR, DME and NDB information, to confirm an acceptable level of navigation performance;
(b) if unable to confirm navigation accuracy — revert to an alternative means of navigation and advise ATC accordingly.</t>
  </si>
  <si>
    <t>If 
(a) stand-alone GNSS or GNSS/FMS equipment is used for an RNAV 5 operation; and
(b) a navigation display is flagged invalid due to an integrity alert;
The Aircraft must:
(a) while continuing to navigate using GNSS — cross-check the aircraft position with other sources of position information, for example, VOR, DME and NDB information, to confirm an acceptable level of navigation performance;
(b) if unable to confirm navigation accuracy — revert to an alternative means of navigation and advise ATC accordingly.</t>
  </si>
  <si>
    <t>Brief deviations from the standard mentioned above are acceptable during and immediately after turns, but only to the minimal extent that accurate cross track information may not be provided during the turn. Unless emergency conditions exist, any other intentional deviation from the route centreline requires prior clearance from ATC.
Note   Flight crew procedures and training should emphasise observance of turn anticipation commands and management of rate of turn.</t>
  </si>
  <si>
    <t>Subject to the below, the aircraft must be flown to maintain the route centreline as close as practicable.
Note    Piloting standards usually require the aircraft to be flown to maintain lateral deviation not exceeding half the current accuracy requirement (RNP value) or half the lateral deviation scale. Whilst this standard should be observed, pilots must also be aware that Navigation System Error + Flight Technical Error (lateral deviation) may not exceed the specified navigation accuracy.</t>
  </si>
  <si>
    <t>Flight progress must be monitored for navigational reasonableness by periodic cross-checks with conventional navaids, where available</t>
  </si>
  <si>
    <t>(b) a cross-check of the flight plan by comparing charts or other applicable resources with the navigation system flight plan and the aircraft map display (if applicable) and, if necessary, excluding specific navaids.</t>
  </si>
  <si>
    <t>(a) the instructions and procedures of the OEM in relation to the performance requirements of RNAV 5</t>
  </si>
  <si>
    <t>(b) any AFM limitations or operating procedures required to maintain the navigation accuracy specified for RNAV 5</t>
  </si>
  <si>
    <t>An RNAV 5 operation must comply with the following:</t>
  </si>
  <si>
    <t>Before an RNAV 5 operation commences, proper consideration must be given to matters that may affect the safety of the operation, including the following:</t>
  </si>
  <si>
    <t>(a) whether the aircraft and the flight crew have relevant authorisations for RNAV 5</t>
  </si>
  <si>
    <t>(b) whether the aircraft can be operated in accordance with the RNAV 5 requirements for:
(i) the planned route, including the route to any alternate aerodromes; and
(ii)minimum equipment requirements for the flight;</t>
  </si>
  <si>
    <t>If the aircraft’s essential RNAV 5 equipment is functioning properly, the PBN capability of the aircraft must be indicated in the flight plan.</t>
  </si>
  <si>
    <t>Summary</t>
  </si>
  <si>
    <r>
      <t>Demonstration to DASA that the aircraft meets the requirements of ICAO Doc 9613, Performance-based Navigation (PBN) Manual, Volume II, Part C, Chapter2, Implementing RNAV 5</t>
    </r>
    <r>
      <rPr>
        <sz val="11"/>
        <color rgb="FF000000"/>
        <rFont val="Calibri"/>
        <family val="2"/>
      </rPr>
      <t>.</t>
    </r>
  </si>
  <si>
    <t>CAO 20.91 App  - 1.2</t>
  </si>
  <si>
    <t>Demonstration to DASA that the aircraft meets the requirements of ICAO Doc 9613, Performance-based Navigation (PBN) Manual, Volume II, Part b, Chapter 2, Implementing RNAV 5.</t>
  </si>
  <si>
    <t>For RNAV 5 eligibility, the system must meet the following minimum standards of functionality:</t>
  </si>
  <si>
    <t>(a) the aircraft position relative to track must be continuously displayed on a navigation display situated in the primary field of view of the pilot flying the aircraft</t>
  </si>
  <si>
    <t>(b) where the minimum flight crew is 2 pilots, the aircraft position relative to track must also be continuously displayed on a navigation display situated in the primary field of view of the pilot not flying the aircraft;</t>
  </si>
  <si>
    <t>(c) the system must display distance and bearing to the active (to) waypoint;</t>
  </si>
  <si>
    <t>(d) the system must display ground-speed or time to the active (to) waypoint</t>
  </si>
  <si>
    <t>(f) the system must indicate failure of the system, including the sensors.</t>
  </si>
  <si>
    <t>(e) the system must store at least 4 waypoints;</t>
  </si>
  <si>
    <t>Navigational Displays</t>
  </si>
  <si>
    <t>(i) a display forming part of the RNAV equipment; or</t>
  </si>
  <si>
    <t>(ii)a lateral deviation display, for example, CDI, (E)HSI, or a navigation map display;</t>
  </si>
  <si>
    <t>(i) as the primary flight instrument for navigation of the aircraft; and</t>
  </si>
  <si>
    <t>(c) the display must be visible to the pilot when looking forward along the flight path;</t>
  </si>
  <si>
    <t>(d) where a lateral deviation display is implemented, the lateral deviation display must have:</t>
  </si>
  <si>
    <t>i) scaling compatible with any alerting and annunciation limits; and</t>
  </si>
  <si>
    <t>(ii) scaling and full-scale deflection suitable for RNAV 5 operations.</t>
  </si>
  <si>
    <t>RNAV 5 Equipment</t>
  </si>
  <si>
    <t>RNAV 1 and RNAV 2 - Compliance Requirements - Summary Section</t>
  </si>
  <si>
    <t>CAO 20.91 App 2 1</t>
  </si>
  <si>
    <t>The aircraft’s AFM, an AFM Supplement or an OEM service letter states that the aircraft navigation system is approved for RNAV 1 and RNAV 2 operations</t>
  </si>
  <si>
    <t>the aircraft’s AFM, an AFMS or an OEM service letter states that the aircraft navigation system is approved for P-RNAV in accordance with JAA TGL-10, and the additional requirements for RNAV 1 and RNAV 2 are met as set out in ICAO Doc. 9613, Performance-based Navigation (PBN) Manual, Volume II, Part B, Chapter 3, Implementing RNAV 1 and RNAV 2</t>
  </si>
  <si>
    <t xml:space="preserve">the aircraft’s AFM, an AFMS or an OEM service letter states that the aircraft navigation system is approved for US-RNAV in accordance with FAA AC 90-100A, and the additional requirements for RNAV 1 and RNAV 2 are met as set out in ICAO Doc. 9613, Performance-based Navigation (PBN) Manual, Volume II, Part B, Chapter 3, Implementing RNAV 1 and RNAV 2 </t>
  </si>
  <si>
    <t>CAO 20.91 App  3 4-2</t>
  </si>
  <si>
    <t>(c) whether, if a navigation database is used, it is current and appropriate for the region of operation and includes the navaids and waypoints required for the route;</t>
  </si>
  <si>
    <t>(d) whether operating restrictions, including time limits, apply to the operation.</t>
  </si>
  <si>
    <t>At system initialisation, the following must occur:</t>
  </si>
  <si>
    <t>The following steps must occur:</t>
  </si>
  <si>
    <t>Except in response to ATC clearances, the following must not occur:</t>
  </si>
  <si>
    <t>Where an L/DEV indicator is used, scaling must be selected suitable for the navigation accuracy associated with the route or procedure, for example, full scale deflection ±1 NM.</t>
  </si>
  <si>
    <t>A RNP 1 operation must comply with the instructions and procedures of the OEM in relation to the performance requirements of RNP 1.</t>
  </si>
  <si>
    <t>For RNP 1 routes, an L/DEV indicator, flight director or autopilot in lateral navigation mode must be used.
Note Examples of an L/DEV indicator include CDI and HSI.</t>
  </si>
  <si>
    <t>Route centrelines must be maintained as close as practicable, as depicted by L/DEV indicators or flight guidance, unless authorised to deviate by ATC or under emergency conditions. Navigation System Error + Flight Technical Error (lateral deviation) must not exceed the specified navigation accuracy.</t>
  </si>
  <si>
    <t>Brief deviations from the standard mentioned in subclause above is acceptable during and immediately after turns, but only to the minimal extent that accurate cross-track information may not be provided during the turn.</t>
  </si>
  <si>
    <t>8.1.a</t>
  </si>
  <si>
    <t>8.1.b</t>
  </si>
  <si>
    <t>Before an eligible aircraft takes-off, the following RNAV SID requirements must be verified:</t>
  </si>
  <si>
    <t>(a) that the aircraft’s RNP system is available, is operating correctly and the correct aerodrome and runway data is loaded;</t>
  </si>
  <si>
    <t>RNAV guidance must be selected and available to provide flight guidance for lateral RNAV at no later than 153 m (or 500 ft) above the aerodrome field elevation.
Note: The altitude at which RNAV guidance begins on a given route may be higher, for example, “climb to 304 m (or 1 000 ft), then direct to X….”).</t>
  </si>
  <si>
    <t>For an RNP 1 operation, an authorised method must be used to achieve an appropriate level of performance for RNP 1, for example, L/DEV indicator, navigation map display, flight director or autopilot.</t>
  </si>
  <si>
    <t>The GNSS signal must be acquired before the take-off roll commences.</t>
  </si>
  <si>
    <t>One of the following</t>
  </si>
  <si>
    <t>8.6/7</t>
  </si>
  <si>
    <t xml:space="preserve">For aircraft using (E)TSO-C129a equipment, the departure aerodrome must be loaded into the flight plan in order to achieve the appropriate navigation system monitoring and sensitivity. </t>
  </si>
  <si>
    <t>The operator must ensure that updating will exclude a particular navaid, if so required by a route.</t>
  </si>
  <si>
    <t>6.1.6</t>
  </si>
  <si>
    <t>6.1.5</t>
  </si>
  <si>
    <t>6.1.10</t>
  </si>
  <si>
    <t>CAO 20.91 App  6 4-2</t>
  </si>
  <si>
    <t>Demonstration to DASA that the aircraft meets the requirements of ICAO Doc. 9613, Performance-based Navigation (PBN) Manual, Volume II, Part C, Chapter 5, Implementing RNP APCH. Part A for RNP APCH – LNAV and/or RNP APCH – LNAV/VNAV operations and Part B for RNP APCH – LP and/or RNP APCH – LPV operations.</t>
  </si>
  <si>
    <t>Aircraft Eligibility - RNP APCH-LP</t>
  </si>
  <si>
    <t>Additional APCH system functionality requirement</t>
  </si>
  <si>
    <t>(b) a relative indication which allows the pilot to determine deviation in proportion to a known indicator scale.</t>
  </si>
  <si>
    <t>Where the minimum flight crew is 2 pilots, there must be a means for the pilot not flying to accurately verify the desired path and the aircraft position relative to that path.
Note   To meet the intent of this requirement, in aircraft equipped with a single navigation system, both pilots must be able to access the system controls and view the system display(s) in accordance with the requirements of the applicable airworthiness standards</t>
  </si>
  <si>
    <t>RNP-AR requires:</t>
  </si>
  <si>
    <t>the OEM has documented that the aircraft is capable of RNP AR approach operations, or RNP AR departure operations or both RNP AR approach and departure operations</t>
  </si>
  <si>
    <t>all modifications, options or particular part numbers required by the original equipment manufacturer or the STC are installed in, or on, the aircraft or the relevant part.</t>
  </si>
  <si>
    <t>Aircraft Eligibility - RNP AR</t>
  </si>
  <si>
    <t xml:space="preserve">The aircraft’s AFM, an AFM Supplement or an OEM service letter states that the aircraft is equipped for RNAV 5 operations. </t>
  </si>
  <si>
    <t>Data Integration</t>
  </si>
  <si>
    <t>(a)	enable the aircraft to establish and follow a desired flight path</t>
  </si>
  <si>
    <t>(b)	automatically determine the aircraft’s position in the horizontal plane using inputs from 1 or more of the following types or combinations of position sensors:
	(i)	VOR/DME; 
	(ii)	DME/DME;
	(iii)	INS or IRS;
	(iv)	GNSS.</t>
  </si>
  <si>
    <t>If an aircraft is not equipped with GNSS, it must, nevertheless, have the capability to satisfy the RNAV 5 inertial only time limits for any relevant route on which it is flown.</t>
  </si>
  <si>
    <t>CAO 20.91 App 2-4.2</t>
  </si>
  <si>
    <t>If GNSS is used for an RNAV 1 and RNAV 2 operation, positioning data from non GNSS navigation sensors may be integrated with GNSS data if:</t>
  </si>
  <si>
    <t>App 2-5</t>
  </si>
  <si>
    <t>(a) whether the aircraft and the flight crew have relevant authorisations for RNAV 1 and RNAV 2</t>
  </si>
  <si>
    <t>(b) whether the aircraft can be operated in accordance with the RNAV 1 and RNAV 2 requirements for:
(i) the planned route, including the route to any alternate aerodromes; and
(ii)minimum equipment requirements for the flight;</t>
  </si>
  <si>
    <t>(f) whether operating restrictions, including time limits, apply to the operation.</t>
  </si>
  <si>
    <t>(e) for navigation relying on DME — whether operating procedures properly require the pilot in command:</t>
  </si>
  <si>
    <t>(i) to check NOTAMs to verify the condition of critical DMEs</t>
  </si>
  <si>
    <t>(ii) to consider his or her capability to navigate (including to an alternate destination) in the case of a failure of a critical DME while airborne</t>
  </si>
  <si>
    <t>A RNAV 1 and RNAV 2  operation must comply with the instructions and procedures of the OEM in relation to the performance requirements of RNAV 1 and RNAV 2 .</t>
  </si>
  <si>
    <t>(b) verification that the aircraft position has been entered correctly;</t>
  </si>
  <si>
    <t>(c) verification of proper entry of the ATC-assigned route immediately after initial clearance from ATC to conduct the relevant RNAV route;</t>
  </si>
  <si>
    <t>(d) action to ensure the waypoints sequence, depicted by the navigation system, matches the route depicted on the appropriate charts and the assigned route.</t>
  </si>
  <si>
    <t>(a) selection of a Basic RNAV 1 or RNAV 2 SID or STAR by route name from the on-board navigation database;</t>
  </si>
  <si>
    <t>Flight progress must be monitored for navigational reasonableness by periodic cross checks with available data from ground-based aids, if available.</t>
  </si>
  <si>
    <t>Where a lateral deviation indicator is used, scaling must be selected suitable for the navigation accuracy associated with the route or procedure, for example, full scale deflection ±1 NM for RNAV 1, ±2 NM for RNAV 2, or ±5 NM for (E)TSO-C129 ( ) equipment on RNAV 2 routes.</t>
  </si>
  <si>
    <t>The operator must ensure that each member of the flight crew is aware of the functional limitations of relevant RNP systems and the correct application of manual tracking procedures for path following.</t>
  </si>
  <si>
    <t>(b) that the correct runway and departure procedure (including any applicable en route transition) is entered in the navigation system flight plan and properly depicted;</t>
  </si>
  <si>
    <t>RNAV guidance must be selected and available to provide flight guidance for lateral RNAV at no later than 153 m (or 500 ft) above the aerodrome field elevation.</t>
  </si>
  <si>
    <t>For an RNAV 1 operation, an authorised method must be used to achieve an appropriate level of performance, for example, L/DEV indicator, flight director or autopilot.</t>
  </si>
  <si>
    <t>When the aircraft is using GNSS, the signal must be acquired before the take-off roll commences.</t>
  </si>
  <si>
    <t>For operations without GNSS using DME/DME/IRU, the aircraft navigation system position must be confirmed within 304 m (or 1 000 ft) of a known position, at the starting point of the take-off roll.</t>
  </si>
  <si>
    <t>The following must be checked and confirmed for RNAV STAR:</t>
  </si>
  <si>
    <t xml:space="preserve">The following must be checked and confirmed for RNAV STAR:
</t>
  </si>
  <si>
    <t>ATC must be notified immediately if the system performance ceases to meet RNAV 1 and RNAV 2 requirements (as applicable) during an RNAV 1 and RNAV 2 operation in controlled airspace.</t>
  </si>
  <si>
    <t>RNP 0.3 - Compliance Requirements - Summary Section</t>
  </si>
  <si>
    <t xml:space="preserve">Note: The RNP 0.3 navigation specification was developed specifically for helicopter operations in metropolitan areas and for offshore support, including Point-in-Space (PINS) arrival and departure operations. This navigation specification addresses en route, terminal and approach operations using RNP 0.3 for all phases of flight. Fixed-wing aircraft that operate at speeds similar to helicopters are eligible for an RNP 0.3 navigation authorisation provided they meet all the requirements specified </t>
  </si>
  <si>
    <t>RNP 0.3 requires GNSS approved to (E)TSO-C145, (E)TSO-C146 or (E)TSO-C196 as the primary navigation sensor</t>
  </si>
  <si>
    <r>
      <t xml:space="preserve">An aircraft is eligible for RNP 0.3 operations if at least </t>
    </r>
    <r>
      <rPr>
        <b/>
        <sz val="11"/>
        <rFont val="Calibri"/>
        <family val="2"/>
      </rPr>
      <t>ONE</t>
    </r>
    <r>
      <rPr>
        <sz val="11"/>
        <rFont val="Calibri"/>
        <family val="2"/>
      </rPr>
      <t xml:space="preserve"> of the following options is valid</t>
    </r>
  </si>
  <si>
    <r>
      <t>Demonstration to DASA that the aircraft meets the requirements of ICAO Doc 9613, Performance-based Navigation (PBN) Manual, Volume II, Part C, Chapter 7, Implementing RNP 0.3</t>
    </r>
    <r>
      <rPr>
        <sz val="11"/>
        <color rgb="FF000000"/>
        <rFont val="Calibri"/>
        <family val="2"/>
      </rPr>
      <t>.</t>
    </r>
  </si>
  <si>
    <t>A5 3.2</t>
  </si>
  <si>
    <t>An aircraft is eligible for RNP 0.3 operations if the aircraft’s AFM, an AFMS or an OEM service letter states that the aircraft navigation system is approved for RNP 0.3 operations</t>
  </si>
  <si>
    <t>CAO 20.91 App 5 - 3.2</t>
  </si>
  <si>
    <t>CAO 20.91 App  5 4-2</t>
  </si>
  <si>
    <t>Before a RNP 0.3 operation commences, consideration must be given to matters that may affect the safety of the operation, including the following:</t>
  </si>
  <si>
    <t>(a) whether the aircraft and the flight crew have relevant authorisations for RNP 0.3;</t>
  </si>
  <si>
    <t>(b) whether the aircraft can be operated in accordance with the RNP 0.3 requirements for:</t>
  </si>
  <si>
    <t>If the aircraft’s essential RNP 0.3 equipment is functioning properly, the PBN capability of the aircraft must be indicated in the flight plan.</t>
  </si>
  <si>
    <t xml:space="preserve">(ii) minimum equipment requirements for the flight;
</t>
  </si>
  <si>
    <t>(c) whether the navaids required for the planned route are available and adequate for the period of the operation, including any non-RNAV contingencies</t>
  </si>
  <si>
    <t xml:space="preserve">Summary
</t>
  </si>
  <si>
    <t xml:space="preserve">At system initialisation, the following must occur:
</t>
  </si>
  <si>
    <t xml:space="preserve">The following steps must occur:
</t>
  </si>
  <si>
    <t xml:space="preserve">(a) creation of new waypoints by manual entry; or
</t>
  </si>
  <si>
    <t xml:space="preserve">The following checks and cross-checks must be made:
</t>
  </si>
  <si>
    <t xml:space="preserve">Flight Procedures - General
</t>
  </si>
  <si>
    <t>A RNP 0.3 operation must comply with the instructions and procedures of the OEM in relation to the performance requirements of RNP 0.3.</t>
  </si>
  <si>
    <t xml:space="preserve">(a) confirmation that the navigation database is current;
</t>
  </si>
  <si>
    <t>(b) verification of proper entry of the ATC-assigned route immediately after initial clearance from ATC to conduct the relevant RNP route;</t>
  </si>
  <si>
    <t>(a) selection of a RNP 0.3 SID or STAR by route name from the on-board navigation database;</t>
  </si>
  <si>
    <t>For RNP 0.3 routes, a lateral deviation indicator, flight director or autopilot in LNAV mode must be used. If the aircraft is approved for RF Legs, the map display under subclause 5.4 must be in accordance with Appendix 10.
Note   Examples of a lateral deviation indicator include CDI and HSI.</t>
  </si>
  <si>
    <t>Where an L/DEV indicator is used, scaling must be selected suitable for the navigation accuracy associated with the route or procedure, for example, full scale deflection ±0.3 NM.</t>
  </si>
  <si>
    <t xml:space="preserve">(a) ATC clearance is received to rejoin the route; or
</t>
  </si>
  <si>
    <t xml:space="preserve">(b) ATC confirms a new clearance.
</t>
  </si>
  <si>
    <t>Manually selecting aircraft bank limiting functions may reduce the aircraft’s ability to maintain its desired track and is not recommended. The pilot should recognise manually selectable aircraft bank-limiting functions might reduce ability to satisfy path requirements of the procedure, especially when executing large angle turns. This should not be construed as a requirement to deviate from FM procedures; rather, pilots should be encouraged to avoid the selection of such functions except where needed for flight safety reasons.</t>
  </si>
  <si>
    <t xml:space="preserve">If the navigation system does not automatically retrieve and set the navigation accuracy from the on-board navigation database for each leg segment of a route or procedure, the flight crew’s operating procedures must ensure the RNP 0.3 navigation accuracy for the route or procedure is manually entered into the RNP system. 
</t>
  </si>
  <si>
    <t>Before an eligible aircraft takes-off, the following RNP SID requirements must be verified:</t>
  </si>
  <si>
    <t>(d) that, if an RNP departure procedure is assigned and the runway, procedure or transition is subsequently changed, the appropriate changes are entered in the navigation system flight plan, properly depicted and available for navigation</t>
  </si>
  <si>
    <t xml:space="preserve">RNP SID requirements
</t>
  </si>
  <si>
    <t>Note   It is recommended that, within the constraints of normal operations, there be a final check of proper runway entry and correct route depiction, shortly before take-off.</t>
  </si>
  <si>
    <t>The flight guidance system must be selected and available to provide flight guidance for lateral navigation no later than the first waypoint defining a procedure requiring RNP 0.3 in accordance with this Appendix</t>
  </si>
  <si>
    <t>For an RNP 0.3 operation, an authorised method must be used to achieve an appropriate level of performance for RNP 0.3, for example, L/DEV indicator, navigation map display, flight director or autopilot.</t>
  </si>
  <si>
    <t xml:space="preserve">The GNSS signal must be acquired before take-off 
</t>
  </si>
  <si>
    <t xml:space="preserve">The following must be checked and confirmed:
</t>
  </si>
  <si>
    <t>(a) the active navigation system flight plan, by comparing the charts with the navigation displays</t>
  </si>
  <si>
    <t xml:space="preserve">(c) the reasonableness of track angles
</t>
  </si>
  <si>
    <t xml:space="preserve">(d) distances, altitude or speed constraints
</t>
  </si>
  <si>
    <t xml:space="preserve">(b) the sequence of waypoints
</t>
  </si>
  <si>
    <t>(e) as far as practicable, which waypoints are fly-by and which are flyover</t>
  </si>
  <si>
    <t>(f) which waypoints represent the beginning or end of a radius-to-fix leg segment</t>
  </si>
  <si>
    <t>No member of the flight crew may create a new waypoint by manual entry into the RNP system</t>
  </si>
  <si>
    <t>If the operator’s contingency procedures require reversion to a conventional arrival route, provision for that arrival route must be made before commencement of the RNP STAR.</t>
  </si>
  <si>
    <t>All relevant published altitude and speed constraints must be observed</t>
  </si>
  <si>
    <t>ATC must be notified immediately if the system performance ceases to meet RNP 0.3 requirements during a RNP 0.3 operation in controlled airspace.</t>
  </si>
  <si>
    <t>Baro-VNAV - Compliance Requirements - Summary Section</t>
  </si>
  <si>
    <t>CAO 20.91 App 8- 1</t>
  </si>
  <si>
    <r>
      <t xml:space="preserve">An aircraft is eligible for Baro-VNAV operations if the aircraft is equipped with </t>
    </r>
    <r>
      <rPr>
        <b/>
        <sz val="11"/>
        <rFont val="Calibri"/>
        <family val="2"/>
      </rPr>
      <t>all</t>
    </r>
    <r>
      <rPr>
        <sz val="11"/>
        <rFont val="Calibri"/>
        <family val="2"/>
      </rPr>
      <t xml:space="preserve"> of the following</t>
    </r>
  </si>
  <si>
    <t>May be authorised and used in conjunction with RNAV 1, RNP 1, Advanced RNP, RNP APCH and RNP 0.3 operations</t>
  </si>
  <si>
    <t>App 8 2.1</t>
  </si>
  <si>
    <t>a navigational database that permits the lateral and vertical path to be defined</t>
  </si>
  <si>
    <t>navigation displays which enable vertical deviation from the defined VNAV path to be determined</t>
  </si>
  <si>
    <t xml:space="preserve">Operating standards 
</t>
  </si>
  <si>
    <t>The standards for the conduct of Baro-VNAV operations are as follows</t>
  </si>
  <si>
    <t>(a) operations must be conducted using an approved local barometric pressure source</t>
  </si>
  <si>
    <t>(c) a stabilised approach must be flown to a DA indicated on an approach chart by an LNAV/VNAV minima</t>
  </si>
  <si>
    <t>(b) before a Baro-VNAV approach operation may commence, the correct barometric pressure must be set and a method of cross checking must be applied</t>
  </si>
  <si>
    <t>(d) the flight must limit deviations after the FAF  below the defined vertical path to no more than 75 ft</t>
  </si>
  <si>
    <t>(e) a missed approach procedure must be conducted if the vertical deviation after the FAF exceeds 75 ft below the defined vertical path</t>
  </si>
  <si>
    <t>(f) any sustained deviations above the defined vertical path must not exceed 75 ft unless the operator determines that a figure greater than 75 ft is appropriate for the aircraft type after taking into account the following:</t>
  </si>
  <si>
    <t xml:space="preserve">(i) aircraft flight characteristics
</t>
  </si>
  <si>
    <t>(ii) the effect that any deviation may have on the safe continuation of a stabilised approach</t>
  </si>
  <si>
    <t xml:space="preserve">(iii) airspeed
</t>
  </si>
  <si>
    <t xml:space="preserve">(iv) energy management
</t>
  </si>
  <si>
    <t xml:space="preserve">(v) aircraft height above ground level
</t>
  </si>
  <si>
    <t xml:space="preserve">(vi) autopilot vertical gain performance
</t>
  </si>
  <si>
    <t>(g) temperature limitations, as published on the relevant approach chart, must be applied for an aircraft that is:</t>
  </si>
  <si>
    <t>(ii) equipped with a Baro-VNAV system that does not provide temperature compensation in the determination of the vertical path</t>
  </si>
  <si>
    <t>(i) operating under a Baro-VNAV authorisation</t>
  </si>
  <si>
    <t>(h) temperature limitations need not be applied for an aircraft that is:</t>
  </si>
  <si>
    <t>ii) equipped with a Baro-VNAV system that provides temperature compensation in the determination of the vertical path</t>
  </si>
  <si>
    <t>(i) the aircraft must be established on the vertical path no later than the FAF</t>
  </si>
  <si>
    <t xml:space="preserve">(i) minimum altitudes must be displayed
</t>
  </si>
  <si>
    <t>(ii) the computed vertical flight path must not permit descent below any minimum altitude</t>
  </si>
  <si>
    <t>(k) the flight crew must have a means to determine the aircraft configuration and serviceability for Baro-VNAV operations</t>
  </si>
  <si>
    <t xml:space="preserve">Flight Crew Knowledge and training
</t>
  </si>
  <si>
    <t>A Baro-VNAV operation may only be commenced if each member of the flight crew has knowledge of, and approved training in, how to safely conduct a Baro-VNAV operation, with particular reference to the following:</t>
  </si>
  <si>
    <t>(a) Baro-VNAV instrument approach charts, including LNAV/VNAV minima, temperature limitations, and vertical flight path angle</t>
  </si>
  <si>
    <t>(b) principles of Baro-VNAV vertical guidance, including path construction and the effect of temperature</t>
  </si>
  <si>
    <t>(c) basic Baro-VNAV instrument approach procedure design</t>
  </si>
  <si>
    <t>(d) use of MDA and DA for LNAV and LNAV/VNAV minima respectively</t>
  </si>
  <si>
    <t xml:space="preserve">(e) approach procedure selection
</t>
  </si>
  <si>
    <t>(f) barometric datum selection (altimeter subscale setting), and cross checking and verification procedures, including effect of incorrect setting</t>
  </si>
  <si>
    <t xml:space="preserve">(g) VNAV mode selection and monitoring
</t>
  </si>
  <si>
    <t xml:space="preserve">(h) VNAV failure modes and mode reversions
</t>
  </si>
  <si>
    <t xml:space="preserve">(i) VNAV flight tolerances
</t>
  </si>
  <si>
    <t>(j) if Baro-VNAV guidance is intended for use before the FAF operating procedures — the following requirements apply</t>
  </si>
  <si>
    <t>Eligibility Summary</t>
  </si>
  <si>
    <t>App 8 2</t>
  </si>
  <si>
    <t>a barometric VNAV system must meet the requirements of at least 1 of the following</t>
  </si>
  <si>
    <t>VNAV System Requirements</t>
  </si>
  <si>
    <t>(a) FAA AC 20-129 — Airworthiness Approval of Vertical Navigation (VNAV) Systems for use in the United States National Airspace System (NAS) and Alaska</t>
  </si>
  <si>
    <t>(b) FAA AC 20-138B — Airworthiness Approval of Positioning and Navigation Systems</t>
  </si>
  <si>
    <t>(c) FAA AC 90-105 — Approval Guidance for RNP Operations and Barometric Vertical Navigation in the U.S. National Airspace System</t>
  </si>
  <si>
    <t>(d) EASA AMC 20-27 — Airworthiness Approval and Operational Criteria for RNP APPROACH (RNP APCH) Operations, including BARO-VNAV Operations</t>
  </si>
  <si>
    <t>App 8 2.2</t>
  </si>
  <si>
    <t>App 8 3</t>
  </si>
  <si>
    <t>Baro-VNAV System Performance</t>
  </si>
  <si>
    <t>(a) the performance requirements set out in FAA AC 20-129 — Airworthiness Approval of Vertical Navigation (VNAV) Systems for use in the United States National Airspace System (NAS) and Alaska</t>
  </si>
  <si>
    <t>(b) the performance requirements set out in FAA AC 20-138B — Airworthiness Approval of Positioning and Navigation Systems</t>
  </si>
  <si>
    <t>App 5 5.2</t>
  </si>
  <si>
    <t>App 5- 5</t>
  </si>
  <si>
    <t>App 5-5.3</t>
  </si>
  <si>
    <t>App 5-5.4</t>
  </si>
  <si>
    <t>A Baro-VNAV authorisation may be used in conjunction with RNP 0.3 provided the GNSS</t>
  </si>
  <si>
    <t>(a) (E)TSO-C145 ( ) and authorised for Class Beta and operational 
Class 2 or 3; or</t>
  </si>
  <si>
    <t>(b) (E)TSO-C146 ( ) and authorised for Class Gamma and operational 
Class 2 or 3; or</t>
  </si>
  <si>
    <t>If RF Legs are authorised for use in conjunction with RNP 1, the aircraft must be equipped with a map display that depicts the computed aircraft flight path.
This is an additional specification for operation with RNP 0.3 and must be authorised on this sheet</t>
  </si>
  <si>
    <t>CAO 20.91 App 5 - 1.4</t>
  </si>
  <si>
    <t>(j) monitoring, review and incident reporting (including navigation error and/or database error reporting)</t>
  </si>
  <si>
    <t>Flight crew knowledge and training</t>
  </si>
  <si>
    <t>An RNP 0.3 operation may only be commenced if each member of the flight crew has sufficient knowledge of the following subjects:</t>
  </si>
  <si>
    <t>(a) the meaning and proper use of aircraft/helicopter equipment and navigation suffixes;</t>
  </si>
  <si>
    <t>(b) the capabilities and limitations of the RNP system installed in the aircraft;</t>
  </si>
  <si>
    <t>(c) the operations and airspace for which the RNP 0.3 system is approved;</t>
  </si>
  <si>
    <t>(d) the limitations of the navaids to be used for the RNP 0.3 operation;</t>
  </si>
  <si>
    <t>(e) the required navigation equipment for operation on RNAV routes with SIDs or STARs;</t>
  </si>
  <si>
    <t>(f) depiction of waypoint types (flyover and fly-by), ARINC 424 Path Terminators, and associated aircraft flight paths;</t>
  </si>
  <si>
    <t>(h) the radio telephony phraseology for the relevant airspace in accordance with the AIP for the State in which the aircraft is operating;</t>
  </si>
  <si>
    <t>(j) RNP 0.3 procedure requirements as determined from chart depiction and textual description;</t>
  </si>
  <si>
    <t>(i) levels of automation, mode annunciations, changes, alerts, interactions, reversions and degradation; and</t>
  </si>
  <si>
    <t>(iii) monitoring procedures for each phase of the flight; and</t>
  </si>
  <si>
    <t>(iv) types of navigation sensors, for example, DME, IRU, GNSS, utilised by the RNP 0.3 system, and associated system prioritisation, weighting and logic; and</t>
  </si>
  <si>
    <t>(v) aircraft configuration and operational conditions required to support RNP operations, including appropriate selection of CDI scaling (lateral deviation display scaling); and</t>
  </si>
  <si>
    <t>(vii) the meaning and appropriateness of route discontinuities and related flight crew procedures; and</t>
  </si>
  <si>
    <t>(viii) turn anticipation with consideration of speed and altitude effects; and</t>
  </si>
  <si>
    <t>(x) impact of pilot selectable bank limitations on aircraft/rotorcraft ability to achieve the required accuracy on the planned route.</t>
  </si>
  <si>
    <t>An RNP 0.3 operation may only be conducted if each member of the flight crew has received training in, or has equivalent experience of, RNP 0.3 equipment and operating procedures, including training or experience in how to do the following, and is considered competent to use that equipment and those procedures:</t>
  </si>
  <si>
    <t xml:space="preserve">(u) perform conventional holding;
</t>
  </si>
  <si>
    <t xml:space="preserve">(t) perform parallel offset function if capability exists, and advise ATC if this functionality is not available;
</t>
  </si>
  <si>
    <t xml:space="preserve">(s) change arrival aerodrome and alternate aerodrome;
</t>
  </si>
  <si>
    <t xml:space="preserve">(r) perform gross navigation error checks using conventional aids;
</t>
  </si>
  <si>
    <t xml:space="preserve">(q) confirm exclusion of a specific navaid or navaid type;
</t>
  </si>
  <si>
    <t xml:space="preserve">(p) remove and reselect navigation sensor input;
</t>
  </si>
  <si>
    <t xml:space="preserve">(o) determine allowable deviation limits and maintain flight within those limits;
</t>
  </si>
  <si>
    <t xml:space="preserve">(n) determine cross-track error/deviation;
</t>
  </si>
  <si>
    <t xml:space="preserve">(m) fly radar vectors and rejoin an RNAV route from a heading mode;
</t>
  </si>
  <si>
    <t xml:space="preserve">(l) vector off and rejoin a procedure;
</t>
  </si>
  <si>
    <t xml:space="preserve">(k) intercept a course or track;
</t>
  </si>
  <si>
    <t xml:space="preserve">(j) fly a course or track to waypoint;
</t>
  </si>
  <si>
    <t xml:space="preserve">(i) fly direct to waypoint;
</t>
  </si>
  <si>
    <t xml:space="preserve">(h) adhere to speed and altitude constraints associated with a SID or STAR;
</t>
  </si>
  <si>
    <t xml:space="preserve">(g) resolve route discontinuities;
</t>
  </si>
  <si>
    <t xml:space="preserve">(f) verify waypoints and navigation system flight plan programming;
</t>
  </si>
  <si>
    <t xml:space="preserve">(e) retrieve and fly a SID and STAR with appropriate transition;
</t>
  </si>
  <si>
    <t xml:space="preserve">(d) perform a manual or automatic update (with take-off point shift, if applicable);
</t>
  </si>
  <si>
    <t xml:space="preserve">(c) initialise RNP 0.3 system position;
</t>
  </si>
  <si>
    <t xml:space="preserve">(b) verify the successful completion of RNP 0.3 system self-tests;
</t>
  </si>
  <si>
    <t xml:space="preserve">(a) verify that the aircraft navigation data is current;
</t>
  </si>
  <si>
    <t>RNAV 1 does not accommodate any routes based on DME/VOR RNAV
Note: RNAV system performance must be based on GNSS, DME/DME, or DME/DME/IRU. However, DME/VOR input does not have to be inhibited or deselected</t>
  </si>
  <si>
    <t>No action required if RNAV system performance meets specific navigation service criteria in ICAO Doc. 9613, Performance-based Navigation (PBN) Manual, Vol II, Part B, Chapter 3, clause 3.3.3.2.2 (DME/DME only) or 3.3.3.2.3 (DME/DME/IRU)
Note: Operator can ask manufacturer or check FAA website for list of compliant systems (see the Note below this Table)</t>
  </si>
  <si>
    <t>No action required</t>
  </si>
  <si>
    <t xml:space="preserve">RNAV guidance available no later than 500 ft above field elevation (AFE)
Operator should add these operational procedures
</t>
  </si>
  <si>
    <t>GPS pseudo-range step detector and GPS health word checking is required in accordance with TSO C129a/ETSO C129a
Note: The operator should check if pseudo-range step detector and health word checking is supported by the installed GPS receiver or check if GPS receiver is approved in accordance with TSO C129a/ETSO C129a</t>
  </si>
  <si>
    <r>
      <t xml:space="preserve">Data suppliers and avionics data suppliers must have Letter of Acceptance (LOA) in accordance with ICAO Doc. 9613, </t>
    </r>
    <r>
      <rPr>
        <i/>
        <sz val="11"/>
        <color rgb="FF000000"/>
        <rFont val="Calibri"/>
        <family val="2"/>
        <scheme val="minor"/>
      </rPr>
      <t>Performance-based Navigation (PBN) Manual</t>
    </r>
    <r>
      <rPr>
        <sz val="11"/>
        <color rgb="FF000000"/>
        <rFont val="Calibri"/>
        <family val="2"/>
        <scheme val="minor"/>
      </rPr>
      <t>, Vol II, Part B, Chapter 3, clause 3.3.3.3 m)
Note: The operator should ask the data supplier for the status of the RNAV equipment</t>
    </r>
  </si>
  <si>
    <t>Notes: 
- Air routes may be designed to support RNAV 1 or RNAV 2 depending on the supporting navaid infrastructure. In Australia, as the navaid infrastructure is limited, RNAV 1 and RNAV 2 operations are dependent on self-contained navigation systems.
- RNAV 1 and RNAV 2 requirements are identical, however, some operating procedures may be different.
- In Australian airspace, RNAV 1 will be used only in terminal area operations and RNAV 2 routes or procedures will not be used</t>
  </si>
  <si>
    <t xml:space="preserve">(b) the reasonableness of the tracks and distances
</t>
  </si>
  <si>
    <t xml:space="preserve">(c) the VPA if using RNP APCH-LNAV/VNAV
</t>
  </si>
  <si>
    <t xml:space="preserve">(a) approach path
</t>
  </si>
  <si>
    <t xml:space="preserve">(b) RNP 0.3 is selected and available
</t>
  </si>
  <si>
    <t xml:space="preserve">A missed approach procedure must be conducted if:
</t>
  </si>
  <si>
    <t xml:space="preserve">(b) there is a loss of integrity alert; or
</t>
  </si>
  <si>
    <t xml:space="preserve">(c) (E)TSO-C196 ( ).
</t>
  </si>
  <si>
    <t>Flight Operations - Operating Standards</t>
  </si>
  <si>
    <t>Flight Operations - Training</t>
  </si>
  <si>
    <t xml:space="preserve">Summary - Aircraft Eligibility / Initial Airworthiness
</t>
  </si>
  <si>
    <t xml:space="preserve">Summary - Continuing Airworthiness
</t>
  </si>
  <si>
    <t xml:space="preserve">Summary - Flight Operations Operating Standards
</t>
  </si>
  <si>
    <t xml:space="preserve">Summary - Flight Operations Training
</t>
  </si>
  <si>
    <t>App 5.5.2</t>
  </si>
  <si>
    <r>
      <rPr>
        <u/>
        <sz val="11"/>
        <rFont val="Calibri"/>
        <family val="2"/>
      </rPr>
      <t xml:space="preserve">Functional Requirements (From ICAO PBN Manual
</t>
    </r>
    <r>
      <rPr>
        <sz val="11"/>
        <rFont val="Calibri"/>
        <family val="2"/>
      </rPr>
      <t>Navigation data, including a to/from indication and a failure indicator, must be displayed on a lateral deviation display (CDI, (E)HSI) and/or a navigation map display. These must be used as primary flight instruments for the navigation of the aircraft, for manoeuvre anticipation and for failure/status/integrity indication.</t>
    </r>
    <r>
      <rPr>
        <u/>
        <sz val="11"/>
        <rFont val="Calibri"/>
        <family val="2"/>
      </rPr>
      <t xml:space="preserve"> </t>
    </r>
  </si>
  <si>
    <t>Non-numeric lateral deviation display (e.g. CDI, (E)HSI), with a to/from indication and a failure annunciation, for use as primary flight instruments for navigation of the aircraft, for manoeuvre anticipation, and for failure/status/integrity indication, with the following five attributes: (see below)</t>
  </si>
  <si>
    <t xml:space="preserve">the ground speed or time to the active (To) waypoint; 
</t>
  </si>
  <si>
    <t xml:space="preserve">The capability to execute a 'direct to' function. 
</t>
  </si>
  <si>
    <t xml:space="preserve">the active navigation sensor type
</t>
  </si>
  <si>
    <t xml:space="preserve">the distance and bearing to the active (To) waypoint.
</t>
  </si>
  <si>
    <t xml:space="preserve">the identification of the active (To) waypoint
</t>
  </si>
  <si>
    <r>
      <rPr>
        <b/>
        <u/>
        <sz val="11"/>
        <rFont val="Calibri"/>
        <family val="2"/>
      </rPr>
      <t>Database integrity</t>
    </r>
    <r>
      <rPr>
        <sz val="11"/>
        <rFont val="Calibri"/>
        <family val="2"/>
      </rPr>
      <t xml:space="preserve">
The navigation database suppliers should comply with document RTCA DO-200A / EUROCAE ED 76, Standards for Processing Aeronautical Data (see Part 1 Section 6). A Letter of Acceptance (LOA), issued by the appropriate regulatory authority to each of the participants in the data chain demonstrates compliance with this requirement. Discrepancies that invalidate a route must be reported to the navigation database supplier and affected routes must be prohibited by an operator’s notice to its pilots. Aircraft operators should consider the need to conduct periodic checks of the operational navigation databases in order to meet existing quality system requirements</t>
    </r>
  </si>
  <si>
    <r>
      <rPr>
        <b/>
        <sz val="11"/>
        <rFont val="Calibri"/>
        <family val="2"/>
      </rPr>
      <t>Alternate means of compliance</t>
    </r>
    <r>
      <rPr>
        <sz val="11"/>
        <rFont val="Calibri"/>
        <family val="2"/>
      </rPr>
      <t xml:space="preserve">
As an alternate means, a navigation map display should give equivalent functionality to a lateral deviation display as described above, with appropriate map scales (scaling may be set manually by the pilot), and giving equivalent functionality to a lateral deviation display. 
Note: A number of modern aircraft eligible for this specification utilise a map display as an acceptable method to satisfy the stated requirements.</t>
    </r>
  </si>
  <si>
    <t>Systems Functions</t>
  </si>
  <si>
    <r>
      <t xml:space="preserve">Maintenance practice
If  the  operator  is  subject  to  an  ongoing  approved  maintenance  program,  that  program  should contain   the   maintenance   practices   outlined   in   the   applicable   aircraft   and   component manufacturers  maintenance  manuals  for  each  aircraft  type. The  following  items  should  be reviewed  for  compliance  and  if  the  operator </t>
    </r>
    <r>
      <rPr>
        <b/>
        <u/>
        <sz val="12"/>
        <color rgb="FF000000"/>
        <rFont val="Calibri"/>
        <family val="2"/>
      </rPr>
      <t xml:space="preserve"> is  not</t>
    </r>
    <r>
      <rPr>
        <sz val="12"/>
        <color rgb="FF000000"/>
        <rFont val="Calibri"/>
        <family val="2"/>
      </rPr>
      <t xml:space="preserve">  subject  to  an  approved maintenance program the following items should be followed:
(a) all   RVSM   equipment   should   be   maintained   in   accordance   with   the   component manufacturers  maintenance  requirements  and  the  performance  requirements  outlined  in the approved data package;
(b) any  modification,  repair,  or  design  change  which  in  any  way  alters  the  initial  RVSM approval,  should  be  subject  to  a  design  review  by  persons  approved  by  the  approving authority;
(c) any  maintenance  practices  which  may  affect  the  continuing  RVSM  approval  integrity, e.g.the  alignment  of  pitot/static  probes,  dents,  or  deformation  around  static  plates, should be referred to CASA or to persons delegated by CASA;
(d)Built-In Test Equipment testing is not an acceptable basis for system calibrations, (unless it is shown to beacceptable by the airframe manufacturer with CASA’s agreement) and should only be used for fault isolation and troubleshooting purposes;
(e) some  aircraft  manufacturers  have  determined  that  the  removal  and  replacement  of components utilising quick disconnects and associated fittings, when properly connected, will  not  require  a  leak  check. While  this  approach  may  allow  the  aircraft  to  meet  static system  certification  standards  when  properly  connected,  it  does  not  always  ensure  the integrity  of  the  fittings and  connectors,  nor  does  it  confirm  system  integrity  during component  replacement  and  re-connections. Therefore,  a  system  leak  check  or  visual inspection should be accomplished any time a quick disconnect static line is broken;
(f) airframe  and  static  systems  should  be  maintained  in  accordance  with  the  airframe manufacturers inspection standards and procedures
(g) to  ensure  the  proper  maintenance  of  airframe  geometry  for  proper  surface  contours  and the  mitigation  of  altimetry system error, surface measurements or skin waviness checks should  be  made  if  needed  to  ensure  adherence  to  the  airframe  manufacturer's  RVSM tolerances. These  tests  and  inspections  should  be  performed  as  established  by  the airframe  manufacturer. These  checks  should  also  be  performed  following  repairs,  or alterations having an effect of airframe surface and airflow;
(h) the  maintenance  and  inspection  program  for  the  autopilot  should  ensure  continued accuracy  and  integrity  of  the  automatic  altitude  control  system  to  meet  the  height-keepingstandards  for  RVSM  operations. This  requirement  will  typically  be  satisfied with equipment inspections and serviceability checks; and
(i) where  the  performance  of  existing  equipment  is  demonstrated  as  being  satisfactory  for RVSM  approval,  it  should  be  verified  that  the  existing  maintenance  practices  are  also consistent with continued RVSM approval integrity. Examples of these are:
(i)altitude alert;
(ii)automatic altitude control system;(iii)ATC altitude reporting equipment; and
(iv)altimetry systems.</t>
    </r>
  </si>
  <si>
    <r>
      <rPr>
        <u/>
        <sz val="12"/>
        <color rgb="FF000000"/>
        <rFont val="Calibri"/>
        <family val="2"/>
      </rPr>
      <t>Maintenance training requirements</t>
    </r>
    <r>
      <rPr>
        <sz val="12"/>
        <color rgb="FF000000"/>
        <rFont val="Calibri"/>
        <family val="2"/>
      </rPr>
      <t xml:space="preserve">
New training requirements will be introduced by the RVSM approvals processes. Areas that may need to be highlighted for initial and recurrent training maintenance personnel are:
(a) aircraft geometric inspection techniques;
(b) test equipment calibration/usage techniques; and
(c) any special documentation or procedures introduced by RVSM approval.</t>
    </r>
  </si>
  <si>
    <r>
      <rPr>
        <u/>
        <sz val="12"/>
        <color rgb="FF000000"/>
        <rFont val="Calibri"/>
        <family val="2"/>
      </rPr>
      <t>General</t>
    </r>
    <r>
      <rPr>
        <sz val="12"/>
        <color rgb="FF000000"/>
        <rFont val="Calibri"/>
        <family val="2"/>
      </rPr>
      <t xml:space="preserve">
The test equipment should have the capability to demonstrate continuing compliance with all the parameters  established  for  RVSM  approval  in  the  initial  data  package  or  as  approved  by  the approving authority.</t>
    </r>
  </si>
  <si>
    <r>
      <rPr>
        <u/>
        <sz val="12"/>
        <color rgb="FF000000"/>
        <rFont val="Calibri"/>
        <family val="2"/>
      </rPr>
      <t>Standards</t>
    </r>
    <r>
      <rPr>
        <sz val="12"/>
        <color rgb="FF000000"/>
        <rFont val="Calibri"/>
        <family val="2"/>
      </rPr>
      <t xml:space="preserve">
Test equipment should be calibrated utilising reference standards whose calibration is certified as being traceable to the national standard. It should be calibrated at periodic intervals as agreed by the  approving  authority. The  approved  maintenance  program  should  encompass  an  effective quality control program which includes the following:
(a) definition of required test equipment accuracy;
(b) regular   calibrations   of   test   equipment   traceable   to   a   master   in-house   standard. Determination  of  calibration  interval  should  be  a  function  of  the  stability  of  the  test equipment. The calibration interval should beestablished on the basis of historical data so that degradation is small in relation to the required accuracy;
(c) regular audits of calibration facilities both in-house and outside;(d)adherence to acceptable maintenance practices; and
(e) procedures  for  controlling  operator  errors  and  unusual  environmental  conditions  which may affect calibration accuracy.</t>
    </r>
  </si>
  <si>
    <r>
      <rPr>
        <u/>
        <sz val="12"/>
        <color rgb="FF000000"/>
        <rFont val="Calibri"/>
        <family val="2"/>
      </rPr>
      <t>Airworthiness Documents</t>
    </r>
    <r>
      <rPr>
        <sz val="12"/>
        <color rgb="FF000000"/>
        <rFont val="Calibri"/>
        <family val="2"/>
      </rPr>
      <t xml:space="preserve">
Sufficient  documentation  should  be  available  to  show  that  the  aircraft  has  been  issued  with  an RVSM airworthiness approval:
(a) In-service  aircraft: Documents  that  contain  the  inspections  and/or  modifications  that  are required to make an in-service aircraft RVSM compliant can take the form of approved Service Bulletins, Aircraft Service Changes, Supplemental TCsor any other format that CASA finds acceptable;and
(b) In-production  or  new-production  aircraft: For  such  aircraft,  statements  of  eligibility  to conduct  RVSM  operations  can  be  included  in  the  AFM. Also, TCData  Sheets  can  be used to show RVSM eligibility by describing RVSM related avionics configurations and continued airworthiness    criteria    or    providing    reference    to    CASA    approved documentation  in  the  form  of  a  report.</t>
    </r>
  </si>
  <si>
    <r>
      <t>a.</t>
    </r>
    <r>
      <rPr>
        <sz val="7"/>
        <color rgb="FF000000"/>
        <rFont val="Times New Roman"/>
        <family val="1"/>
      </rPr>
      <t xml:space="preserve">    </t>
    </r>
    <r>
      <rPr>
        <sz val="12"/>
        <color rgb="FF000000"/>
        <rFont val="Arial"/>
        <family val="2"/>
      </rPr>
      <t>ICAO Doc 9613 - PPBN Manual (Ed 4) of 2013</t>
    </r>
  </si>
  <si>
    <r>
      <t>b.</t>
    </r>
    <r>
      <rPr>
        <sz val="7"/>
        <color rgb="FF000000"/>
        <rFont val="Times New Roman"/>
        <family val="1"/>
      </rPr>
      <t xml:space="preserve">    </t>
    </r>
    <r>
      <rPr>
        <sz val="12"/>
        <color rgb="FF000000"/>
        <rFont val="Arial"/>
        <family val="2"/>
      </rPr>
      <t>ICAO Doc 9997 - PBN Operational Approval Manual (Ed 2) of 2015</t>
    </r>
  </si>
  <si>
    <r>
      <t>c.</t>
    </r>
    <r>
      <rPr>
        <sz val="7"/>
        <color rgb="FF000000"/>
        <rFont val="Times New Roman"/>
        <family val="1"/>
      </rPr>
      <t xml:space="preserve">     </t>
    </r>
    <r>
      <rPr>
        <sz val="12"/>
        <color rgb="FF000000"/>
        <rFont val="Arial"/>
        <family val="2"/>
      </rPr>
      <t>CASA CAO 20.91 – Instructions and Directions for PBN Instrument 2014</t>
    </r>
  </si>
  <si>
    <t xml:space="preserve">(i) the flight planning requirements for RNP 0.3 operation;
</t>
  </si>
  <si>
    <t xml:space="preserve">(k) RNP 0.3 system-specific information, including:
</t>
  </si>
  <si>
    <t xml:space="preserve">(ii) functional integration with other aircraft systems; and
</t>
  </si>
  <si>
    <t xml:space="preserve">(vi) pilot procedures consistent with the operation; and
</t>
  </si>
  <si>
    <t xml:space="preserve">(ix) interpretation of electronic displays and symbols;
</t>
  </si>
  <si>
    <t xml:space="preserve">(g) contingency procedures for RNP 0.3 failures;
</t>
  </si>
  <si>
    <t xml:space="preserve">(v) carry out contingency procedures for RNAV failures
</t>
  </si>
  <si>
    <t>Demonstration to DASA that the aircraft meets the requirements of ICAO Doc 9613, Performance-based Navigation (PBN) Manual, Volume II, Part C, Chapter 7, Implementing RNP 0.3.</t>
  </si>
  <si>
    <t>AC A.7.3</t>
  </si>
  <si>
    <t>7.3.1.a.1</t>
  </si>
  <si>
    <t>7.3.1.a.2</t>
  </si>
  <si>
    <t>7.3.1.a.3</t>
  </si>
  <si>
    <t>7.3.1.a.4</t>
  </si>
  <si>
    <t>7.3.1.a.5</t>
  </si>
  <si>
    <t>7.3.1.a.6</t>
  </si>
  <si>
    <t>The capability to continuously display to the pilot flying,
on the primary flight instruments for navigation of the
aircraft (primary navigation display), the computed path
and aircraft position relative to the path. For operations
where the required minimum flight crew is two pilots,
the means for the pilot not flying to verify the desired
path and the aircraft position relative to the path must
also be provided.</t>
  </si>
  <si>
    <t>The display scaling may be set automatically by 
(a) default logic, 
(b) automatically to a value obtained from a
navigation database; or 
(c) manually by pilot procedures.
The full-scale deflection value must be known or must
be available for display to the pilot commensurate with
the required track keeping accuracy</t>
  </si>
  <si>
    <t>The lateral deviation display must be automatically
slaved to the computed path. The course selector of
the deviation display should be automatically slewed to
the computed path.</t>
  </si>
  <si>
    <t>The following system functions are required as a minimum within any RNP 0.3 equipment.</t>
  </si>
  <si>
    <t>A.A165:A1817.3.1.b</t>
  </si>
  <si>
    <t>The capability to continuously display to the pilot flying, on the primary flight instruments for navigation of the aircraft (primary navigation display), the computed path and aircraft position relative to the path. For operations where the required minimum flight crew is two pilots, a means for the pilot not flying to verify the desired path and the aircraft position relative to the path must also be provided.</t>
  </si>
  <si>
    <t>A navigation database, containing current navigation data officially promulgated for civil aviation, which can be updated in accordance with the Aeronautical Information Regulation and Control (AIRAC) cycle and from which IFR procedures and ATS routes or waypoint data corresponding to the coordinates of significant points on ATS routes, can be retrieved and loaded into the RNP system. The stored resolution of the data must be sufficient to achieve negligible path definition error. The database must be protected against pilot modification of the stored data.</t>
  </si>
  <si>
    <t xml:space="preserve">The active navigation sensor type.
</t>
  </si>
  <si>
    <t xml:space="preserve">The identification of the active (To) waypoint.
</t>
  </si>
  <si>
    <t xml:space="preserve">The ground speed or time to the active (To) waypoint.
</t>
  </si>
  <si>
    <t xml:space="preserve">The distance and bearing to the active (To) waypoint.
</t>
  </si>
  <si>
    <t xml:space="preserve">The capability to execute a 'Direct to' function
</t>
  </si>
  <si>
    <t xml:space="preserve">(b) that the aircraft navigation system is operating correctly
</t>
  </si>
  <si>
    <t xml:space="preserve">Flight Procedures
</t>
  </si>
  <si>
    <t xml:space="preserve">Functional requirements: RNP APCH – LP and LPV
</t>
  </si>
  <si>
    <t xml:space="preserve">Navigation displays
</t>
  </si>
  <si>
    <t xml:space="preserve">Operating standards — Flight Planning </t>
  </si>
  <si>
    <t>Flight Procedures - General - Summary</t>
  </si>
  <si>
    <t>Note: Air routes may be designed to support RNAV 5 depending on the supporting navaid infrastructure. In Australia, as the navaid infrastructure is limited, RNAV 5 operations are typically dependent on self-contained navigation systems.</t>
  </si>
  <si>
    <t xml:space="preserve">The following checks and cross-checks must be made:
</t>
  </si>
  <si>
    <t>Note: Wherever possible, the pilot in command should extract RNAV 1 and RNAV 2 routes in the en route domain from the database in their entirety rather than load individual waypoints from the database into the navigation system flight plan. The pilot in command may, however, select and insert individual, named fixes and waypoints from the navigation database, provided all fixes along the published route to be flown are inserted.</t>
  </si>
  <si>
    <t>App 2.5.1</t>
  </si>
  <si>
    <t>AC A4.2</t>
  </si>
  <si>
    <t>Before an RNAV 1 and RNAV 2 operation commences, consideration must be given to matters that may affect the safety of the RNAV 1 and RNAV 2 operation, including the following:</t>
  </si>
  <si>
    <t>Sensor Fitment</t>
  </si>
  <si>
    <t>The RNAV 1 and RNAV 2 navigation specification allows aircraft navigation systems to use the following types or combinations of sensors:</t>
  </si>
  <si>
    <t>While aircraft may be authorised to use any of the above sensors, it is the operator’s responsibility to ensure that the navigation aid infrastructure supports the navigation performance requirements for the intended route and designated alternates. The lack of DME navigation aids across large parts of Australia means that the accuracy requirements for RNAV 1 and RNAV 2 will not be met for operations based on DME/DME or DME/DME/IRU position estimation. For practical purposes, the unlimited use of RNAV 1 and RNAV 2 in Australia relies on GNSS as a primary sensor.</t>
  </si>
  <si>
    <t>GNSS -
Complies with FAA TSO C145( ), TSO C146( ), TSO
C196 or TSO C129( ).</t>
  </si>
  <si>
    <t>During flight, as far as practicable, navigation reasonableness must be periodically confirmed by cross-reference to available data from ground based aids, if available</t>
  </si>
  <si>
    <t>aircraft with (E)TSO-C145a and the requirements of (E)TSO-C115B FMS, installed for IFR use in accordance with FAA AC 20-130A</t>
  </si>
  <si>
    <t>AC 91U-01 A7.2.1.a</t>
  </si>
  <si>
    <t>AC 91U-01 A7.2.1.b</t>
  </si>
  <si>
    <t>aircraft with (E)TSO-C146a equipment installed for IFR use in accordance with FAA AC 20-138 or AC 20-138A</t>
  </si>
  <si>
    <t>AC 91U-01 A7.2.1.c</t>
  </si>
  <si>
    <t>aircraft with RNP 0.3 capability certified or approved to equivalent standards (e.g. TSO-C196).</t>
  </si>
  <si>
    <t>The capability to automatically execute leg transitions and maintain tracks consistent with the following ARINC 424 path terminators, or their equivalent:
i IF 
ii TF
iii DF.
Note: Path terminators are defined in ARINC 424, and their application is described in more detail in documents RTCA DO-236B / EUROCAE ED-75B and RTCA DO-201A /
EUROCAE ED-77.</t>
  </si>
  <si>
    <t xml:space="preserve">a. this display must be used as primary flight instruments for the approach
</t>
  </si>
  <si>
    <t xml:space="preserve">(e) an approval issued in the aircraft’s State of operation or registry, and which is assessed by DASA as meeting requirements that are the same as, or equivalent to, the standards of eligibility set out </t>
  </si>
  <si>
    <t>Overview and applicability</t>
  </si>
  <si>
    <t>Approval Associated with Other Navigation Authorisations</t>
  </si>
  <si>
    <t>CAO 20.91 App 11 1</t>
  </si>
  <si>
    <t>May be authorised and used in conjunction with RNP 1, RNP 0.3, RNP APCH, and A-RNP specifications</t>
  </si>
  <si>
    <t>(a) FAA AC 90-105 — Approval Guidance for RNP Operations and Barometric Vertical Navigation in the U.S. National Airspace System</t>
  </si>
  <si>
    <t>(b) FAA AC 90-101A — Approval Guidance for RNP Procedures with AR</t>
  </si>
  <si>
    <t>(c) FAA AC 20-138B — Airworthiness Approval of Positioning and Navigation Systems</t>
  </si>
  <si>
    <t>(d) EASA AMC 20-26 — Airworthiness Approval and Operational Criteria for RNP Authorisation Required Operations</t>
  </si>
  <si>
    <t>(e) an approval issued by the National Aviation Authority of the aircraft’s State of Operation or Registry, and which is assessed by DASA as meeting requirements that are the same as, or equivalent to, the requirements of paragraph (a), (b), (c) or (d) of this clause</t>
  </si>
  <si>
    <t>The flight manual or referenced airworthiness eligibility document must contain the following information</t>
  </si>
  <si>
    <t>4.1.b</t>
  </si>
  <si>
    <t xml:space="preserve">The aircraft meets the requirements for RF path terminator  operations in accordance with ICAO Doc. 9613, Performance-based Navigation (PBN) Manual, Volume II, Part C, Appendix 1, Radius to Fix (RF) Path Terminator. </t>
  </si>
  <si>
    <t>(a) a statement indicating that the aircraft meets the requirements for RNP operations with RF Legs and has demonstrated the established minimum capabilities for these operations. This documentation should include the phase of flight, mode of flight (e.g. FD on or off, and/or AP on or off, and applicable lateral and vertical modes), minimum demonstrated lateral navigation accuracy, and sensor limitations, if any</t>
  </si>
  <si>
    <t>(b) any conditions or constraints on path steering performance (e.g. A/P engaged, FD with map display, including lateral and vertical modes, and/or CDI/map scaling requirements) should be identified. Use of manual control with CDI only, is not allowed on RF Legs</t>
  </si>
  <si>
    <t>(c) the criteria used for the demonstration of the system, acceptable normal and non-normal configurations and procedures, the demonstrated configurations and any constraints or limitations necessary for safe operation.</t>
  </si>
  <si>
    <t>An RF path terminator operation may only be commenced if each member of the flight crew has knowledge of, and approved training in, how to safely conduct an RF path terminator operation, with particular reference to the following:</t>
  </si>
  <si>
    <t>(a) the meaning and proper use of RF functionality in RNP systems</t>
  </si>
  <si>
    <t>(b) associated procedure characteristics as determined from chart depiction and textual description</t>
  </si>
  <si>
    <t>(c) associated levels of automation, mode annunciations, changes, alerts, interactions, reversions, and degradation;</t>
  </si>
  <si>
    <t>(d) monitoring track-keeping performance
Note   Manually selecting aircraft bank limiting functions may reduce the aircraft’s ability to maintain its desired track and are not permitted. Pilots should recognise that manually selectable aircraft bank-limiting functions may reduce their ability to satisfy ATC path expectations, especially when executing large angle turns</t>
  </si>
  <si>
    <t>(e) the effect of wind on aircraft performance during execution of RF Legs and the need to remain within the RNP containment area. The training program should address any operational wind limitations and aircraft configurations essential to safely complete the RF Leg</t>
  </si>
  <si>
    <t>(f) the effect of ground speed on compliance with RF paths and bank angle restrictions impacting the ability to remain on the course centreline;</t>
  </si>
  <si>
    <t xml:space="preserve">(g) interpretation of electronic displays and symbols
</t>
  </si>
  <si>
    <t xml:space="preserve">(h) contingency procedures
</t>
  </si>
  <si>
    <t xml:space="preserve"> - General
</t>
  </si>
  <si>
    <t>The standards for the conduct of RF path terminator operations are as follows</t>
  </si>
  <si>
    <t xml:space="preserve">(a) RF path terminator operations must be conducted in association with RNP 1, RNP 0.3, RNP APCH or A-RNP operations
</t>
  </si>
  <si>
    <t>(b)when the intended route includes flying an RNP route with an RF Leg, the RNP system and autopilot/flight director must be operational on despatch</t>
  </si>
  <si>
    <t>(c) the route must be retrieved from the aircraft navigation database and conform to the charted procedure</t>
  </si>
  <si>
    <t>(d) the lateral path must not be modified except when complying with ATC clearances/instructions</t>
  </si>
  <si>
    <t>(f) the aircraft must be established on the procedure or route before beginning the RF Leg</t>
  </si>
  <si>
    <t xml:space="preserve">Route centrelines must be maintained as close as practicable unless authorised to deviate by ATC or under emergency conditions. Navigation System Error + Flight Technical Error (lateral deviation) must not exceed the specified navigation accuracy.
</t>
  </si>
  <si>
    <t>To met the Aircraft Eligibility Standards above the following functionality is required:</t>
  </si>
  <si>
    <t>A.10.6</t>
  </si>
  <si>
    <t>(a) an autopilot or flight director with at least “roll-steering” capability that is driven by the RNP system. The autopilot/flight director must operate with suitable accuracy to track the lateral and, as appropriate, vertical paths required by a specific RNP procedure</t>
  </si>
  <si>
    <t>(c) the flight management computer, the flight director system, and the autopilot must be capable of commanding and achieving a bank angle up to 25 degrees above 400 feet AGL</t>
  </si>
  <si>
    <t>(d) the flight guidance mode should remain in LNAV while on an RF Leg, when a procedure is abandoned or a missed approach/go-round is initiated (through activation of TOGA or other means) to enable display of deviation and display of positive course guidance during the RF Leg. As an alternative means, crew procedures may be used that ensure that the aircraft adheres to the specified flight path throughout the RF Leg segment</t>
  </si>
  <si>
    <t>The navigation system should not permit the pilot to select a procedure that is not supported by the equipment, either manually or automatically (e.g. a procedure is not supported if it incorporates an RF Leg and the equipment does not provide RF leg capability</t>
  </si>
  <si>
    <t xml:space="preserve">The navigation system should also prohibit pilot access to procedures requiring RF Leg capability if the system can select the procedure, but the aircraft is not otherwise equipped (e.g. the aircraft does not have the required roll steering autopilot or flight director installed).
Notes:
1. One acceptable means to meet these requirements is to screen the aircraft’s on-board navigation database and remove any routes or procedures the aircraft is not eligible to execute. For example, if the aircraft is not eligible to complete RF Leg segments, then the database screening could remove all procedures containing RF Leg segments from the navigation database.
2. Another acceptable means of compliance may be pilot training to identify and prohibit the use of procedures containing RF Legs.
</t>
  </si>
  <si>
    <t>A.10.5.b</t>
  </si>
  <si>
    <t xml:space="preserve">Eligibility Summary
</t>
  </si>
  <si>
    <t>FRT may only be used in conjunction with the RNP 4, RNP 2 and Advanced RNP navigation specifications</t>
  </si>
  <si>
    <t>The FRT provides the functionality for aircraft to fly a defined radius transition path when separation between parallel routes is required and the fly-by transition is not compatible with separation criteria.</t>
  </si>
  <si>
    <t>(a) AC 20-138B — Airworthiness Approval of Positioning and Navigation Systems;</t>
  </si>
  <si>
    <t>(b) an approval issued in the aircraft’s State of Operation or Registry, and which is assessed by DASA as meeting requirements that are the same as, or equivalent to, the requirements of this clause</t>
  </si>
  <si>
    <t>A 11.4.1.a</t>
  </si>
  <si>
    <t>A.11.4.2.A</t>
  </si>
  <si>
    <t>(a) a statement indicating that the aircraft meets the requirements for RNP operations with FRT and has demonstrated the established minimum capabilities for these operations. This documentation should include the phase of flight, mode of flight (e.g. FD on or off, and/or AP on or off, and applicable lateral and vertical modes), minimum demonstrated L/NAV accuracy, and sensor limitations, if any</t>
  </si>
  <si>
    <t>(b) any conditions or constraints on path steering performance (e.g. A/P engaged, FD with map display, including lateral and vertical modes, and/or CDI/map scaling requirements) should be identified. Use of manual control with CDI only, is not allowed on FRT</t>
  </si>
  <si>
    <t>(c) the criteria used for the demonstration of the system, acceptable normal and non-normal configurations and procedures, the demonstrated configurations and any constraints or limitations necessary for safe operation should be identified.</t>
  </si>
  <si>
    <t>A.11.5.b</t>
  </si>
  <si>
    <t>The standards for the conduct of FRT operations are as follows</t>
  </si>
  <si>
    <t xml:space="preserve">Route centrelines must be maintained as close as practicable unless authorised to deviate by ATC or under emergency conditions. NSE + FTE (lateral deviation) must not exceed the specified navigation accuracy.
</t>
  </si>
  <si>
    <t xml:space="preserve">(a) FRT operations must be conducted in association with RNP 4, RNP 2 or Advanced RNP operations
</t>
  </si>
  <si>
    <t>(b) when the intended route includes flying an RNP route with an FRT, the RNP system must be operational on despatch and autopilot/flight director should be operational</t>
  </si>
  <si>
    <t>(e) the pilot must use either a flight director or autopilot and comply with any instructions or procedures identified by the manufacturer as necessary to comply with the performance requirements noted on this worksheet</t>
  </si>
  <si>
    <t>An FRT operation may only be commenced if each member of the flight crew has knowledge of, and approved training in, how to safely conduct an FRT operation, with particular reference to the following:</t>
  </si>
  <si>
    <t>(a) the meaning and proper use of FRT functionality in RNP systems</t>
  </si>
  <si>
    <t>(d) monitoring track-keeping performance
Note: Manually selecting aircraft bank limiting functions may reduce the aircraft’s ability to maintain its desired track and are not permitted. Pilots should recognise that manually selectable aircraft bank-limiting functions may reduce their ability to satisfy ATC path expectations, especially when executing large angle turns.</t>
  </si>
  <si>
    <t>(e) the effect of wind on aircraft performance during execution of FRT and the need to remain within the RNP containment area. The training program should address any operational wind limitations and aircraft configurations essential to safely complete the FRT</t>
  </si>
  <si>
    <t>(f) the effect of ground speed on compliance with FRT and bank angle restrictions impacting the ability to remain on the course centreline</t>
  </si>
  <si>
    <t>(a) the system must have the capability to execute a flight path transition and maintain a track consistent with a fixed radius between 2 route segments. The lateral TSE must be within ±1 × RNP of the path defined by the published procedure for at least 95% of the total flight time for each phase of flight and any manual, autopilot and/or flight director mode. For path transitions where the next route segment requires a different TSE and the path transition required is an FRT, the navigation system may retain the navigation accuracy value for the previous route segment throughout the entire FRT segment. For example, when a transition occurs from a route segment requiring an accuracy value of 2.0 to a route segment requiring an accuracy value of 1.0, the navigation system may use an accuracy value of 2.0 throughout the FRT</t>
  </si>
  <si>
    <t>(b) the system must have an electronic map display depicting the RNP computed path of the selected route with pilot selectable range and a numerical indication of the cross-track error value</t>
  </si>
  <si>
    <t>(c) the system must be able to define transitions between flight path segments using a 3-digit numeric value for the radius of turn (to 1 decimal place) in nautical miles e.g. 15.0, 22.5. The navigation database will specify the radius associated with a particular waypoint along an airway</t>
  </si>
  <si>
    <t>A.11.6</t>
  </si>
  <si>
    <r>
      <rPr>
        <u/>
        <sz val="11"/>
        <rFont val="Calibri"/>
        <family val="2"/>
      </rPr>
      <t>Performance, Monitoring and Alerting</t>
    </r>
    <r>
      <rPr>
        <sz val="11"/>
        <rFont val="Calibri"/>
        <family val="2"/>
      </rPr>
      <t xml:space="preserve">
The navigation system must have the capability to execute a flight path transition and maintain a track consistent with a fixed radius between two route segments. The lateral TSE must be within 1 × RNP of the path defined by the published procedure for at least 95% of the total flight time for each phase of flight and any manual, autopilot and/or flight director mode. For path transitions where the next route segment requires a different TSE and the path transition required is an FRT, the navigation system may retain the navigation accuracy value for the previous route segment throughout the entire FRT segment. For example, when a transition occurs from a route segment requiring an accuracy value of 2.0 to a route segment requiring an accuracy value of 1.0, the navigation system may use an accuracy value of 2.0 throughout the FRT.
</t>
    </r>
  </si>
  <si>
    <t>AC APP A.13..3.1</t>
  </si>
  <si>
    <t xml:space="preserve">(a) the waypoint sequence
</t>
  </si>
  <si>
    <t xml:space="preserve">(d) that the GNSS sensor is used for position computation
</t>
  </si>
  <si>
    <t xml:space="preserve">(a) the navigation system display is flagged invalid; or
</t>
  </si>
  <si>
    <r>
      <rPr>
        <sz val="11"/>
        <rFont val="Calibri"/>
        <family val="2"/>
      </rPr>
      <t xml:space="preserve">Navigation data, including a to/from indication, and a failure indication, must be displayed on a lateral deviation display (CDI, EHSI) </t>
    </r>
    <r>
      <rPr>
        <u/>
        <sz val="11"/>
        <rFont val="Calibri"/>
        <family val="2"/>
      </rPr>
      <t>and/or a</t>
    </r>
    <r>
      <rPr>
        <sz val="11"/>
        <rFont val="Calibri"/>
        <family val="2"/>
      </rPr>
      <t xml:space="preserve"> </t>
    </r>
    <r>
      <rPr>
        <u/>
        <sz val="11"/>
        <rFont val="Calibri"/>
        <family val="2"/>
      </rPr>
      <t>navigation map display</t>
    </r>
    <r>
      <rPr>
        <sz val="11"/>
        <rFont val="Calibri"/>
        <family val="2"/>
      </rPr>
      <t>. These must be used as primary flight instruments for the navigation of the aircraft, for manoeuvre anticipation and for failure/status/integrity indication:</t>
    </r>
  </si>
  <si>
    <r>
      <rPr>
        <sz val="11"/>
        <rFont val="Calibri"/>
        <family val="2"/>
      </rPr>
      <t xml:space="preserve">It is highly recommended that the course selector of the deviation display is automatically slaved to the RNAV computed path.
</t>
    </r>
    <r>
      <rPr>
        <i/>
        <sz val="11"/>
        <rFont val="Calibri"/>
        <family val="2"/>
      </rPr>
      <t>Note: This does not apply for installations where an electronic map display contains a graphical display of the flight path and path deviation.</t>
    </r>
  </si>
  <si>
    <r>
      <rPr>
        <sz val="11"/>
        <rFont val="Calibri"/>
        <family val="2"/>
      </rPr>
      <t>The capability to continuously display to the pilot flying, on the primary
flight instruments for navigation of the aircraft (primary navigation display), the RNAV computed desired path and aircraft position relative to the path. For aircraft where the minimum flight crew is two pilots, the means for the pilot not flying to verify the desired path and the aircraft position relative to the path must also be provided.</t>
    </r>
  </si>
  <si>
    <r>
      <rPr>
        <sz val="11"/>
        <rFont val="Calibri"/>
        <family val="2"/>
      </rPr>
      <t>The means to display the following items, either in the pilot’s primary field of view, or on a readily accessible display page:
i the identification of the active (To) waypoint
ii the distance and bearing to the active (To) waypoint  iii the ground speed or time to the active (To) waypoint.</t>
    </r>
  </si>
  <si>
    <r>
      <rPr>
        <sz val="11"/>
        <rFont val="Calibri"/>
        <family val="2"/>
      </rPr>
      <t>The means to display the following items on a readily accessible display page:
i the display of distance between flight plan waypoints ii the display of distance to go
iii the display of along‐track distances
iv the active navigation sensor type, if there is another sensor in addition to the GNSS sensor.</t>
    </r>
  </si>
  <si>
    <t xml:space="preserve">(b) if required, confirm the exclusion of specific navaids.
</t>
  </si>
  <si>
    <t xml:space="preserve">(b) a flight director
</t>
  </si>
  <si>
    <t xml:space="preserve">(c) an autopilot in the lateral deviation mode
</t>
  </si>
  <si>
    <t xml:space="preserve">(a) full scale deflection ±2 NM; or
</t>
  </si>
  <si>
    <t>A.13.2.2.1</t>
  </si>
  <si>
    <r>
      <rPr>
        <u/>
        <sz val="11"/>
        <rFont val="Calibri"/>
        <family val="2"/>
      </rPr>
      <t>Display requirements</t>
    </r>
    <r>
      <rPr>
        <sz val="11"/>
        <rFont val="Calibri"/>
        <family val="2"/>
      </rPr>
      <t xml:space="preserve">
The aircraft system shall provide means for the flight crew to monitor the FTE during the FRT and FTE monitoring shall be provided by means of displaying the curved path of the FRT on a moving map display (navigation display) with pilot selectable range and numerical indication of the cross-track value.
</t>
    </r>
  </si>
  <si>
    <t>A.13.4.1+2</t>
  </si>
  <si>
    <t>CAO A.10 2.8
AC APP A.12..3.1</t>
  </si>
  <si>
    <t>CAO A.10 2.8
A.12.3.2</t>
  </si>
  <si>
    <t xml:space="preserve">(f) DASA Assessment
</t>
  </si>
  <si>
    <t>(i) a DASA assessment of the aircraft which results in a DASA determination that the aircraft meets the standards for eligibility set out in the paragraphs of this clause</t>
  </si>
  <si>
    <t>(ii) The DASA Assessment must include a demonstration  that the navigation system has the capability to execute leg transitions and maintain track consistent with an RF Leg between 2 fixes. The lateral TSE must be within ±1 × RNP of the path defined by the published procedures for at least 95% of the total flight time for each phase of flight and each autopilot and/or flight director mode requested.</t>
  </si>
  <si>
    <t>App 10.4.1</t>
  </si>
  <si>
    <t>The aircraft is equipped with an RNP 2 or A-RNP system and the OEM has documented that the aircraft is capable of FRT operations</t>
  </si>
  <si>
    <t>Reference</t>
  </si>
  <si>
    <t>Aircraft Eligibility - RVSM</t>
  </si>
  <si>
    <t xml:space="preserve">General
</t>
  </si>
  <si>
    <t xml:space="preserve">(a) all   RVSM   equipment   should   be   maintained   in   accordance   with   the   component manufacturers  maintenance  requirements  and  the  performance  requirements  outlined  in the approved data package;
</t>
  </si>
  <si>
    <t xml:space="preserve">(b) any  modification,  repair,  or  design  change  which  in  any  way  alters  the  initial  RVSM approval,  should  be  subject  to  a  design  review  by  persons  approved  by  the  approving authority;
</t>
  </si>
  <si>
    <t xml:space="preserve">(e) some  aircraft  manufacturers  have  determined  that  the  removal  and  replacement  of components utilising quick disconnects and associated fittings, when properly connected, will  not  require  a  leak  check. While  this  approach  may  allow  the  aircraft  to  meet  static system  certification  standards  when  properly  connected,  it  does  not  always  ensure  the integrity  of  the  fittings and  connectors,  nor  does  it  confirm  system  integrity  during component  replacement  and  re-connections. Therefore,  a  system  leak  check  or  visual inspection should be accomplished any time a quick disconnect static line is broken;
</t>
  </si>
  <si>
    <r>
      <rPr>
        <b/>
        <u/>
        <sz val="11"/>
        <rFont val="Calibri"/>
        <family val="2"/>
      </rPr>
      <t xml:space="preserve"> Maintenance documents requirements</t>
    </r>
    <r>
      <rPr>
        <u/>
        <sz val="11"/>
        <rFont val="Calibri"/>
        <family val="2"/>
      </rPr>
      <t xml:space="preserve">
</t>
    </r>
    <r>
      <rPr>
        <sz val="11"/>
        <rFont val="Calibri"/>
        <family val="2"/>
      </rPr>
      <t xml:space="preserve">The following items should be reviewed as appropriate for RVSM maintenance approval:
(a) Maintenance Manuals;
(b) Structural Repair Manuals;
(c) Standards Practices Manuals;
(d) Illustrated Parts Catalogues;
(e) Maintenance Schedule;
(f) MMEL/Minimum Equipment List (MEL);
(g) Maintenance Control Manuals; and
(h) Equipment Lists/Wiring Diagram Manuals.
</t>
    </r>
  </si>
  <si>
    <r>
      <rPr>
        <b/>
        <u/>
        <sz val="11"/>
        <rFont val="Calibri"/>
        <family val="2"/>
      </rPr>
      <t>General</t>
    </r>
    <r>
      <rPr>
        <sz val="11"/>
        <rFont val="Calibri"/>
        <family val="2"/>
      </rPr>
      <t xml:space="preserve">
The test equipment should have the capability to demonstrate continuing compliance with all the parameters  established  for  RVSM  approval  in  the  initial  data  package  or  as  approved  by  the approving authority.
</t>
    </r>
  </si>
  <si>
    <r>
      <rPr>
        <b/>
        <u/>
        <sz val="11"/>
        <rFont val="Calibri"/>
        <family val="2"/>
      </rPr>
      <t>Standards</t>
    </r>
    <r>
      <rPr>
        <sz val="11"/>
        <rFont val="Calibri"/>
        <family val="2"/>
      </rPr>
      <t xml:space="preserve">
Test equipment should be calibrated utilising reference standards whose calibration is certified as being traceable to the national standard. It should be calibrated at periodic intervals as agreed by the  approving  authority. The  approved  maintenance  program  should  encompass  an  effective quality control program which includes the following:
</t>
    </r>
  </si>
  <si>
    <r>
      <t xml:space="preserve">In-Flight procedures - General
</t>
    </r>
    <r>
      <rPr>
        <sz val="11"/>
        <rFont val="Calibri"/>
        <family val="2"/>
      </rPr>
      <t>The following practices should be incorporated into flight crew training and procedures:</t>
    </r>
  </si>
  <si>
    <t xml:space="preserve">(f) ensure that the altitude-alerting system is operative;
</t>
  </si>
  <si>
    <t>Training</t>
  </si>
  <si>
    <t>Training programs should address the operational procedures described above</t>
  </si>
  <si>
    <r>
      <rPr>
        <u/>
        <sz val="11"/>
        <rFont val="Calibri"/>
        <family val="2"/>
      </rPr>
      <t>Special Emphasis Items</t>
    </r>
    <r>
      <rPr>
        <sz val="11"/>
        <rFont val="Calibri"/>
        <family val="2"/>
      </rPr>
      <t xml:space="preserve">
The following items should also be included in flight crew training:
</t>
    </r>
  </si>
  <si>
    <t xml:space="preserve">(a) knowledge  and  understanding  of  standard  ATC  phraseology  used  in  each  area  of operations;
</t>
  </si>
  <si>
    <t xml:space="preserve">(b) importance  of  crew  members  cross-checking  each  other  to  ensure  that  ATC  clearances are promptly complied with;
</t>
  </si>
  <si>
    <t xml:space="preserve">(c) use  and  limitations  in  terms  of  accuracy  of  stand-by  altimeters in contingencies. Where applicable,    the    pilot    should    review    the    application    of    static    source    error correction/position  error  correction  through  the  use  of  correction  cards 
Note:  such correction data will need to be readily available on the flight deck.
</t>
  </si>
  <si>
    <t xml:space="preserve">(e) characteristics  of  aircraft  altitude  capture  systems  which  may  lead  to  the  occurrence  of overshoots;
</t>
  </si>
  <si>
    <t>(f) relationship  between  altimetry,  automatic  altitude  control,  and  transponder  systems  in normal and abnormal situations; and</t>
  </si>
  <si>
    <t>RVSM - Compliance Requirements - Summary Section</t>
  </si>
  <si>
    <t>RNAV/RNP 10 - Compliance Requirements - Summary Section</t>
  </si>
  <si>
    <t>Aircraft Eligibility - RNAV/RNP 10</t>
  </si>
  <si>
    <r>
      <rPr>
        <b/>
        <sz val="11"/>
        <rFont val="Calibri"/>
        <family val="2"/>
      </rPr>
      <t>Transport category aircraft equipped with dual FMSs, and other equipment, in accordance with Appendix 8</t>
    </r>
    <r>
      <rPr>
        <sz val="11"/>
        <rFont val="Calibri"/>
        <family val="2"/>
      </rPr>
      <t xml:space="preserve">
Aircraft equipped with INSs or IRUs, Radio Navigation Positioning Updating and Electronic Map Displays in accordance with Appendix 8 meet all of the RNP 10 requirements for up to 6.2 hours of flight time. This time starts when the systems are placed in the navigation mode or at the last point at which the systems are updated.
If systems are updated en-route, the operator must show the effect that the accuracy of the update has on the time limit (see Section 12.6 below for information on the adjustment factors for systems that are updated en route).
Note: The 6.2 hours of flight time is based on an inertial system with a 95% Radial Position Error Rate (circular error rate) of 2.0 NM/hr. This is statistically equivalent to individual 95% cross-track and 95% along-track position error rates (orthogonal error rates) of 1.6015 NM/hr each, and 95% cross-track and 95% along-track position error limits of 10 NM each (e.g. 10 NM/1.6015 NM/hr = 6.2 hours).</t>
    </r>
  </si>
  <si>
    <r>
      <rPr>
        <b/>
        <sz val="11"/>
        <rFont val="Calibri"/>
        <family val="2"/>
      </rPr>
      <t>Aircraft equipped with INSs or IRUs that have been approved in accordance with FAR Part 121, Appendix G</t>
    </r>
    <r>
      <rPr>
        <sz val="11"/>
        <rFont val="Calibri"/>
        <family val="2"/>
      </rPr>
      <t xml:space="preserve">
Inertial systems approved in accordance with FAR Part 121, Appendix G, meet RNP 10 requirements for up to 6.2 hours of flight time. This time starts when the system is placed in the navigation mode or at the last point at which the systems are updated.
If systems are updated en route, the operator must show the effect that the accuracy of the update has on the time limit. INS accuracy, reliability and maintenance, as well as flight crew training, required by FAR Section 121.355 and Part 121 Appendix G, are applicable to an RNP 10 authorisation.
Crosschecking procedures associated with basic area navigation systems are applicable to operations with these navigation systems. Aircraft must be equipped with at least two eligible INSs.</t>
    </r>
  </si>
  <si>
    <r>
      <rPr>
        <b/>
        <sz val="11"/>
        <rFont val="Calibri"/>
        <family val="2"/>
      </rPr>
      <t>Aircraft equipped with dual INSs or IRUs approved to minimum navigation performance specification (MNPS) or approved for RNAV operations in Australia</t>
    </r>
    <r>
      <rPr>
        <sz val="11"/>
        <rFont val="Calibri"/>
        <family val="2"/>
      </rPr>
      <t xml:space="preserve">
Aircraft equipped with dual INSs or IRUs approved for MNPS or RNAV operations in Australia meet RNP 10 requirements for up to 6.2 hours after the system is placed in the navigation (NAV) mode or following an en route update.
If systems are updated en route, the operator must show the effect that the accuracy of the update has on the time limit. Appendix 7 provides a description of an updating procedure.
Note: Section 12.5 provides information on acceptable procedures for operators that wish to increase the 6.2 hours time limitation specified.</t>
    </r>
  </si>
  <si>
    <r>
      <rPr>
        <b/>
        <sz val="11"/>
        <rFont val="Calibri"/>
        <family val="2"/>
      </rPr>
      <t>Aircraft equipped with dual global positioning systems (GPSs) approved for primary means of navigation in oceanic and remote areas</t>
    </r>
    <r>
      <rPr>
        <sz val="11"/>
        <rFont val="Calibri"/>
        <family val="2"/>
      </rPr>
      <t xml:space="preserve">
Aircraft approved to use GPS as a primary means of navigation for oceanic and remote operations in accordance with FAA AC 20-138A Appendix 1, meet the RNP 10 requirements without time limitations.
The AFM(s) must show that a particular GPS installation meets the appropriate regulatory requirements. Dual TSO authorised GPS equipment is required, and an approved dispatch FDE availability prediction program must be used.
The maximum allowable time for which FDE capability is projected to be unavailable is 34 minutes. The maximum outage time must be included as a condition of the RNP 10 authorisation (see FAA AC 20-138A Appendix 1 on GPS as a primary means of navigation in oceanic and remote areas).
Note: If predictions indicate that the maximum FDE outage time for the intended RNP 10 operation will be exceeded, then the operation must be rescheduled when FDE is available. Alternatively, RNP 10 must be predicated on another means of navigation.</t>
    </r>
  </si>
  <si>
    <r>
      <rPr>
        <b/>
        <sz val="11"/>
        <rFont val="Calibri"/>
        <family val="2"/>
      </rPr>
      <t>Multi-sensor systems integrating GPS (with GPS integrity provided by receiver autonomous integrity monitoring (RAIM))</t>
    </r>
    <r>
      <rPr>
        <sz val="11"/>
        <rFont val="Calibri"/>
        <family val="2"/>
      </rPr>
      <t xml:space="preserve"> 
Multi-sensor systems integrating GPS with RAIM and FDE that are approved using the guidance of FAA AC 20-130A, Airworthiness Approval of Navigation or Flight Management Systems Integrating Multiple Navigation Sensors, or equivalent, meet RNP 10 requirements without time limitations. In this case, the INS or IRU must be approved in accordance with FAR Part 121 Appendix G.</t>
    </r>
  </si>
  <si>
    <r>
      <rPr>
        <b/>
        <sz val="11"/>
        <rFont val="Calibri"/>
        <family val="2"/>
      </rPr>
      <t>Aircraft eligibility through RNP certification (Eligibility Group 1)</t>
    </r>
    <r>
      <rPr>
        <sz val="11"/>
        <rFont val="Calibri"/>
        <family val="2"/>
      </rPr>
      <t xml:space="preserve">
Group 1 aircraft are those that have obtained formal certification and approval of RNP integration in the aircraft.
The RNP level will be documented in the AFM</t>
    </r>
  </si>
  <si>
    <r>
      <rPr>
        <b/>
        <sz val="11"/>
        <rFont val="Calibri"/>
        <family val="2"/>
      </rPr>
      <t>Aircraft eligibility through prior navigation system certification (Eligibility Group 2)</t>
    </r>
    <r>
      <rPr>
        <sz val="11"/>
        <rFont val="Calibri"/>
        <family val="2"/>
      </rPr>
      <t xml:space="preserve">
Group 2 aircraft are those that can equate their certified level of performance, under previous standards, to the RNP 10 criteria. The standards listed below can be used to qualify.</t>
    </r>
  </si>
  <si>
    <t>Extended Time Limits for INS/IRU systems</t>
  </si>
  <si>
    <t>(c) an applicant may establish an extended time limit by showing that the carriage of multiple navigation sensors, that mix or average navigation position error, justifies such an extension (e.g. triple mixed INSs). If the applicant uses a time limit based on mixing, then the availability of the mixing capability must be operational at take-off for flight on RNP 10 routes or in RNP areas. If the mixing or averaging function is not available at take-off, then the applicant must use a time limit that does not depend on mixing. The extended time limit must be validated by a data collection program and analysis as specified in the following paragraph; or</t>
  </si>
  <si>
    <t xml:space="preserve">(d) when an INS or IRU has been approved using an existing approval standard, an applicant can establish an extended time limit by conducting a data collection program using the guidance shown in Appendixes 1 or 6.
</t>
  </si>
  <si>
    <t>An operator may extend their RNP 10 navigation capability time by en-route updates. Approvals for various updating procedures are based upon the baseline for which they have been approved minus the time factors shown below:</t>
  </si>
  <si>
    <t>(b) automatic updating using DME/VOR = Baseline minus 0.5 hours; and</t>
  </si>
  <si>
    <t>Effect of en-route updates</t>
  </si>
  <si>
    <t>(c) an acceptable procedure for automatic updating may be used as the basis for an RNP 10 authorisation for an extended time as indicated by data presented. This data must present a clear indication of the accuracy of the update and the effect of the update on the navigation capabilities for the remainder of the flight.</t>
  </si>
  <si>
    <t>(b) the operator has ensured that flight crews are knowledgeable of the updating procedures and of the effect of the update on the navigation solution; and</t>
  </si>
  <si>
    <t>(a) the procedures for automatic updating are included in an operator’s training program;</t>
  </si>
  <si>
    <t>If manual updating is not specifically approved, manual position updates are not permitted in RNP 10 operations. Manual radio updating is acceptable for operations in airspace where RNP 10 is applied provided that:</t>
  </si>
  <si>
    <t>(b) the operator shows that updating procedures and training contain measures or cross checking to prevent human factor errors;</t>
  </si>
  <si>
    <t>(c) the operator provides data that establishes the accuracy with which the aircraft navigation system can be updated using manual procedures and representative navigation aids. Data should be provided that shows the update accuracy achieved in in-service operations. This factor must be considered when establishing the RNP 10 time limit for INSs or IRUs (see Section 12.6); and</t>
  </si>
  <si>
    <t>(d) DASA finds that the flight crew qualification syllabus is effective pilot training.</t>
  </si>
  <si>
    <t>Conditions under which manual radio position updating may be considered as acceptable for flight in airspace where RNP 10 is applied</t>
  </si>
  <si>
    <t>(b) the periodic method of data collection employs the use of a hand-held GPS receiver as a base line for collected INS data, which is described in Appendix 6, (Periodic Method). The data collected is then analysed as described in Appendix 6 to CASA AC 91.U-02() to determine if the system is capable of maintaining RNP 10 for the length of time needed by the operator.</t>
  </si>
  <si>
    <t>(a) the procedures for manual updating are reviewed by CASA on a case-by-case basis. An acceptable procedure for manual updating is described in Appendix 7 to CASA AC 91.U-02() and may be used as the basis for an RNP 10 authorisation for an extended time when supported by acceptable data;</t>
  </si>
  <si>
    <t>Conditions under which automatic radio position updating is acceptable for flight in airspace where RNP 10 is applied</t>
  </si>
  <si>
    <r>
      <rPr>
        <u/>
        <sz val="11"/>
        <rFont val="Calibri"/>
        <family val="2"/>
      </rPr>
      <t>Flight Planning</t>
    </r>
    <r>
      <rPr>
        <sz val="11"/>
        <rFont val="Calibri"/>
        <family val="2"/>
      </rPr>
      <t xml:space="preserve">
(a) verifying that the aircraft is authorized for RNP 10 operations;
(b) that the RNP 10 time limit has been accounted for;
(c) verifying that the letter ‘R’ is annotated in Field 10 of the ICAO Flight Plan; and that any other requirements concerning flight plan notification have been met e.g. notification of the RNP type (Note: such requirements are described in the AIP);
(d) confirming the requirements for GPS, such as FDE, if appropriate for the operation; and
(e) if required for a specific navigation system, accounting for any operating restriction related to RNP 10 operational authorisation.</t>
    </r>
  </si>
  <si>
    <t>(a) review maintenance logs and forms to ascertain the condition of equipment required for RNP 10 operations. Ensure that maintenance action has been taken to correct defects to required equipment;</t>
  </si>
  <si>
    <t>(b) during the external inspection of aircraft, where possible, particular attention must be paid to the condition of navigation antennae and the condition of the fuselage skin in the vicinity of each of these antennae (This check may be accomplished by a qualified and authorised person other than the pilot, e.g. a flight engineer or a maintenance person.); and</t>
  </si>
  <si>
    <t>(c) emergency procedures for RNP 10 operations are the same as normal oceanic emergency procedures with one exception - crews must be able to recognise (and ATC must be advised accordingly) when the aircraft is no longer capable of navigating in accordance with its RNP 10 operational authorisation requirements.</t>
  </si>
  <si>
    <t>App 4</t>
  </si>
  <si>
    <t xml:space="preserve">En-Route - General
</t>
  </si>
  <si>
    <t>At least two long-range navigation systems capable of navigating to RNP 10 must be operational at entry to the airspace where RNP 10 operations are to be conducted</t>
  </si>
  <si>
    <t>Before entering OCA or remote airspace, the aircraft’s position must be checked as accurately as possible by using external navaids. This may require DME/DME and/or DME/VOR checks to determine navigation system errors through displayed and actual positions. If the system is updated, the proper procedures must be followed with the aid of a prepared checklist.</t>
  </si>
  <si>
    <t>Operator in-flight operating drills must include mandatory crosschecking procedures to identify navigation errors in sufficient time to prevent aircraft from deviating inadvertently from ATC cleared routes.</t>
  </si>
  <si>
    <t>Crews must advise ATC of any deterioration or failure of the navigation equipment below the navigation performance requirements or of any deviations required for a contingency procedure.</t>
  </si>
  <si>
    <t xml:space="preserve">AOC holders must ensure that flight crews have been trained to ensure that crews are knowledgeable of the topics contained in this AC, the limits of their RNP 10 navigation capabilities, the effects of updating navigation systems, and RNP 10 contingency procedures.
</t>
  </si>
  <si>
    <r>
      <rPr>
        <u/>
        <sz val="11"/>
        <rFont val="Calibri"/>
        <family val="2"/>
      </rPr>
      <t>Operations manuals and checklists</t>
    </r>
    <r>
      <rPr>
        <sz val="11"/>
        <rFont val="Calibri"/>
        <family val="2"/>
      </rPr>
      <t xml:space="preserve">
Operations manual and checklists should be revised to include information on standard operating procedures, as detailed in Appendix 4. Appropriate manuals should include navigation operating instructions and contingency procedures where specified i.e. weather deviation procedures. Manuals and checklists must be submitted for review.</t>
    </r>
  </si>
  <si>
    <r>
      <rPr>
        <u/>
        <sz val="11"/>
        <rFont val="Calibri"/>
        <family val="2"/>
      </rPr>
      <t>Operational Training programs and Operating practices and procedures</t>
    </r>
    <r>
      <rPr>
        <sz val="11"/>
        <rFont val="Calibri"/>
        <family val="2"/>
      </rPr>
      <t xml:space="preserve">
Submit training syllabi and an example of one training program to show that the operational practices and procedures and training items related to RNP 10 operations have been incorporated in the relevant training programs (e.g. initial, upgrade, recurrent). </t>
    </r>
  </si>
  <si>
    <t>MAINTENANCE REQUIREMENTS
The holder of the design approval, including either the type certificate (TC) or supplemental type certificate (STC) for each individual navigation system installation must furnish to DASA at least one set of complete Instructions for Continued Airworthiness, in accordance with Section 1529 of Parts 23, 25, 27 and 29 of the FARs, for the maintenance requirements for operations conducted</t>
  </si>
  <si>
    <r>
      <t xml:space="preserve">General
</t>
    </r>
    <r>
      <rPr>
        <sz val="11"/>
        <rFont val="Calibri"/>
        <family val="2"/>
      </rPr>
      <t>Where applicable, the operator must submit a maintenance program for approval, in accordance with Sections 13 and 14 of CAAP 91.U-02() , at the time of application</t>
    </r>
  </si>
  <si>
    <r>
      <rPr>
        <b/>
        <sz val="11"/>
        <color rgb="FF000000"/>
        <rFont val="Calibri"/>
        <family val="2"/>
      </rPr>
      <t>Aircraft eligibility through data collection</t>
    </r>
    <r>
      <rPr>
        <sz val="11"/>
        <color rgb="FF000000"/>
        <rFont val="Calibri"/>
        <family val="2"/>
      </rPr>
      <t xml:space="preserve">
A data collection program must address the appropriate navigational accuracy requirements for RNP 10. The data collection must ensure that the applicant demonstrates that the aircraft and navigation system provides the flight crew with navigation situational awareness relative to the intended RNP 10 route.
The data collection must also ensure that the flight crew have a clear understanding of the status of the navigation system is provided, and that failure indications and procedures are consistent with maintaining the required navigation performance.</t>
    </r>
  </si>
  <si>
    <r>
      <rPr>
        <b/>
        <sz val="11"/>
        <color rgb="FF000000"/>
        <rFont val="Calibri"/>
        <family val="2"/>
      </rPr>
      <t>Reporting of Navigation errors</t>
    </r>
    <r>
      <rPr>
        <sz val="11"/>
        <color rgb="FF000000"/>
        <rFont val="Calibri"/>
        <family val="2"/>
      </rPr>
      <t xml:space="preserve">
Navigation errors must be reported when the following parameters apply:
(a) lateral navigational errors of 15 NM or more;
(b) longitudinal navigational errors of 10 NM or more;
(c) longitudinal navigational errors or 3 minutes or more variation between the aircraft’s estimated time of arrival at a reporting point and its actual time of arrival; or
(d) navigation system failures.</t>
    </r>
  </si>
  <si>
    <r>
      <rPr>
        <b/>
        <sz val="11"/>
        <color rgb="FF000000"/>
        <rFont val="Calibri"/>
        <family val="2"/>
      </rPr>
      <t>Minimum equipment list (MEL)</t>
    </r>
    <r>
      <rPr>
        <sz val="11"/>
        <color rgb="FF000000"/>
        <rFont val="Calibri"/>
        <family val="2"/>
      </rPr>
      <t xml:space="preserve">
Any MEL revisions necessary to address the RNP 10 provisions of the guidance material in this AC 91.U-02() must be approved (e.g. if authorisation is based on ‘Triple-Mix’ the MEL must
reflect that three navigation units must be operating).</t>
    </r>
  </si>
  <si>
    <t>9.1.7/13</t>
  </si>
  <si>
    <r>
      <rPr>
        <b/>
        <sz val="11"/>
        <color rgb="FF000000"/>
        <rFont val="Calibri"/>
        <family val="2"/>
      </rPr>
      <t>Navigation Systems</t>
    </r>
    <r>
      <rPr>
        <sz val="11"/>
        <color rgb="FF000000"/>
        <rFont val="Calibri"/>
        <family val="2"/>
      </rPr>
      <t xml:space="preserve">
For RNP 10 authorisation, an aircraft operating in oceanic and remote areas must be equipped with at least two independent and serviceable Long Range Navigation Systems (LRNSs) comprising INS, IRS/FMS or GPS, of sufficient integrity such that the navigation system does not provide misleading information with an unacceptable probability.</t>
    </r>
  </si>
  <si>
    <t>(a) an extended time limit may be established when RNP is integrated into the aircraft navigation system through a formal certification process (as described in CASA AC 91.U-02() Section 12.2);</t>
  </si>
  <si>
    <r>
      <rPr>
        <b/>
        <sz val="11"/>
        <rFont val="Calibri"/>
        <family val="2"/>
      </rPr>
      <t>RNP 10 time limit for inertial navigation systems (INS) or inertial reference units (IRU) (if applicable)</t>
    </r>
    <r>
      <rPr>
        <sz val="11"/>
        <rFont val="Calibri"/>
        <family val="2"/>
      </rPr>
      <t xml:space="preserve">
The applicant must provide their RNP 10 time limit for the specified INS or IRU (see Section 12 CASA AC 91.U-02() ). The applicant must consider the effect of headwinds in the areas where RNP 10 operations will be conducted (see Section 15) to determine the feasibility of the proposed operation.
Operators of aircraft that are unable to couple the RNAV systems to the flight director or to the autopilot must assume a Flight Technical Error (FTE) of 2 NM for oceanic operations. The addition of the 2 NM FTE to the assumed navigation position error will further time limit INS/IRU equipped aircraft undertaking RNP 10 operations.</t>
    </r>
  </si>
  <si>
    <r>
      <rPr>
        <b/>
        <sz val="11"/>
        <rFont val="Calibri"/>
        <family val="2"/>
      </rPr>
      <t>The baseline RNP 10 time limit</t>
    </r>
    <r>
      <rPr>
        <sz val="11"/>
        <rFont val="Calibri"/>
        <family val="2"/>
      </rPr>
      <t xml:space="preserve"> for INS and IRU systems after the system is placed in the navigation mode is 6.2 hours, as detailed in Sections 12.3.1, 12.3.2 and 12.3.3. This time limit may be extended by one of the following methods:
</t>
    </r>
  </si>
  <si>
    <t>(c) manual updating using a method similar to that contained in CASA CAAP 91.U-02() Appendix 7 or approved = Baseline minus one hour.</t>
  </si>
  <si>
    <t>Aircraft Eligibility - RNP 4</t>
  </si>
  <si>
    <r>
      <rPr>
        <b/>
        <sz val="11"/>
        <rFont val="Calibri"/>
        <family val="2"/>
      </rPr>
      <t>Group 1: RNP certification</t>
    </r>
    <r>
      <rPr>
        <sz val="11"/>
        <rFont val="Calibri"/>
        <family val="2"/>
      </rPr>
      <t>. Group 1 aircraft are those with formal certification and approval of RNP integration in the aircraft. RNP compliance is documented in the AFM. This method also applies in the case where certification is received through a STC issued to cover retrofitting of equipment, such as GNSS receivers, to enable the aircraft to meet RNP 4 requirements in oceanic and remote area airspace.</t>
    </r>
  </si>
  <si>
    <r>
      <rPr>
        <b/>
        <sz val="11"/>
        <rFont val="Calibri"/>
        <family val="2"/>
      </rPr>
      <t xml:space="preserve">(a) Global Navigation Satellite Systems (GNSS). </t>
    </r>
    <r>
      <rPr>
        <sz val="11"/>
        <rFont val="Calibri"/>
        <family val="2"/>
      </rPr>
      <t>Aircraft fitted with GNSS as an approved primary long-range navigation system for oceanic and remote airspace operations must meet the technical requirements specified in Section 6.2. The AFM must indicate that dual GNSS equipment approved under an appropriate standard is required. Appropriate standards are FAA Technical Standard Orders (TSO) C129a or C146a, and JAA Joint Technical Standard Orders (JTSO) C129a or C146a. In addition, an approved dispatch Fault Detection and Exclusion (FDE) availability prediction program must be used.
The maximum allowable time for which FDE capability is projected to be unavailable is 25 minutes. This maximum outage time must be included as a condition of the RNP 4 operational authorisation. If predictions indicate that the maximum allowable FDE outage will be exceeded the operation must be rescheduled to a time when FDE is available.</t>
    </r>
  </si>
  <si>
    <r>
      <rPr>
        <b/>
        <sz val="11"/>
        <rFont val="Calibri"/>
        <family val="2"/>
      </rPr>
      <t xml:space="preserve">(b) Multi-Sensor Systems Integrating GNSS with integrity provided by Receiver Autonomous Integrity Monitoring (RAIM). </t>
    </r>
    <r>
      <rPr>
        <sz val="11"/>
        <rFont val="Calibri"/>
        <family val="2"/>
      </rPr>
      <t>Multi-sensor systems integrating GNSS with RAIM and FDE that are approved under FAA AC 20-130A, or other equivalent documents, meet the technical requirements specified in Section 6.2. Note: There is no requirement to use dispatch FDE availability prediction programs when multi-sensor systems are fitted and used.</t>
    </r>
  </si>
  <si>
    <r>
      <rPr>
        <b/>
        <sz val="11"/>
        <color rgb="FF000000"/>
        <rFont val="Calibri"/>
        <family val="2"/>
      </rPr>
      <t>Navigation Accuracy</t>
    </r>
    <r>
      <rPr>
        <sz val="11"/>
        <color rgb="FF000000"/>
        <rFont val="Calibri"/>
        <family val="2"/>
      </rPr>
      <t xml:space="preserve">
Accuracy is defined relative to a geodesic path along a route or defined procedure. RNP 4 operations require that aircraft navigate with a cross-track TSE no greater than ±4 NM for 95 per cent of the total flight time. This includes Position Estimation Error (PEE), Flight Technical Error (FTE), Path Definition Error (PDE) and display system error (refer MOS Subpart 91.U Chapter 3). The aircraft along-track TSE must be no greater than ±4 NM for 95 per cent of the flight time.</t>
    </r>
  </si>
  <si>
    <r>
      <rPr>
        <b/>
        <sz val="11"/>
        <rFont val="Calibri"/>
        <family val="2"/>
      </rPr>
      <t>GNSS monitor</t>
    </r>
    <r>
      <rPr>
        <sz val="11"/>
        <rFont val="Calibri"/>
        <family val="2"/>
      </rPr>
      <t>. 
The GNSS navigation system must detect satellite failures before they cause the aircraft to exceed the defined airspace limits. This requirement is derived from the overall effect of a GNSS failure, and applies to all navigational uses of GNSS. The probability of missed detection of satellite failures must be less than or equal to 10-3, and the effective monitor limit for these failures on the navigation solution, known as the horizontal alert limit (HAL), must consider the other normal errors that may exist during the satellite fault, the latency of the alert, the crew reaction time to an alert and the aircraft response. An acceptable means of compliance is to use a HAL as follows: Oceanic (RNP 4): 4NM.</t>
    </r>
  </si>
  <si>
    <t>(i) it must be visible to the pilot and located in the primary view (+/- 15 degrees from the pilot’s normal line of sight) when looking forward along
the flight path;</t>
  </si>
  <si>
    <t xml:space="preserve">(ii) lateral deviation scaling must agree with any alerting and annunciation limits, if implemented;
</t>
  </si>
  <si>
    <t xml:space="preserve">(iii) lateral deviation display must be automatically slaved to the RNAV computed path. The lateral deviation display also must have a full-scale
deflection suitable for the current phase of flight and must be based on the required track-keeping accuracy. The course selector of the lateral
deviation display should be automatically slewed to the RNAV computed path, or the pilot must adjust the CDI or HSI selected course to the computed desired track;
</t>
  </si>
  <si>
    <t>(iv) display scaling may be set automatically by default logic or set to a value obtained from the navigation database. The full-scale deflection value must be known or must be available to the pilot commensurate with en-route, terminal or approach phase values. 
NOTE: The normal function of standalone GNSS equipment meets this requirement.</t>
  </si>
  <si>
    <t xml:space="preserve">(b) A navigation map display, readily visible to the pilot, with appropriate map scales (scaling may be set manually by the pilot), and giving equivalent functionality to a lateral deviation display.
</t>
  </si>
  <si>
    <t xml:space="preserve">(a) minimizing reliance on flight crew memory for any system operating procedure or task;
</t>
  </si>
  <si>
    <t xml:space="preserve">(b) developing a clear and unambiguous display of system modes/sub modes and navigational data, with emphasis on enhanced situational awareness requirements for any automatic mode changes if provided;
</t>
  </si>
  <si>
    <t>(c) use of context sensitive help capability and error messages (for example, invalid inputs or invalid data entry messages should provide a simple means to determine how to enter ‘valid’ data);</t>
  </si>
  <si>
    <t>(d) fault tolerant data entry methods, rather than rigid rule based concepts;</t>
  </si>
  <si>
    <t>(e) placing particular emphasis on the number of steps and minimizing the time required to accomplish flight plan modifications to accommodate ATC clearances, holding procedures, runway and instrument approach changes, missed approaches and diversions to alternate destinations; and</t>
  </si>
  <si>
    <t>(f) minimizing the number of nuisance alerts so the flight crew will recognize and react appropriately when required.</t>
  </si>
  <si>
    <r>
      <rPr>
        <b/>
        <u/>
        <sz val="11"/>
        <rFont val="Calibri"/>
        <family val="2"/>
      </rPr>
      <t>Flight planning fix sequencing.</t>
    </r>
    <r>
      <rPr>
        <sz val="11"/>
        <rFont val="Calibri"/>
        <family val="2"/>
      </rPr>
      <t xml:space="preserve"> The navigation system must provide the capability for automatic sequencing of fixes.</t>
    </r>
  </si>
  <si>
    <r>
      <rPr>
        <b/>
        <u/>
        <sz val="11"/>
        <rFont val="Calibri"/>
        <family val="2"/>
      </rPr>
      <t>User-defined course to fix.</t>
    </r>
    <r>
      <rPr>
        <sz val="11"/>
        <rFont val="Calibri"/>
        <family val="2"/>
      </rPr>
      <t xml:space="preserve"> The navigation system must provide the capability to define a user-defined course to a fix. The pilot must be able to intercept the user-defined course.</t>
    </r>
  </si>
  <si>
    <r>
      <rPr>
        <b/>
        <u/>
        <sz val="11"/>
        <rFont val="Calibri"/>
        <family val="2"/>
      </rPr>
      <t>Path steering</t>
    </r>
    <r>
      <rPr>
        <sz val="11"/>
        <rFont val="Calibri"/>
        <family val="2"/>
      </rPr>
      <t>. The system must provide data to enable the generation of command signals for autopilot/flight director/CDI, as applicable. In all cases, a Path Steering Error (PSE) must be defined at the time of certification, which will meet the requirements of the desired RNP operation in combination with the other system errors. During the certification process, the ability of the crew to operate the aircraft within the specified PSE must be demonstrated. Aircraft type, operating envelope, displays, autopilot performance, and leg transitioning guidance (specifically between arc legs) should be accounted for in the demonstration of PSE compliance. A measured value of PSE may be used to monitor system compliance to RNP requirements. For operation on all leg types, this value must be the distance to the defined path. For cross-track containment compliance, any inaccuracies in the cross-track error computation (e.g. resolution) must be accounted for in the TSE.</t>
    </r>
  </si>
  <si>
    <r>
      <rPr>
        <b/>
        <u/>
        <sz val="11"/>
        <rFont val="Calibri"/>
        <family val="2"/>
      </rPr>
      <t>Alerting requirements</t>
    </r>
    <r>
      <rPr>
        <sz val="11"/>
        <rFont val="Calibri"/>
        <family val="2"/>
      </rPr>
      <t>. The system must also provide an annunciation when the manually entered RNP type is larger than the RNP type associated with the current airspace, as defined in the navigation database. Any subsequent reduction of the RNP type must reinstate this annunciation. When approaching RNP airspace from non-RNP airspace, alerting must be enabled when the cross-track to the desired path is equal to or less than one-half (1/2) the RNP value and the aircraft has passed the first fix in the RNP airspace.</t>
    </r>
  </si>
  <si>
    <r>
      <rPr>
        <b/>
        <u/>
        <sz val="11"/>
        <rFont val="Calibri"/>
        <family val="2"/>
      </rPr>
      <t>Navigation database access</t>
    </r>
    <r>
      <rPr>
        <sz val="11"/>
        <rFont val="Calibri"/>
        <family val="2"/>
      </rPr>
      <t>. The navigation database must provide access to navigation information in support of the navigation systems reference and flight planning features. Manual modification of the navigation database data must not be possible. This requirement does not preclude the storage of ‘user defined data’ within the equipment. When data are recalled from storage they must also be retained in storage. The system must provide a means to identify the navigation database version and valid operating period.</t>
    </r>
  </si>
  <si>
    <r>
      <rPr>
        <b/>
        <u/>
        <sz val="11"/>
        <rFont val="Calibri"/>
        <family val="2"/>
      </rPr>
      <t>Geodetic reference system</t>
    </r>
    <r>
      <rPr>
        <sz val="11"/>
        <rFont val="Calibri"/>
        <family val="2"/>
      </rPr>
      <t>. WGS-84 or an equivalent earth reference model must be used as the reference earth model for error determination. If WGS-84 is not employed, any differences between the selected earth model and the WGS-84 earth model must be included as part of the path definition error. Errors induced by data resolution must also be considered.</t>
    </r>
  </si>
  <si>
    <r>
      <rPr>
        <b/>
        <u/>
        <sz val="11"/>
        <rFont val="Calibri"/>
        <family val="2"/>
      </rPr>
      <t>Functional Requirements - Recommended</t>
    </r>
    <r>
      <rPr>
        <sz val="11"/>
        <rFont val="Calibri"/>
        <family val="2"/>
      </rPr>
      <t xml:space="preserve">
(a) display cross-track error on the control display unit (CDU);
(b) display present position in distance/bearing to selected waypoints;
(c) provide time to waypoints on the CDU;
(d) display along track distance to the next waypoint;
(e) display ground speed;
(f) indicate track angle;
(g) provide automatic navigation aids selection;
(h) manually inhibit a navaid facility;
(i) automatic selection and tuning of DME and/or VOR;
(j) estimate of position uncertainty;
(k) display current RNP level and type selection;
(l) capability to display flight plan discontinuity;
(m) display navigation sensor in use and display of degraded navigation.</t>
    </r>
  </si>
  <si>
    <t>8.2</t>
  </si>
  <si>
    <r>
      <rPr>
        <u/>
        <sz val="11"/>
        <rFont val="Calibri"/>
        <family val="2"/>
      </rPr>
      <t>Flight Planning</t>
    </r>
    <r>
      <rPr>
        <sz val="11"/>
        <rFont val="Calibri"/>
        <family val="2"/>
      </rPr>
      <t xml:space="preserve">
During flight planning, the flight crew should pay particular attention to conditions that may affect RNP 4 operations. These include, but may not be limited to:
(a) verifying that the aircraft has been approved for RNP 4 operations;
(b) verifying that the letter ‘R’ has been inserted in ‘Item 10: Equipment’ of the ICAO flight plan;
(c) verifying that any additional flight planning requirements specified in ICAO Regional Supplementary Procedures (Doc 7030) or State AIP have been met;
(d) confirming that the requirements for GNSS, such as FDE, if appropriate for the operation; and
(e) if required for a specific navigation system, accounting for any operating restriction related to the RNP 4 authorisation..</t>
    </r>
  </si>
  <si>
    <r>
      <rPr>
        <u/>
        <sz val="11"/>
        <rFont val="Calibri"/>
        <family val="2"/>
      </rPr>
      <t>Pre-Flight Procedures</t>
    </r>
    <r>
      <rPr>
        <sz val="11"/>
        <rFont val="Calibri"/>
        <family val="2"/>
      </rPr>
      <t xml:space="preserve">
 The flight crew must:
</t>
    </r>
  </si>
  <si>
    <t>(a) review maintenance logs and forms to ascertain the condition of the equipment required for RNP 4 operations;</t>
  </si>
  <si>
    <t>(b) ensure that maintenance action has been taken to correct defects in the required equipment; and</t>
  </si>
  <si>
    <t>(c) review the contingency procedures for RNP 4 operations. These are no different than normal oceanic contingency procedures with one exception: crews must be able to recognize (and ATC must be advised) when the aircraft is no longer able to navigate to its RNP 4 navigational capability.</t>
  </si>
  <si>
    <t>At least two independent LRNSs, capable of navigating to RNP 4, and listed in the AFM, must be operational at the entry point where RNP operations will be conducted. If an item of equipment required for RNP 4 operations is unserviceable, then the pilot should consider an alternate routing, or diversion for repairs.</t>
  </si>
  <si>
    <t>In-flight operating procedures must include mandatory cross-checking procedures to identify navigation errors in sufficient time to prevent inadvertent deviation from ATC cleared
routes.</t>
  </si>
  <si>
    <t>Crews must advise ATC of any deterioration or failure of the navigation equipment that causes navigation performance to fall below the required level, and/or any deviations required for a contingency procedure.</t>
  </si>
  <si>
    <t xml:space="preserve">Operators/owners must ensure that flight crews have been trained and understand this AC, the limits of their aircraft’s RNP 4 navigation capabilities, the effects of updating, and RNP 4 contingency procedures.
</t>
  </si>
  <si>
    <t>6.3.1</t>
  </si>
  <si>
    <t>6.3.2</t>
  </si>
  <si>
    <t>6.3.3</t>
  </si>
  <si>
    <t>6.3.4</t>
  </si>
  <si>
    <t>6.3.5</t>
  </si>
  <si>
    <t>6.3.6</t>
  </si>
  <si>
    <t>6.3.7</t>
  </si>
  <si>
    <t>6.3.8</t>
  </si>
  <si>
    <t>6.1.4</t>
  </si>
  <si>
    <t>6.1.1-3</t>
  </si>
  <si>
    <t>5.3.8</t>
  </si>
  <si>
    <r>
      <rPr>
        <b/>
        <sz val="11"/>
        <color rgb="FF000000"/>
        <rFont val="Calibri"/>
        <family val="2"/>
      </rPr>
      <t>Minimum equipment list (MEL)</t>
    </r>
    <r>
      <rPr>
        <sz val="11"/>
        <color rgb="FF000000"/>
        <rFont val="Calibri"/>
        <family val="2"/>
      </rPr>
      <t xml:space="preserve">
Any MEL revisions necessary to address RNP 4 provisions of the guidance material must be approved </t>
    </r>
  </si>
  <si>
    <r>
      <t xml:space="preserve">General
</t>
    </r>
    <r>
      <rPr>
        <sz val="11"/>
        <rFont val="Calibri"/>
        <family val="2"/>
      </rPr>
      <t xml:space="preserve">All operators/owners must include in their RNP 4 application their maintenance program, including a reliability program for
monitoring the equipment. </t>
    </r>
  </si>
  <si>
    <t>5.3.9</t>
  </si>
  <si>
    <t>5.3.3</t>
  </si>
  <si>
    <r>
      <rPr>
        <u/>
        <sz val="11"/>
        <rFont val="Calibri"/>
        <family val="2"/>
      </rPr>
      <t>Operations manuals and checklists</t>
    </r>
    <r>
      <rPr>
        <sz val="11"/>
        <rFont val="Calibri"/>
        <family val="2"/>
      </rPr>
      <t xml:space="preserve">
Operators must revise their operations manuals and checklists to include information/guidance on the standard operating procedures detailed in Section 8. Manuals must contain navigation system operating instructions and contingency procedures where specified (e.g. weather deviation procedures). AOC holders must include manuals and checklists in their RNP 4 application</t>
    </r>
  </si>
  <si>
    <t>5.3.5</t>
  </si>
  <si>
    <t>5.3.4</t>
  </si>
  <si>
    <t>6.2.1/4.3.1</t>
  </si>
  <si>
    <t>RNP 4 - Compliance Requirements - Summary Section</t>
  </si>
  <si>
    <t>5.4.4</t>
  </si>
  <si>
    <r>
      <rPr>
        <b/>
        <sz val="11"/>
        <rFont val="Calibri"/>
        <family val="2"/>
      </rPr>
      <t>Navigation Database</t>
    </r>
    <r>
      <rPr>
        <sz val="11"/>
        <rFont val="Calibri"/>
        <family val="2"/>
      </rPr>
      <t xml:space="preserve">
The standards for navigation databases are contained in RTCA DO-200A and EUROCAE DO-76. Not all current suppliers of navigation databases meet these standards. The navigation database should be obtained from an approved supplier. If it isn’t then the operator, as a minimum, must implement navigation database integrity checks using appropriate software tools or approved manual procedures to verify data relating to all waypoints in the subject RNP 4 airspace or routes. These integrity checks must be performed in addition to any checks previously performed by the Aeronautical Information Services (AIS), by unapproved navigation database suppliers, or by navigation equipment manufacturers.
The integrity checks need to identify any discrepancies between the navigation database and the published charts/procedures. An approved third party may perform integrity checks. Discrepancies that invalidate a procedure must be reported to the navigation database supplier and affected procedures must be prohibited by an operator’s notice to its flight crew. Aircraft operators should consider the need to continue their own database checks even for products obtained from approved suppliers.</t>
    </r>
  </si>
  <si>
    <r>
      <rPr>
        <u/>
        <sz val="11"/>
        <rFont val="Calibri"/>
        <family val="2"/>
      </rPr>
      <t>Availability of GNSS</t>
    </r>
    <r>
      <rPr>
        <sz val="11"/>
        <rFont val="Calibri"/>
        <family val="2"/>
      </rPr>
      <t xml:space="preserve">
Before the commencement of flight, the operator must ensure that the GNSS  availability requirements on which the operator’s RNP 4 operational authorisation is based, will be met for the full length of the flight.</t>
    </r>
  </si>
  <si>
    <r>
      <rPr>
        <b/>
        <sz val="11"/>
        <color rgb="FF000000"/>
        <rFont val="Calibri"/>
        <family val="2"/>
      </rPr>
      <t>Operations in Oceanic or Remote Airspace</t>
    </r>
    <r>
      <rPr>
        <sz val="11"/>
        <color rgb="FF000000"/>
        <rFont val="Calibri"/>
        <family val="2"/>
      </rPr>
      <t xml:space="preserve">
For RNP 4 operations in oceanic or remote airspace, at least two fully serviceable independent long-range navigation systems (LRNSs), with integrity such that the navigation system does not provide misleading information, must be fitted to the aircraft.</t>
    </r>
  </si>
  <si>
    <r>
      <rPr>
        <b/>
        <sz val="11"/>
        <rFont val="Calibri"/>
        <family val="2"/>
      </rPr>
      <t>(c) Multi-sensor Systems Integrating GNSS with integrity provided by Aircraft Autonomous Integrity Monitoring (AAIM).</t>
    </r>
    <r>
      <rPr>
        <sz val="11"/>
        <rFont val="Calibri"/>
        <family val="2"/>
      </rPr>
      <t xml:space="preserve"> AAIM uses the redundancy of position estimates from multiple sensors, including GNSS, to provide integrity performance that is at least equivalent to RAIM. These airborne augmentations must be certified in accordance with TSO C115b, JTSO C115b or other equivalent documents. An example of this is the use of an inertial navigation system or other navigation sensors as an integrity check on GNSS data when RAIM is unavailable but GNSS positioning information continues to be valid. In this case, the Inertial Navigation System (INS) or Inertial Reference Unit (IRU) must be approved in accordance with FAA Part 121 Appendix G.
Additional IRU airworthiness information can be found in Appendix 1 of FAA Order 8400.33.</t>
    </r>
  </si>
  <si>
    <t>Functionality and Terms</t>
  </si>
  <si>
    <r>
      <rPr>
        <b/>
        <sz val="11"/>
        <rFont val="Calibri"/>
        <family val="2"/>
      </rPr>
      <t>Track to fix (TF);</t>
    </r>
    <r>
      <rPr>
        <sz val="11"/>
        <rFont val="Calibri"/>
        <family val="2"/>
      </rPr>
      <t xml:space="preserve">
The TF leg is a geodesic path between two fixes. The first fix is either the previous leg termination or an IF leg. The termination fix is normally provided by the navigation database, but may also be a user-defined fix</t>
    </r>
  </si>
  <si>
    <r>
      <rPr>
        <b/>
        <sz val="11"/>
        <rFont val="Calibri"/>
        <family val="2"/>
      </rPr>
      <t>Direct to fix (DF);</t>
    </r>
    <r>
      <rPr>
        <sz val="11"/>
        <rFont val="Calibri"/>
        <family val="2"/>
      </rPr>
      <t xml:space="preserve">
The DF leg is a geodesic path starting near the area of initiation and terminating at a fix.</t>
    </r>
  </si>
  <si>
    <r>
      <rPr>
        <b/>
        <sz val="11"/>
        <rFont val="Calibri"/>
        <family val="2"/>
      </rPr>
      <t>Direct -to function;</t>
    </r>
    <r>
      <rPr>
        <sz val="11"/>
        <rFont val="Calibri"/>
        <family val="2"/>
      </rPr>
      <t xml:space="preserve">
The ‘Direct-To’ function must be able to be activated at any time by the flight crew, when required. The ‘Direct-To’ function must be available to any fix. The system must be capable of generating a geodesic path to the designated ‘To’ fix. The aircraft must capture this path without ‘S-turning’ and without undue delay</t>
    </r>
  </si>
  <si>
    <r>
      <rPr>
        <b/>
        <sz val="11"/>
        <rFont val="Calibri"/>
        <family val="2"/>
      </rPr>
      <t>Course to fix (CF);</t>
    </r>
    <r>
      <rPr>
        <sz val="11"/>
        <rFont val="Calibri"/>
        <family val="2"/>
      </rPr>
      <t xml:space="preserve">
The CF leg is a geodesic path terminating at a fix with a specified course at that fix. The inbound course at the termination fix and the fix are provided by the navigation database. If the inbound course is defined as a magnetic course, the source of the magnetic variation needed to convert magnetic courses to true courses is required.</t>
    </r>
  </si>
  <si>
    <r>
      <rPr>
        <b/>
        <sz val="11"/>
        <rFont val="Calibri"/>
        <family val="2"/>
      </rPr>
      <t>Fly-by transition criteria;</t>
    </r>
    <r>
      <rPr>
        <sz val="11"/>
        <rFont val="Calibri"/>
        <family val="2"/>
      </rPr>
      <t xml:space="preserve">
The navigation system must be capable of accomplishing fly-by transitions. No predictable and repeatable path is specified, because the optimum path varies with airspeed and bank angle. However, predictable and repeatable boundaries of the transition area are defined. Path Definition Error (PDE) is defined as the difference between the defined path and the theoretical transition area. If the path lies within the transition area, there is no PDE. Fly-by transitions must be the default transition when the transition type is not specified. The theoretical transition area requirements are applicable for the following assumptions:
(a) course changes do not exceed 120 degrees for low altitude transitions (referred as when the aircraft barometric altitude is less than FL 195);
(b) course changes do not exceed 70 degrees for high altitude transitions (referred as when the aircraft barometric altitude is equal to or greater than FL 195).</t>
    </r>
  </si>
  <si>
    <r>
      <rPr>
        <b/>
        <sz val="11"/>
        <rFont val="Calibri"/>
        <family val="2"/>
      </rPr>
      <t>User interface displays;</t>
    </r>
    <r>
      <rPr>
        <sz val="11"/>
        <rFont val="Calibri"/>
        <family val="2"/>
      </rPr>
      <t xml:space="preserve">
General user interface display features must provide for presentation of information, provide situational awareness and be designed and implemented to accommodate human factors considerations. Essential design considerations include:
</t>
    </r>
  </si>
  <si>
    <r>
      <rPr>
        <b/>
        <u/>
        <sz val="11"/>
        <rFont val="Calibri"/>
        <family val="2"/>
      </rPr>
      <t>Display and Control design</t>
    </r>
    <r>
      <rPr>
        <sz val="11"/>
        <rFont val="Calibri"/>
        <family val="2"/>
      </rPr>
      <t xml:space="preserve">
All displays and controls must be arranged to facilitate flight crew accessibility and usage. Controls that are normally adjusted in flight must be readily accessible with standardized labelling as to their function. System controls and displays must be designed to maximize operational suitability and minimize pilot workload. Controls intended for use during flight must be designed to minimize errors, and when operated in all possible combinations and sequences, must not result in a condition whose presence or continuation would be detrimental to the continued performance of the system. System controls must be arranged to provide adequate protection against inadvertent system shutdown.</t>
    </r>
  </si>
  <si>
    <r>
      <rPr>
        <b/>
        <u/>
        <sz val="11"/>
        <rFont val="Calibri"/>
        <family val="2"/>
      </rPr>
      <t>Display Element Visibility</t>
    </r>
    <r>
      <rPr>
        <sz val="11"/>
        <rFont val="Calibri"/>
        <family val="2"/>
      </rPr>
      <t xml:space="preserve">
Each display element used as a primary flight instrument in the guidance and control of the aircraft, for manoeuvre anticipation, or for failure/status/integrity annunciation, must be located where it is clearly visible to the pilot (in the pilot’s primary field of view). There should be the least practicable deviation from the pilot’s normal position and line of vision when looking forward along the flight path. For those aircraft meeting the requirements of FAR/JAR 25, it is intended that provisions of certification documents such as AC 25-11, AMJ 25-11 and other applicable documents should be satisfied. All system displays, controls and annunciations must be readable under normal cockpit conditions and expected ambient light conditions. Night lighting provisions must be compatible with other cockpit lighting.</t>
    </r>
  </si>
  <si>
    <r>
      <rPr>
        <b/>
        <sz val="11"/>
        <color rgb="FF000000"/>
        <rFont val="Calibri"/>
        <family val="2"/>
      </rPr>
      <t>GNSS Incorporation</t>
    </r>
    <r>
      <rPr>
        <sz val="11"/>
        <color rgb="FF000000"/>
        <rFont val="Calibri"/>
        <family val="2"/>
      </rPr>
      <t xml:space="preserve">
For aircraft incorporating GNSS, FAA Advisory Circular (AC) 20-138A, or equivalent documents, provide an acceptable means of complying with installation requirements for aircraft that use but do not integrate the GNSS output with that of other sensors. FAA AC 20-130A describes an acceptable means of compliance for multi-sensor navigation systems that incorporate GNSS (see also Group Eligibility below)</t>
    </r>
  </si>
  <si>
    <r>
      <rPr>
        <b/>
        <u/>
        <sz val="11"/>
        <rFont val="Calibri"/>
        <family val="2"/>
      </rPr>
      <t>Flight planning path selection;</t>
    </r>
    <r>
      <rPr>
        <sz val="11"/>
        <rFont val="Calibri"/>
        <family val="2"/>
      </rPr>
      <t xml:space="preserve">
The navigation system must provide the capability for the crew to create, review and activate a flight plan. The system must provide the capability for modification (for example, deletion and addition of fixes and creation of along-track fixes), review and user acceptance of changes to the flight plans. When this capability is exercised, guidance outputs must not be affected until modification(s) is/are activated. Activation of any flight plan modification must require positive action by the flight crew after input and verification by the flight crew.</t>
    </r>
  </si>
  <si>
    <r>
      <rPr>
        <b/>
        <sz val="11"/>
        <color rgb="FF000000"/>
        <rFont val="Calibri"/>
        <family val="2"/>
      </rPr>
      <t>Navigation Accuracy</t>
    </r>
    <r>
      <rPr>
        <sz val="11"/>
        <color rgb="FF000000"/>
        <rFont val="Calibri"/>
        <family val="2"/>
      </rPr>
      <t xml:space="preserve">
For RNP 4 operations, an aircraft must have a cross-track and along-track Total System Error (TSE) of no greater than ±7.4km (4 NM) for 95 per cent of the flight time. </t>
    </r>
  </si>
  <si>
    <r>
      <rPr>
        <b/>
        <sz val="11"/>
        <rFont val="Calibri"/>
        <family val="2"/>
      </rPr>
      <t xml:space="preserve">(a) display of navigation data;
</t>
    </r>
    <r>
      <rPr>
        <sz val="11"/>
        <rFont val="Calibri"/>
        <family val="2"/>
      </rPr>
      <t>The display of navigation data must use either be:</t>
    </r>
  </si>
  <si>
    <r>
      <rPr>
        <b/>
        <sz val="11"/>
        <rFont val="Calibri"/>
        <family val="2"/>
      </rPr>
      <t xml:space="preserve">Display Functionality;
</t>
    </r>
    <r>
      <rPr>
        <sz val="11"/>
        <rFont val="Calibri"/>
        <family val="2"/>
      </rPr>
      <t>The display of navigation data must meet the following requirements:</t>
    </r>
  </si>
  <si>
    <t xml:space="preserve">
Mandatory Functionalities
</t>
  </si>
  <si>
    <t xml:space="preserve">Compliance Requirements - Flight Training </t>
  </si>
  <si>
    <t>Compliance Requirements - Summary</t>
  </si>
  <si>
    <t>Compliance Requirements - Aircraft Eligibility / Initial Airworthiness</t>
  </si>
  <si>
    <t xml:space="preserve">Compliance Requirements - Continuing Airworthiness </t>
  </si>
  <si>
    <t>Compliance Requirements - Continuing Airworthiness</t>
  </si>
  <si>
    <t>Compliance Requirements - Flight Operations</t>
  </si>
  <si>
    <t>Compliance Requirements - Flight Training</t>
  </si>
  <si>
    <r>
      <rPr>
        <b/>
        <sz val="11"/>
        <color rgb="FF000000"/>
        <rFont val="Calibri"/>
        <family val="2"/>
      </rPr>
      <t>Minimum equipment list (MEL)</t>
    </r>
    <r>
      <rPr>
        <sz val="11"/>
        <color rgb="FF000000"/>
        <rFont val="Calibri"/>
        <family val="2"/>
      </rPr>
      <t xml:space="preserve">
The applicable extracts from the Operator’s Minimum Equipment List (Airworthiness items) and/or applicable Flying Orders or other instructions that demonstrate it identifies;
(1) any unserviceability that affects the conduct of any PBN operation
(2) the systems that GNSS interfaces with, so that in the event of GNSS being inoperative, the full impact of the failure can be readily determined
The rationale for selection of these specific MEL items as having an impact on safe PBN operations should be addressed and any associated hazard/risk assessments attached.</t>
    </r>
  </si>
  <si>
    <r>
      <rPr>
        <b/>
        <sz val="11"/>
        <rFont val="Calibri"/>
        <family val="2"/>
      </rPr>
      <t>Navigation Database</t>
    </r>
    <r>
      <rPr>
        <sz val="11"/>
        <rFont val="Calibri"/>
        <family val="2"/>
      </rPr>
      <t xml:space="preserve">
A detailed description of the method used to ensure the validity of the airborne navigation database. This should address the validation of data provided by an external agency and/or internal control and verification procedures should any internal changes to the supplied data be made. Note: this should encompass all digital navigation data (including map and chart data) coverage, acquisition, manipulation and management to encompass areas of Defence aircraft operations</t>
    </r>
  </si>
  <si>
    <t xml:space="preserve">Training Topics - Summary
</t>
  </si>
  <si>
    <t>(b) A detailed description of the management and training of mission planning specialists for aircraft specific mission planning systems</t>
  </si>
  <si>
    <t>(c) Copies of relevant training syllabi, examinations and/or tests of proficiency</t>
  </si>
  <si>
    <t xml:space="preserve">Provided Documentation
</t>
  </si>
  <si>
    <t xml:space="preserve">
Operational Requirements — Flight Planning – General
</t>
  </si>
  <si>
    <t xml:space="preserve">
Operational Requirements — Documentation Required
</t>
  </si>
  <si>
    <t xml:space="preserve">(i) the operations manual;
</t>
  </si>
  <si>
    <t xml:space="preserve">(iv) the QRH;
</t>
  </si>
  <si>
    <t xml:space="preserve">(ii) the checklists;
</t>
  </si>
  <si>
    <t xml:space="preserve">(iii) the contingency procedures;
</t>
  </si>
  <si>
    <t xml:space="preserve">(h) any aircraft and operational limitations
</t>
  </si>
  <si>
    <t xml:space="preserve">(i) management of Electronic Flight Bags (EFB)
</t>
  </si>
  <si>
    <r>
      <rPr>
        <b/>
        <sz val="11"/>
        <rFont val="Calibri"/>
        <family val="2"/>
      </rPr>
      <t>PBN operational procedures, including normal and emergency, published in OIP</t>
    </r>
    <r>
      <rPr>
        <sz val="11"/>
        <rFont val="Calibri"/>
        <family val="2"/>
      </rPr>
      <t xml:space="preserve">
These procedures shall include flight planning, pre-flight, inflight and post-flight.  These procedures should be documented by relevant copies of, or extracts from, the following:</t>
    </r>
  </si>
  <si>
    <r>
      <t xml:space="preserve">General
</t>
    </r>
    <r>
      <rPr>
        <sz val="11"/>
        <rFont val="Calibri"/>
        <family val="2"/>
      </rPr>
      <t xml:space="preserve">A detailed description of the maintenance program used to ensure the continuing airworthiness of the aircraft for the requested operations is included. This requirement need only address those circumstances where additional PBN specific maintenance is required, including a reliability program for monitoring the equipment. </t>
    </r>
  </si>
  <si>
    <r>
      <t xml:space="preserve">
Mandatory Functionalities (From ICAO PBN Manual)
</t>
    </r>
    <r>
      <rPr>
        <sz val="11"/>
        <rFont val="Calibri"/>
        <family val="2"/>
      </rPr>
      <t>Navigation data, including a failure indicator, must be displayed on a lateral deviation display (CDI, (E)HSI)) and/or a navigation map display. These must be used as primary flight instruments for the navigation of the aircraft, for manoeuvre anticipation and for failure/status/integrity indication.</t>
    </r>
    <r>
      <rPr>
        <b/>
        <sz val="11"/>
        <rFont val="Calibri"/>
        <family val="2"/>
      </rPr>
      <t xml:space="preserve">
</t>
    </r>
  </si>
  <si>
    <t>Miscellaneous</t>
  </si>
  <si>
    <t>A RNP - Compliance Requirements - Summary Section</t>
  </si>
  <si>
    <t>Ref</t>
  </si>
  <si>
    <t xml:space="preserve">Enough information to show that the equipment mentioned above meets the requirements of ICAO Doc. 9574‑AN/934; and
</t>
  </si>
  <si>
    <t xml:space="preserve">(d) adherence to acceptable maintenance practices; and
</t>
  </si>
  <si>
    <t xml:space="preserve">(a) definition of required test equipment accuracy;
</t>
  </si>
  <si>
    <t>(g) to  ensure  the  proper  maintenance  of  airframe  geometry  for  proper  surface  contours  and the  mitigation  of  altimetry system error, surface measurements or skin waviness checks should  be  made  if  needed  to  ensure  adherence  to  the  airframe  manufacturer's  RVSM tolerances. These  tests  and  inspections  should  be  performed  as  established  by  the airframe  manufacturer. These  checks  should  also  be  performed  following  repairs,  or alterations having an effect of airframe surface and airflow;</t>
  </si>
  <si>
    <t>(f) airframe  and  static  systems  should  be  maintained  in  accordance  with  the  airframe manufacturers inspection standards and procedures;</t>
  </si>
  <si>
    <r>
      <rPr>
        <u/>
        <sz val="11"/>
        <rFont val="Calibri"/>
        <family val="2"/>
      </rPr>
      <t>Pre-Flight Procedures</t>
    </r>
    <r>
      <rPr>
        <sz val="11"/>
        <rFont val="Calibri"/>
        <family val="2"/>
      </rPr>
      <t xml:space="preserve">
The following actions should be carried out during the pre-flight procedure:
</t>
    </r>
  </si>
  <si>
    <t xml:space="preserve">(a) review  technical  logs  and  forms  to  determine the  condition  of  equipment  required  for flight  in  RVSM  airspace. Ensure  that  maintenance  action  has  been  taken  to  correct defects to required equipment;
</t>
  </si>
  <si>
    <t xml:space="preserve">(j) if  the  pilot  is  notified  by  ATC  of  an  assigned  altitude  deviation  which  exceeds  ±300  ft (±90 m) then the pilot should take action to return to the cleared Flight Level as quickly as possible.
</t>
  </si>
  <si>
    <t xml:space="preserve">(i) if  the  pilot  is  advised  in  real  time  that  the  aircraft  has  been  identified  by a  height-monitoring  system  as  exhibiting  a  TVE  greater  than  ±300  ft  (±  90  m)  and/or  an  ASE greater than ±245 ft (±75 m) then the pilot should follow established regional procedures to protect the safe operation of the aircraft. This assumes that the monitoring system will identify the TVE or ASE within the set limits for accuracy; and
</t>
  </si>
  <si>
    <t xml:space="preserve">(h) in  normal  operations,  the  altimetry  system  being  used  to  control  the  aircraft  should  be selected  for  the  input  to  the  altitude  reporting  transponder  transmitting  information  to ATC;
</t>
  </si>
  <si>
    <r>
      <rPr>
        <u/>
        <sz val="11"/>
        <rFont val="Calibri"/>
        <family val="2"/>
      </rPr>
      <t>Contingency Procedures after entry</t>
    </r>
    <r>
      <rPr>
        <sz val="11"/>
        <rFont val="Calibri"/>
        <family val="2"/>
      </rPr>
      <t xml:space="preserve">
The  pilot  should  notify  ATC  of  contingencies  (equipment  failures,  weather)  which  affect  the ability  to  maintain  the  cleared  Flight  Level  and  co-ordinate  a  plan  of  action  appropriate  to  the airspace concerned.
Examples of equipment failures which should be notified to ATC are:
(a) failure of all automatic altitude-control systems aboard the aircraft;
(b) loss of redundancy of altimetry systems;
(c) loss of thrust on an engine necessitating descent; or
(d) any other equipment failure affecting the ability to maintain cleared Flight Level.
The pilot should notify ATC when encountering greater than moderate turbulence.
If  unable  to  notify  ATC  and  obtain  an  ATC  clearance  prior  to  deviating  from  the  cleared  Flight Level, the pilot should follow any established contingency procedures and obtain ATC clearance as soon as possible.
</t>
    </r>
  </si>
  <si>
    <t xml:space="preserve">(b) emphasis  should  be  placed  on  promptly  setting  the  sub-scale  on  all  primary  and standby  altimeters  to  1013.25  hPa  (29.92  in.Hg)  when  passing  the  transition altitude,  and  rechecking  for  proper  altimeter  setting  when  reaching  the  initial cleared Flight Level;
</t>
  </si>
  <si>
    <t xml:space="preserve">(c) in  level  cruise  it  is  essential  that  the  aircraft  is  flown  at  the  cleared  Flight  Level. This requires that particular care is taken to ensure that ATC clearances are fully understood and  followed. The  aircraft  should  not  intentionally  depart  from  cleared  Flight  Level without  a  positive  clearance  from  ATC  unless  the  crew  are  conducting  contingency  or emergency manoeuvres;
</t>
  </si>
  <si>
    <t xml:space="preserve">(e) an  automatic  altitude-control  system  should  be  operative  and  engaged  during  level cruise,  except  when circumstances such as the need to re-trim the aircraft or turbulence require   disengagement. In   any   event,   adherence   to   cruise   altitude   should   be accomplished  by  reference  to  one  of  the  two  primary  altimeters. Following  loss  of  the automatic  height  keeping  function,  any  consequential  restrictions  will  need  to  be observed;
</t>
  </si>
  <si>
    <t xml:space="preserve">Compliance with the Australian Airspace Monitoring Agency (AAMA) RVSM Minimum Monitoring Requirements – Military 
http://mirror.airservicesaustralia.com/wp-content/uploads/RVSM-MINIMUM-MONITORING-REQUIREMENTS-15-June-2018_Military.pdf
</t>
  </si>
  <si>
    <t xml:space="preserve">(c) regular audits of calibration facilities both in-house and outside;
</t>
  </si>
  <si>
    <t xml:space="preserve">(e) procedures  for  controlling  operator  errors  and  unusual  environmental  conditions  which may affect calibration accuracy.
</t>
  </si>
  <si>
    <r>
      <rPr>
        <b/>
        <u/>
        <sz val="11"/>
        <rFont val="Calibri"/>
        <family val="2"/>
      </rPr>
      <t>Maintenance training requirements</t>
    </r>
    <r>
      <rPr>
        <sz val="11"/>
        <rFont val="Calibri"/>
        <family val="2"/>
      </rPr>
      <t xml:space="preserve">
New training requirements will be introduced by the RVSM approvals processes. Areas that may need to be highlighted for initial and recurrent training maintenance personnel are:
(a) aircraft geometric inspection techniques;
(b) test equipment calibration/usage techniques; and
(c) any special documentation or procedures introduced by RVSM approval.
</t>
    </r>
  </si>
  <si>
    <t xml:space="preserve">(b) Each  operator  should  demonstrate  that  adequate  maintenance  facilities  are  available  to  ensure continued compliance with the RVSM maintenance requirements.
</t>
  </si>
  <si>
    <t xml:space="preserve">(i) where  the  performance  of  existing  equipment  is  demonstrated  as  being  satisfactory  for RVSM  approval,  it  should  be  verified  that  the  existing  maintenance  practices  are  also consistent with continued RVSM approval integrity. Examples of these are:
(i)altitude alert;
(ii)automatic altitude control system;(iii)ATC altitude reporting equipment; and
(iv)altimetry systems.
</t>
  </si>
  <si>
    <t xml:space="preserve">Enough information to show that the aircraft is of a type that meets the requirements of ICAO Doc. 9574‑AN/934.
</t>
  </si>
  <si>
    <t xml:space="preserve">(a) 2 independent altitude measurement systems;
(b) a secondary surveillance radar transponder that has an altitude‑reporting system that can be switched to operate from either of the altitude measurement systems;
(c) an altitude alert system;
(d)  an automatic altitude control system; and
Note: Refer CAAP 181A-1(2) 9 for further explanation of requirements
</t>
  </si>
  <si>
    <t xml:space="preserve">(d) before take-off, equipment required for flight in RVSM airspace should be operative and any indications of malfunction should be resolved.
</t>
  </si>
  <si>
    <t xml:space="preserve">(g) any airframe operating restrictions, if required for a specific aircraft group, related to an RVSM airworthiness approval.
</t>
  </si>
  <si>
    <t xml:space="preserve">Training programs should address the operational procedures described above
</t>
  </si>
  <si>
    <t>(a) the sequential method is a data collection program meeting the provisions of Appendix 1 to CASA AC 91.U-02(). This method allows the operator to collect data and plot it against the ‘Pass-Fail’ graphs to determine if the operator’s aircraft system with meet the RNP 10 requirements for the length of time needed by the operator; or</t>
  </si>
  <si>
    <t xml:space="preserve">Specifically, The following training topics must be addressed.
</t>
  </si>
  <si>
    <t>Linked Documents / Reference</t>
  </si>
  <si>
    <t>Yes</t>
  </si>
  <si>
    <t>No</t>
  </si>
  <si>
    <t>Group 1</t>
  </si>
  <si>
    <t>Group 2</t>
  </si>
  <si>
    <t>Summary - Group 2</t>
  </si>
  <si>
    <t>System design requires this assessment</t>
  </si>
  <si>
    <t>Summary - Training</t>
  </si>
  <si>
    <t>Summary - Continuing Airworthiness</t>
  </si>
  <si>
    <t>RNP-APCH - APCH Types Sought</t>
  </si>
  <si>
    <t>RNP-APCH -Approval based upon Other Authorisations</t>
  </si>
  <si>
    <t>RNP APCH - Associated Approvals Sought</t>
  </si>
  <si>
    <t>RNP APCH - Compliance Requirements - Aircraft Eligibility / Initial Airworthiness</t>
  </si>
  <si>
    <t>RNP APCH - Compliance Requirements - Additional APCH System Functionality Required</t>
  </si>
  <si>
    <t xml:space="preserve">RNP APCH - Compliance Requirements - Flight Operations </t>
  </si>
  <si>
    <t>RNP APCH - Compliance Requirements - Flight Training</t>
  </si>
  <si>
    <r>
      <rPr>
        <u/>
        <sz val="11"/>
        <rFont val="Calibri"/>
        <family val="2"/>
      </rPr>
      <t>Operational Training programs and Operating practices and procedures</t>
    </r>
    <r>
      <rPr>
        <sz val="11"/>
        <rFont val="Calibri"/>
        <family val="2"/>
      </rPr>
      <t xml:space="preserve">
Submit training syllabi and an example of one training program to show that the operational practices and procedures and training items related to RNAV/RNP operations have been incorporated in the relevant training programs (e.g. initial, upgrade, recurrent). </t>
    </r>
  </si>
  <si>
    <t xml:space="preserve">AOC holders must ensure that flight crews have been trained to ensure that crews are knowledgeable of the topics listed below, the limits of their RNP navigation capabilities, the effects of updating navigation systems, and RNP contingency procedures.
</t>
  </si>
  <si>
    <t>Initial Compliance Self 
Assessment - MAO</t>
  </si>
  <si>
    <t>Group Requirement or Data Collection</t>
  </si>
  <si>
    <t>Group - Data Collection Method</t>
  </si>
  <si>
    <t>Provision of time limit</t>
  </si>
  <si>
    <t>Baseline Time Limit Extension</t>
  </si>
  <si>
    <r>
      <rPr>
        <u/>
        <sz val="11"/>
        <rFont val="Calibri"/>
        <family val="2"/>
      </rPr>
      <t>Pre-Flight Procedures</t>
    </r>
    <r>
      <rPr>
        <sz val="11"/>
        <rFont val="Calibri"/>
        <family val="2"/>
      </rPr>
      <t xml:space="preserve">
The following actions should be carried out during the pre-flight procedure:</t>
    </r>
  </si>
  <si>
    <t>Updated Explanatory Notes - MAO</t>
  </si>
  <si>
    <t>Revised/Updated Status - MAO</t>
  </si>
  <si>
    <t>(a) automatic updating using DME/DME = Baseline minus 0.3 hours (e.g. an aircraft that has been approved for 6.2 hours can gain 5.9 hours following an automatic DME/DME update);</t>
  </si>
  <si>
    <t xml:space="preserve">Contingency procedures for RNAV/RNP failures.
 </t>
  </si>
  <si>
    <t xml:space="preserve">The method used to ensure the validity of the airborne navigation database. </t>
  </si>
  <si>
    <t>Not Required/Applicable</t>
  </si>
  <si>
    <r>
      <rPr>
        <b/>
        <u/>
        <sz val="11"/>
        <rFont val="Calibri"/>
        <family val="2"/>
      </rPr>
      <t>Maintenance practice</t>
    </r>
    <r>
      <rPr>
        <sz val="11"/>
        <rFont val="Calibri"/>
        <family val="2"/>
      </rPr>
      <t xml:space="preserve">
If  the  operator  is  subject  to  an  ongoing  approved  maintenance  program,  that  program  should contain the   maintenance   practices   outlined   in   the   applicable   aircraft   and   component manufacturers  maintenance  manuals  for  each  aircraft  type. The  following  items  should  be reviewed  for  compliance  and  if  the  operator  is  not  subject  to  an  approved maintenance program the following items should be followed:</t>
    </r>
  </si>
  <si>
    <t>Summary - Training Topics</t>
  </si>
  <si>
    <t xml:space="preserve"> Recommended Actions/ Comments - DASA</t>
  </si>
  <si>
    <t>Recommended Actions/ Comments - DASA</t>
  </si>
  <si>
    <t>Recommended Actions/Comments - DASA</t>
  </si>
  <si>
    <t xml:space="preserve">An aircraft is eligible for RNP 4 operations if  the following requirements are met
</t>
  </si>
  <si>
    <t>Group 3</t>
  </si>
  <si>
    <t xml:space="preserve">Technical Requirements
</t>
  </si>
  <si>
    <t xml:space="preserve">Aircraft Eligibility by Group - Summary OR
Aircraft Eligibility by Functionality
(Only one Group or Functionality requirement to be met)
</t>
  </si>
  <si>
    <t xml:space="preserve">Group 4 </t>
  </si>
  <si>
    <t xml:space="preserve">This group is provided if certification against baseline technical requirements is necessary
</t>
  </si>
  <si>
    <t xml:space="preserve">Flight Operations
</t>
  </si>
  <si>
    <t>Flight Operations - Compliance Summary</t>
  </si>
  <si>
    <t xml:space="preserve">Continuing Airworthiness - Compliance Summary
</t>
  </si>
  <si>
    <t>Summary - Flight Procedures</t>
  </si>
  <si>
    <t>Summary - GNSS Data Integration</t>
  </si>
  <si>
    <t>Summary - From Below</t>
  </si>
  <si>
    <t>Documentation / Systems Fit</t>
  </si>
  <si>
    <t>Summary - Aircraft Eligibility/Initial Airworthiness</t>
  </si>
  <si>
    <t xml:space="preserve">Compliance Assessment - MAO </t>
  </si>
  <si>
    <t xml:space="preserve">Compliance Self Assessment - MAO </t>
  </si>
  <si>
    <t>Compliance Self Assessment - MAO</t>
  </si>
  <si>
    <t>NAT HLA MNPS - Compliance Requirements - Summary Section</t>
  </si>
  <si>
    <t>Operating Practices and Procedures</t>
  </si>
  <si>
    <t xml:space="preserve">Knowledge on the required navigation equipment in order to conduct various RNAV and RNP operations including: 
GPS concepts and characteristics 
Augmented GNSS characteristics 
Minimum Equipment List provisions. </t>
  </si>
  <si>
    <t>RNP 2 - Compliance Requirements - Summary Section</t>
  </si>
  <si>
    <r>
      <rPr>
        <b/>
        <sz val="11"/>
        <color rgb="FF000000"/>
        <rFont val="Calibri"/>
        <family val="2"/>
      </rPr>
      <t>Minimum equipment list (MEL)</t>
    </r>
    <r>
      <rPr>
        <sz val="11"/>
        <color rgb="FF000000"/>
        <rFont val="Calibri"/>
        <family val="2"/>
      </rPr>
      <t xml:space="preserve">
Any MEL revisions necessary to address RNP 2 provisions of the guidance material must be approved </t>
    </r>
  </si>
  <si>
    <t xml:space="preserve">Operators/owners must ensure that flight crews have been trained and understand this AC, the limits of their aircraft’s RNP2  navigation capabilities, the effects of updating, and RNP 2 contingency procedures.
</t>
  </si>
  <si>
    <t>Alternative Aircraft Eligibility Compliance Requirements - Functional and Performance Specifications - Only complete if TSO Compliance above is not met - The MAO should meet with DASA DeskO before completing</t>
  </si>
  <si>
    <r>
      <t xml:space="preserve">General
</t>
    </r>
    <r>
      <rPr>
        <sz val="11"/>
        <rFont val="Calibri"/>
        <family val="2"/>
      </rPr>
      <t xml:space="preserve">All operators/owners must include in their RNP 2 application their maintenance program, including a reliability program for
monitoring the equipment. </t>
    </r>
  </si>
  <si>
    <r>
      <t xml:space="preserve">General
</t>
    </r>
    <r>
      <rPr>
        <sz val="11"/>
        <rFont val="Calibri"/>
        <family val="2"/>
      </rPr>
      <t xml:space="preserve">All operators/owners must include in their RNP 1 application their maintenance program, including a reliability program for
monitoring the equipment. </t>
    </r>
  </si>
  <si>
    <r>
      <rPr>
        <b/>
        <sz val="11"/>
        <rFont val="Calibri"/>
        <family val="2"/>
      </rPr>
      <t>Navigation Database</t>
    </r>
    <r>
      <rPr>
        <sz val="11"/>
        <rFont val="Calibri"/>
        <family val="2"/>
      </rPr>
      <t xml:space="preserve">
The standards for navigation databases are contained in RTCA DO-200A and EUROCAE DO-76. Not all current suppliers of navigation databases meet these standards. The navigation database should be obtained from an approved supplier. If it isn’t then the operator, as a minimum, must implement navigation database integrity checks using appropriate software tools or approved manual procedures to verify data relating to all waypoints in the subject RNP 1 airspace or routes. These integrity checks must be performed in addition to any checks previously performed by the Aeronautical Information Services (AIS), by unapproved navigation database suppliers, or by navigation equipment manufacturers.
The integrity checks need to identify any discrepancies between the navigation database and the published charts/procedures. An approved third party may perform integrity checks. Discrepancies that invalidate a procedure must be reported to the navigation database supplier and affected procedures must be prohibited by an operator’s notice to its flight crew. Aircraft operators should consider the need to continue their own database checks even for products obtained from approved suppliers.</t>
    </r>
  </si>
  <si>
    <r>
      <rPr>
        <b/>
        <sz val="11"/>
        <color rgb="FF000000"/>
        <rFont val="Calibri"/>
        <family val="2"/>
      </rPr>
      <t>Minimum equipment list (MEL)</t>
    </r>
    <r>
      <rPr>
        <sz val="11"/>
        <color rgb="FF000000"/>
        <rFont val="Calibri"/>
        <family val="2"/>
      </rPr>
      <t xml:space="preserve">
Any MEL revisions necessary to address RNP 1 provisions of the guidance material must be approved </t>
    </r>
  </si>
  <si>
    <r>
      <t xml:space="preserve">General
</t>
    </r>
    <r>
      <rPr>
        <sz val="11"/>
        <rFont val="Calibri"/>
        <family val="2"/>
      </rPr>
      <t xml:space="preserve">All operators/owners must include in their associated RNP application their maintenance program, including a reliability program for
monitoring the equipment. </t>
    </r>
  </si>
  <si>
    <r>
      <rPr>
        <b/>
        <sz val="11"/>
        <color rgb="FF000000"/>
        <rFont val="Calibri"/>
        <family val="2"/>
      </rPr>
      <t>Minimum equipment list (MEL)</t>
    </r>
    <r>
      <rPr>
        <sz val="11"/>
        <color rgb="FF000000"/>
        <rFont val="Calibri"/>
        <family val="2"/>
      </rPr>
      <t xml:space="preserve">
Any MEL revisions necessary to address the associated RNP provisions of the guidance material must be approved </t>
    </r>
  </si>
  <si>
    <t>RF Legs - Compliance Requirements - Summary Section</t>
  </si>
  <si>
    <t>RNP-APCH - Compliance Requirements - Overview</t>
  </si>
  <si>
    <t>FRT - Compliance Requirements - Summary Section</t>
  </si>
  <si>
    <t>The standards for the conduct of TOAC operations are as follows</t>
  </si>
  <si>
    <t>Demonstration to DASA that the aircraft meets the requirements of TBA</t>
  </si>
  <si>
    <t>A TOAC operation may only be commenced if each member of the flight crew has knowledge of, and approved training in, how to safely conduct a TOAC operation, with particular reference to the following:</t>
  </si>
  <si>
    <t>Additional Training requirements specified: 
Note: Some of these may overlap with the specific topics listed above</t>
  </si>
  <si>
    <t xml:space="preserve">FRT system must have the following:
</t>
  </si>
  <si>
    <t>The system must be able to define transitions between flight path segments using a three-digit numeric value for the radius of turn (to 1 decimal place) in nautical miles,
e.g. 15.0, 22.5.</t>
  </si>
  <si>
    <t>Summary - Conduct of FRT</t>
  </si>
  <si>
    <t>Summary - FRT General</t>
  </si>
  <si>
    <t>Use of GNSS Based Area Navigation Systems - Compliance Requirements - Summary Section</t>
  </si>
  <si>
    <t>Specific and Generic  Baro-VNAV Topics</t>
  </si>
  <si>
    <t>(c) a demonstration to DASA that the VNAV TSE, including altimetry errors, is less than 75 m (246 ft) for a probability of 99.99%.
For the purposes of the demonstration of VNAV TSE, the analysis is to include all of the following:
(a) altimetry errors, including allowance for accuracy of reported barometric pressure (ATIS error);
(b) VNAV system error, including VPA resolution error;
(c) waypoint resolution error;
(d) FTE.</t>
  </si>
  <si>
    <r>
      <t xml:space="preserve">General
</t>
    </r>
    <r>
      <rPr>
        <sz val="11"/>
        <rFont val="Calibri"/>
        <family val="2"/>
      </rPr>
      <t xml:space="preserve">All operators/owners must include in their BARO-VNAV application their maintenance program, including a reliability program for monitoring the equipment. </t>
    </r>
  </si>
  <si>
    <r>
      <rPr>
        <b/>
        <sz val="11"/>
        <rFont val="Calibri"/>
        <family val="2"/>
      </rPr>
      <t>Navigation Database</t>
    </r>
    <r>
      <rPr>
        <sz val="11"/>
        <rFont val="Calibri"/>
        <family val="2"/>
      </rPr>
      <t xml:space="preserve">
The standards for navigation databases are contained in RTCA DO-200A and EUROCAE DO-76. Not all current suppliers of navigation databases meet these standards. The navigation database should be obtained from an approved supplier. If it isn’t then the operator, as a minimum, must implement navigation database integrity checks using appropriate software tools or approved manual procedures to verify data relating to all waypoints in the subject BARO-VNAV airspace or routes. These integrity checks must be performed in addition to any checks previously performed by the Aeronautical Information Services (AIS), by unapproved navigation database suppliers, or by navigation equipment manufacturers.
The integrity checks need to identify any discrepancies between the navigation database and the published charts/procedures. An approved third party may perform integrity checks. Discrepancies that invalidate a procedure must be reported to the navigation database supplier and affected procedures must be prohibited by an operator’s notice to its flight crew. Aircraft operators should consider the need to continue their own database checks even for products obtained from approved suppliers.</t>
    </r>
  </si>
  <si>
    <r>
      <rPr>
        <b/>
        <sz val="11"/>
        <color rgb="FF000000"/>
        <rFont val="Calibri"/>
        <family val="2"/>
      </rPr>
      <t>Minimum equipment list (MEL)</t>
    </r>
    <r>
      <rPr>
        <sz val="11"/>
        <color rgb="FF000000"/>
        <rFont val="Calibri"/>
        <family val="2"/>
      </rPr>
      <t xml:space="preserve">
Any MEL revisions necessary to address BARO-VNAV provisions of the guidance material must be approved </t>
    </r>
  </si>
  <si>
    <t>Many GNSS-based area navigation systems have been shown to be not capable of flying conventional terminal and approach procedures in Australia as published. Terminal and approach operations using GNSS based area navigation systems as substitute or alternate means of navigation are not permitted when the procedure includes either a “tear drop turn” or a “DME arc” unless approved in the AFM.
Note   Some departure procedures will also be difficult to fly using GNSS-based navigation systems as a substitute or alternate means of navigation, particularly when the first turn occurs at an altitude. Departures need to be carefully verified.</t>
  </si>
  <si>
    <t xml:space="preserve">a. For aircraft equipped with (E)TSO-C129 ( ) GNSS systems, the alternate aerodrome must have a non-GNSS approach procedure available and the aircraft must have the requisite equipment installed and operative. </t>
  </si>
  <si>
    <t>b. For aircraft equipped with (E)TSO-C145 ( ), (E)TSO-146 ( ) or (E)TSO 196 ( ) equipment, the approach procedures at an alternate aerodrome may be GNSS based.</t>
  </si>
  <si>
    <t>A prediction for GNSS integrity availability must be obtained where GNSS will be used as a substitute or alternate means of navigation.</t>
  </si>
  <si>
    <r>
      <rPr>
        <b/>
        <sz val="11"/>
        <rFont val="Calibri"/>
        <family val="2"/>
      </rPr>
      <t>Alternate Aerodrome Requirements</t>
    </r>
    <r>
      <rPr>
        <sz val="11"/>
        <rFont val="Calibri"/>
        <family val="2"/>
      </rPr>
      <t xml:space="preserve"> - 
Any required alternate aerodrome must have an available instrument approach procedure that meets the requirements depending upon the equipment installed in the aircraft. </t>
    </r>
  </si>
  <si>
    <t>Use of suitable GNSS-based area navigation systems not permitted</t>
  </si>
  <si>
    <t>An otherwise suitable GNSS-based area navigation system is not permitted to be used for</t>
  </si>
  <si>
    <t>5a</t>
  </si>
  <si>
    <t>5b</t>
  </si>
  <si>
    <t>NOTAMed procedures. Unless otherwise specified, navigation on procedures that are identified as not authorised without exception by a NOTAM. For example, an operator may not use a suitable GNSS based area navigation system to navigate on a procedure that is based on a recently decommissioned navigation aid</t>
  </si>
  <si>
    <t>Lateral navigation on LOC-based courses. Lateral navigation on LOC-based courses (including LOC back-course guidance) without reference to raw LOC data.</t>
  </si>
  <si>
    <t>Use of suitable GNSS-based area navigation systems</t>
  </si>
  <si>
    <t>a. determine the aircraft position relative to, or its distance from, a VOR, NDB, DME fix, a named fix defined by a VOR/DME location, VOR radial, or NDB bearing</t>
  </si>
  <si>
    <t>Operators may use suitable GNSS-based area navigation systems to 
Note: The operational uses of GNSS described below apply even when a navigation aid is identified as required on a procedure</t>
  </si>
  <si>
    <t>GNSS-based area navigation systems may be used as an alternate means of navigation without restriction providing the aircraft is fitted with the equipment for the underlying navigation aid, the system is operative and the ground-based navigation aid is operative.</t>
  </si>
  <si>
    <t>Contingencies</t>
  </si>
  <si>
    <t>6.5.4</t>
  </si>
  <si>
    <t>Use of an area navigation system as a substitute means of navigation may be applicable to normal in-flight use, to continuation of flight after failure, or to dispatch with inoperative conventional capability if consistent with the applicable MMEL for the aircraft type and an applicable DASA approved operator’s MEL</t>
  </si>
  <si>
    <t xml:space="preserve"> - General Operating Requirements
</t>
  </si>
  <si>
    <t>6.1.1</t>
  </si>
  <si>
    <t>6.1.2</t>
  </si>
  <si>
    <t>6.1.3</t>
  </si>
  <si>
    <t>Pilots must comply with the AFM, AFMS, operating manual, QRH or pilot’s guide when operating the aircraft navigation system.</t>
  </si>
  <si>
    <t>Pilots may not use the GNSS-based area navigation system as a substitute or alternate means of navigation if the aircraft has an AFM or AFMS with a limitation to monitor the underlying navigation aids for the associated operation.</t>
  </si>
  <si>
    <t>Pilots of aircraft with an AFM limitation that requires the aircraft to have other equipment appropriate to the route being flown may only use the area navigation system as a substitute means of navigation for out of service navigation aids, but not for inoperative or not installed equipment.</t>
  </si>
  <si>
    <t xml:space="preserve"> - Navigation database requirements
Pilots must ensure that the installed navigation database is</t>
  </si>
  <si>
    <t>6.2.1</t>
  </si>
  <si>
    <t>a. extract the routes or procedures from the on-board navigation database by name; or</t>
  </si>
  <si>
    <t>b. extract waypoints, navigation aids, and fixes by name from the on‑board navigation database</t>
  </si>
  <si>
    <t>c. and comply with the charted route or procedure. Heading-based legs associated with procedures may be flown using manual technique (based on indicated magnetic heading) or, if available, extracted from the aircraft database and flown using area navigation system guidance.</t>
  </si>
  <si>
    <t xml:space="preserve"> - Enroute and Terminal Operations
Pilots must</t>
  </si>
  <si>
    <t xml:space="preserve"> - Approach Procedures
Pilots must</t>
  </si>
  <si>
    <t>b. comply with the charted procedure. Heading-based legs associated with procedures may be flown using manual technique (based on indicated magnetic heading).</t>
  </si>
  <si>
    <t>a. extract the procedure from the on-board navigation database by name; and</t>
  </si>
  <si>
    <t>6.2.1 a</t>
  </si>
  <si>
    <t>6.2.1 b</t>
  </si>
  <si>
    <t>6.2.1 c</t>
  </si>
  <si>
    <t>6.2.2 a</t>
  </si>
  <si>
    <t>6.2.2 b</t>
  </si>
  <si>
    <t>6.2.2 c</t>
  </si>
  <si>
    <t>6.2.3 a</t>
  </si>
  <si>
    <t>6.2.3 b</t>
  </si>
  <si>
    <t xml:space="preserve"> - Procedure Validation
Procedures used with suitable GNSS-based area navigation systems, as either a substitute means of navigation or as an alternate means of navigation, must be verified for navigation data and operability using 1 of the following processes before being used</t>
  </si>
  <si>
    <t>6.3.1 a</t>
  </si>
  <si>
    <t>6.3.1 b</t>
  </si>
  <si>
    <t>a. on-going, system-wide checks of navigation data and operability</t>
  </si>
  <si>
    <t>b. as-needed, procedure specific checks of navigation data and operability</t>
  </si>
  <si>
    <t>These processes must ensure navigation data (e.g. waypoint names, waypoint sequence, distance between waypoints, heading/course/track information, and vertical path angles) used in airborne equipment conform to published information. The following methods to check the operability of procedure(s) are acceptable:</t>
  </si>
  <si>
    <t>6.3.2 a</t>
  </si>
  <si>
    <t>6.3.2 b</t>
  </si>
  <si>
    <t>6.3.2 c</t>
  </si>
  <si>
    <t>6.4.1</t>
  </si>
  <si>
    <t>Pilots may not manually enter published procedure or route waypoints via latitude/longitude, place/bearing, or place/bearing/distance into the aircraft navigation system.</t>
  </si>
  <si>
    <t>6.4.2</t>
  </si>
  <si>
    <t>Route centrelines must be maintained as close as practicable, as depicted by lateral deviation indicators or flight guidance systems during all operations described in this Appendix unless authorised to deviate by ATC or under emergency conditions.
Note 1   Brief deviations from the standard mentioned above are acceptable during and immediately after turns, but only to the minimal extent that accurate cross-track information may not be provided during the turn.
Note 2   Piloting standards usually require the aircraft to be flown to maintain lateral deviation not exceeding half the current accuracy requirement (RNP value) or half the lateral deviation scale. While this standard should be observed, pilots must also be aware that Navigation System Error + Flight Technical Error (lateral deviation) may not exceed the specified navigation accuracy. When carrying out approach operations, if the GNSS Horizontal Protection Limit (HPL) exceeds 0.15 NM, the allowable lateral deviation will be limited to less than the half scale value.</t>
  </si>
  <si>
    <t>6.4.3</t>
  </si>
  <si>
    <t>6.4.3 a</t>
  </si>
  <si>
    <t>6.4.3 b</t>
  </si>
  <si>
    <t>6.4.3 c</t>
  </si>
  <si>
    <r>
      <t>Note   </t>
    </r>
    <r>
      <rPr>
        <sz val="11"/>
        <color rgb="FF000000"/>
        <rFont val="Calibri"/>
        <family val="2"/>
      </rPr>
      <t>GNSS system as a substitute for VOR may not be approved within 8 NM of the VOR and within 4 NM from the NDB</t>
    </r>
  </si>
  <si>
    <t>6.4.4</t>
  </si>
  <si>
    <t>RAIM or other approved integrity monitor must be available during these operations</t>
  </si>
  <si>
    <t>6.5.1</t>
  </si>
  <si>
    <t xml:space="preserve"> - Equipment Requirements</t>
  </si>
  <si>
    <t>6.5.2</t>
  </si>
  <si>
    <t>must be equipped with at least 1 other independent navigation system in addition to the installed and operative GNSS-based area navigation system.</t>
  </si>
  <si>
    <t xml:space="preserve">This additional system must be suitable for the intended route so that, in the event of an area navigation system failing, the aircraft is capable of proceeding safely to an aerodrome and completing an instrument approach. </t>
  </si>
  <si>
    <t>6.5.2 a</t>
  </si>
  <si>
    <t>6.5.2 b</t>
  </si>
  <si>
    <t xml:space="preserve">6.5.3 </t>
  </si>
  <si>
    <t>a. for an aircraft equipped with (E)TSO- C145 ( ), (E)TSO-C146 ( ) or (E)TSO-C196 ( ) GNSS-based area navigation systems, an acceptable installation requires dual GNSS but no additional navigation equipment is required</t>
  </si>
  <si>
    <t>b. an aircraft equipped with (E)TSO-C129 GNSS-based area navigation systems requires operative VOR and/or ADF navigation equipment suitable for the intended en route, terminal, and approach operations, including any alternates.</t>
  </si>
  <si>
    <t>ADF equipment need not be installed and operative, although operators of aircraft without an ADF will be bound by the operational requirements defined in this Appendix and may not have access to some procedures (that is, there may be instances when some operations might not be conducted without ADF equipment).</t>
  </si>
  <si>
    <t>b. appropriate for the region of intended operation and includes the waypoints, navigation aids, and fixes for departure, arrival and alternate aerodromes</t>
  </si>
  <si>
    <t>Operation on NDB or VOR procedures requires navigation system accuracies of less than or equal to:</t>
  </si>
  <si>
    <t>Flight Planning Requirements</t>
  </si>
  <si>
    <t>Each display must be visible to the pilot and located in the primary field of view (±15 degrees from the pilot’s normal line of sight) when looking
forward along the flight path.</t>
  </si>
  <si>
    <t>The lateral deviation display scaling should agree with any implemented
alerting and annunciation limits.</t>
  </si>
  <si>
    <t>The lateral deviation display must also have a full‐scale deflection suitable
for the current phase of flight and must be based on the required track‐ keeping accuracy.</t>
  </si>
  <si>
    <t>The display scaling may be set:
a. automatically by default logic;
b. automatically to a value obtained from a navigation database; or
c. manually by pilot procedures.
Note: The full‐scale deflection value must be known or must be available for display to the pilot commensurate with the required track keeping accuracy.</t>
  </si>
  <si>
    <t>The capacity to load from the database into the RNP 1 system the entire segment of the SID or STAR to be flown.
Note: Due to variability in systems, this document defines the RNAV segment from the first occurrence of a named waypoint, track, or course to the last occurrence of a named waypoint, track, or course. Heading legs  prior to the first named waypoint or after the last named waypoint do not have to be loaded from the database. The entire SID will still be considered a RNP 1 procedure.</t>
  </si>
  <si>
    <t>The means to display the following items, either in the pilot’s primary field
of view, or on a readily accessible display:
1. the active navigation sensor type
2. the identification of the active (To) waypoint
3. the groundspeed or time to the active (To) waypoint
4. the distance and bearing to the active (To) waypoint.</t>
  </si>
  <si>
    <t>Summary - Lateral Deviation Display</t>
  </si>
  <si>
    <t xml:space="preserve">The lack of VOR and DME navigation aids across large parts of Australia means that the accuracy requirements for RNAV 5 will not be met for operations based on VOR/DME or DME/DME position estimation. For practical purposes, the unlimited use of RNAV 5 in Australia relies on the use of GNSS as the primary sensor. </t>
  </si>
  <si>
    <t>Summary - Required Cross-Checks</t>
  </si>
  <si>
    <t>Summary - System Initialisation</t>
  </si>
  <si>
    <t>Summary - Steps to verify waypoint sequence</t>
  </si>
  <si>
    <t>Summary - Not Occur</t>
  </si>
  <si>
    <t>Summary - Flight Plan Modification</t>
  </si>
  <si>
    <t>Fight Operations</t>
  </si>
  <si>
    <t>Summary - Documentation Required</t>
  </si>
  <si>
    <t>Summary - STAR Checked and Confirmed</t>
  </si>
  <si>
    <t>Summary - Items to display</t>
  </si>
  <si>
    <t>Summary - Required Functions</t>
  </si>
  <si>
    <t>Summary - Flight Operations Compliance Requirements</t>
  </si>
  <si>
    <t>Summary - Documentation</t>
  </si>
  <si>
    <t>Flight Operations</t>
  </si>
  <si>
    <t xml:space="preserve">Flight Planning - Summary
</t>
  </si>
  <si>
    <t xml:space="preserve">Contingency - Summary
</t>
  </si>
  <si>
    <t xml:space="preserve">(a) a check that the navigation database is valid
</t>
  </si>
  <si>
    <t>Flight Training</t>
  </si>
  <si>
    <t xml:space="preserve">General and Specific Topics
</t>
  </si>
  <si>
    <t>Summary - Use of GNSS</t>
  </si>
  <si>
    <t>RNP STAR Verification</t>
  </si>
  <si>
    <t>STAR Check and Confirmation</t>
  </si>
  <si>
    <t>SID Verification</t>
  </si>
  <si>
    <t>Safety Considerations</t>
  </si>
  <si>
    <t>Flight Operations Requirements</t>
  </si>
  <si>
    <t>System Initiation</t>
  </si>
  <si>
    <t>Waypoint Verification</t>
  </si>
  <si>
    <t>Not Occur</t>
  </si>
  <si>
    <t>Required Cross Checks</t>
  </si>
  <si>
    <t>Flight Plan Modification</t>
  </si>
  <si>
    <t>Provided Documentation</t>
  </si>
  <si>
    <t>Training Topics</t>
  </si>
  <si>
    <t xml:space="preserve">Knowledge RNP 0.3 </t>
  </si>
  <si>
    <t>System Specific Information</t>
  </si>
  <si>
    <t>Mandatory Functionalities</t>
  </si>
  <si>
    <t>Navigation Display</t>
  </si>
  <si>
    <t>Display Functionality</t>
  </si>
  <si>
    <t>Display Requirements</t>
  </si>
  <si>
    <t>Aircraft Eligibility - A RNP</t>
  </si>
  <si>
    <t>CAO 20.91 App 9 - 3.1</t>
  </si>
  <si>
    <t>if the aircraft’s AFM, an AFMS or an OEM service letter states that the aircraft navigation system is approved for A-RNP operations</t>
  </si>
  <si>
    <t>CAO 20.91 App  9 4-2</t>
  </si>
  <si>
    <t>Before an A-RNP operation commences, consideration must be given to matters that may affect the safety of the operation, including the following:</t>
  </si>
  <si>
    <t>(a) whether the aircraft and the flight crew have relevant authorisations for A-RNP;</t>
  </si>
  <si>
    <t>(b) whether the aircraft can be operated in accordance with the A-RNP requirements for:
(i) the planned route, including the route to any alternate aerodromes; and
(ii) minimum equipment requirements for the flight</t>
  </si>
  <si>
    <t>(d) whether the navigation database is current and appropriate for the region of operation and includes the navaids and waypoints required for the route</t>
  </si>
  <si>
    <t>(e) whether operating restrictions, including time limits, apply to the operation</t>
  </si>
  <si>
    <t>If the aircraft’s essential A-RNP APCH equipment is functioning properly, the PBN capability of the aircraft must be indicated in the flight plan.</t>
  </si>
  <si>
    <t>An A-RNP operation must comply with the instructions and procedures of the OEM in relation to the performance requirements of A-RNP</t>
  </si>
  <si>
    <t xml:space="preserve">(a) confirmation that the navigation database is current
</t>
  </si>
  <si>
    <t xml:space="preserve">(b) verification of proper entry of the ATC-assigned route immediately after initial clearance from ATC to conduct the relevant A-RNP route
</t>
  </si>
  <si>
    <t xml:space="preserve">(c) action to ensure the waypoints sequence, depicted by the navigation system, matches the route depicted on the appropriate charts and the assigned route
</t>
  </si>
  <si>
    <t xml:space="preserve">(a) selection of a SID or STAR by route name from the on-board navigation database
</t>
  </si>
  <si>
    <t>(b) confirmation that the selected route conforms to the charted route, or the route as modified through the insertion or deletion of specific waypoints in response to ATC clearances</t>
  </si>
  <si>
    <t>(c) determination that the aircraft meets all specified criteria for the selected route or procedure and comply with the performance requirements of this Appendix</t>
  </si>
  <si>
    <t>(a) creation of new waypoints by manual entry</t>
  </si>
  <si>
    <t>(b) making manual entry of latitude, longitude or rho/theta values</t>
  </si>
  <si>
    <t xml:space="preserve">(c)changing an RNP SID or STAR database waypoint type from a fly by to a flyover or vice versa
</t>
  </si>
  <si>
    <t>(a) a cross-check of the flight plan by comparing charts or other applicable resources with the navigation system flight plan and the aircraft map display (if applicable);</t>
  </si>
  <si>
    <t>(b) if required, confirm the exclusion of specific navaids</t>
  </si>
  <si>
    <t>The following checks and cross-checks must be made:
Note: Small differences between charted navigation information and displayed navigation data may be noted. Differences of 3 degrees or less due to the equipment manufacturer’s application of magnetic variation or leg track averaging are operationally acceptable.</t>
  </si>
  <si>
    <t xml:space="preserve">For A-RNP routes, a moving map display, flight director or autopilot in LNAV mode must be used.
</t>
  </si>
  <si>
    <t xml:space="preserve">Where a lateral deviation indicator is used, scaling must be selected suitable for the navigation accuracy associated with the route or procedure, for example, full scale deflection equals plus or minus the RNP value
</t>
  </si>
  <si>
    <t xml:space="preserve">Route centrelines must be maintained as close as practicable, as depicted by lateral deviation indicators or flight guidance, unless authorised to deviate by ATC or under emergency conditions
</t>
  </si>
  <si>
    <t xml:space="preserve">If ATC issues a heading assignment taking the aircraft off a route, the navigation system flight plan may only be modified when:
(a) ATC clearance is received to rejoin the route; or
(b) ATC confirms a new clearance.
</t>
  </si>
  <si>
    <t xml:space="preserve">If the navigation system does not automatically retrieve and set the navigation accuracy from the on-board navigation database for each leg segment of a route or procedure, the flight crew’s operating procedures must ensure the smallest navigation accuracy for the route or procedure is manually entered into the RNP system
</t>
  </si>
  <si>
    <t xml:space="preserve">A-RNP SID Requirements
</t>
  </si>
  <si>
    <t xml:space="preserve">Before an eligible aircraft takes-off, the following A-RNP SID requirements must be verified
</t>
  </si>
  <si>
    <t xml:space="preserve">(a) that the aircraft’s RNP system is available, is operating correctly and the correct aerodrome and runway data is loaded
</t>
  </si>
  <si>
    <t>(c)that the correct runway and departure procedure (including any applicable en route transition) is entered in the navigation system flight plan and properly depicted</t>
  </si>
  <si>
    <t>(d) that, if an RNP departure procedure is assigned and the runway, procedure or transition is subsequently changed, the appropriate changes are entered in the navigation system flight plan, properly depicted and available for navigation.</t>
  </si>
  <si>
    <t>The operator must ensure that each member of the flight crew is aware of the functional limitations of relevant A-RNP systems and the correct application of manual tracking procedures.</t>
  </si>
  <si>
    <t>The RNP system must be selected and available to provide flight guidance for lateral navigation no later than 153 m (or 500 ft) above the aerodrome field elevation.
Note   The altitude at which navigation guidance begins on a given route may be higher, for example, “climb to 304 m (or 1 000 ft), then direct to X….”.</t>
  </si>
  <si>
    <t>For an RNP operation, an authorised method must be used to achieve an appropriate level of performance for the selected procedure, for example, lateral deviation indicator, navigation map display, flight director or autopilot.</t>
  </si>
  <si>
    <t xml:space="preserve">For aircraft using (E)TSO-C129a stand-alone equipment, the departure aerodrome must be loaded into the flight plan in order to achieve the appropriate navigation system monitoring and sensitivity. </t>
  </si>
  <si>
    <t>For aircraft using (E)TSO-C146a stand-alone equipment, if the departure begins at a runway waypoint, then the departure aerodrome does not need to be in the flight plan to obtain appropriate monitoring and sensitivity.</t>
  </si>
  <si>
    <t>ATC must be notified immediately if the system performance ceases to meet RNP requirements during an RNP operation in controlled airspace.</t>
  </si>
  <si>
    <t xml:space="preserve">A-RNP STAR Requirements
</t>
  </si>
  <si>
    <t xml:space="preserve">The following must be checked and confirmed for an RNP STAR:
</t>
  </si>
  <si>
    <t xml:space="preserve">(a) the active navigation system flight plan, by comparing the charts with the navigation displays;
</t>
  </si>
  <si>
    <t xml:space="preserve">(b the sequence of waypoints
</t>
  </si>
  <si>
    <t>(e) as far as practicable, which waypoints are fly-by and which are flyover.</t>
  </si>
  <si>
    <t xml:space="preserve">The following must be checked and confirmed
</t>
  </si>
  <si>
    <t xml:space="preserve">(a) that the aircraft navigation system is operating correctly
</t>
  </si>
  <si>
    <t xml:space="preserve">(b) that the correct arrival procedure and runway (including any applicable transition) are entered in the system and properly depicted.
</t>
  </si>
  <si>
    <t>No member of the flight crew may create a new waypoint by manual entry into the RNP system.</t>
  </si>
  <si>
    <t>An A-RNP operation may only be commenced if each member of the flight crew has knowledge of the following</t>
  </si>
  <si>
    <t>(c) the operations and airspace for which the RNP system is approved to operate</t>
  </si>
  <si>
    <t>(d) the limitations of the navaids to be used for the RNP operation</t>
  </si>
  <si>
    <t>(e) the required navigation equipment for operation on RNP routes with SIDs or STARs</t>
  </si>
  <si>
    <t>(f) depiction of waypoint types (flyover, fly-by and FRT), ARINC 424 Path Terminators, and associated aircraft flight paths</t>
  </si>
  <si>
    <t xml:space="preserve">(g) contingency procedures for RNP failures;
</t>
  </si>
  <si>
    <t xml:space="preserve">(i) the flight planning requirements for RNP operation;
</t>
  </si>
  <si>
    <t>(j) RNP procedure requirements as determined from chart depiction and textual description;</t>
  </si>
  <si>
    <t xml:space="preserve">(k) A-RNP system-specific information, including:
</t>
  </si>
  <si>
    <t>(iv) types of navigation sensors, for example, DME, IRU, GNSS, utilised by the RNP system, and associated system prioritisation, weighting and logic; and</t>
  </si>
  <si>
    <t>(v) aircraft configuration and operational conditions required to support A-RNP operations, including appropriate selection of CDI scaling (lateral deviation display scaling); and/or map scale</t>
  </si>
  <si>
    <t>(x) automatic and/or manual setting of the required navigation accuracy</t>
  </si>
  <si>
    <t>Understand the performance requirement to couple the autopilot/flight director to the navigation system’s lateral guidance on RNP procedures, if required.</t>
  </si>
  <si>
    <t xml:space="preserve">The equipment should not permit the flight crew to select a procedure or route that is not supported by the equipment, either manually or automatically (e.g. a procedure is not supported if it incorporates an RF Leg and the equipment does not provide RF Leg capability). The system should also restrict pilot access to procedures requiring RF Leg capability or FRT if the system can select the procedure, but the aircraft is not suitably equipped (e.g. the aircraft does not have the required roll steering autopilot or flight director installed). </t>
  </si>
  <si>
    <t>An A-RNP operation may only be conducted if each member of the flight crew has received training in, or has equivalent experience of, A RNP equipment and operating procedures, including training or experience in how to do the following:</t>
  </si>
  <si>
    <t xml:space="preserve">(b) verify the successful completion of RNP system self-tests;
</t>
  </si>
  <si>
    <t xml:space="preserve">(m) fly radar vectors and rejoin an RNP route from a heading mode;
</t>
  </si>
  <si>
    <t xml:space="preserve">(u) perform RNAV holding function
</t>
  </si>
  <si>
    <t xml:space="preserve">(v) carry out contingency procedures for RNP failures
</t>
  </si>
  <si>
    <t xml:space="preserve">(w) manual setting of the required navigation accuracy
</t>
  </si>
  <si>
    <t xml:space="preserve">(x) operator-recommended levels of automation for phase of flight and workload, including methods to minimize cross-track error to maintain route centreline.
</t>
  </si>
  <si>
    <t>Summary A-RNP</t>
  </si>
  <si>
    <r>
      <rPr>
        <b/>
        <sz val="11"/>
        <color rgb="FF000000"/>
        <rFont val="Calibri"/>
        <family val="2"/>
      </rPr>
      <t>Continuous Display of Deviation</t>
    </r>
    <r>
      <rPr>
        <sz val="11"/>
        <color rgb="FF000000"/>
        <rFont val="Calibri"/>
        <family val="2"/>
      </rPr>
      <t xml:space="preserve">
The navigation system must provide the capability to continuously display to the pilot flying, on the primary flight instruments for navigation of the aircraft, the aircraft position relative to the RNP defined path. 
For operations where the required minimum flight crew is two pilots, the desired path and the aircraft position relative to the path must be provided for the non-flying pilot. 
The display must allow the pilot to readily distinguish if the cross-track deviation exceeds the navigation accuracy (or a smaller value). 
The numeric display of deviation on a map display with an appropriately scaled deviation indicator is generally considered acceptable for monitoring deviation.  
Moving map displays without an appropriately scaled deviation indicator may be acceptable depending on the task, flight crew workload, display characteristics, flight crew procedures and training. </t>
    </r>
  </si>
  <si>
    <r>
      <rPr>
        <b/>
        <sz val="11"/>
        <color rgb="FF000000"/>
        <rFont val="Calibri"/>
        <family val="2"/>
      </rPr>
      <t xml:space="preserve">Identification of the Active (To) Waypoint. </t>
    </r>
    <r>
      <rPr>
        <sz val="11"/>
        <color rgb="FF000000"/>
        <rFont val="Calibri"/>
        <family val="2"/>
      </rPr>
      <t xml:space="preserve">
The navigation system must provide a display identifying the active waypoint either in the pilot’s primary optimum field of view, or on a readily accessible and visible display to the flight crew. </t>
    </r>
  </si>
  <si>
    <r>
      <rPr>
        <b/>
        <sz val="11"/>
        <color rgb="FF000000"/>
        <rFont val="Calibri"/>
        <family val="2"/>
      </rPr>
      <t>Display of Distance and Bearing</t>
    </r>
    <r>
      <rPr>
        <sz val="11"/>
        <color rgb="FF000000"/>
        <rFont val="Calibri"/>
        <family val="2"/>
      </rPr>
      <t xml:space="preserve">
The navigation system must provide a display of distance and bearing to the active (To) waypoint in the pilot’s primary optimum field of view. Where not viable, a readily accessible page on a control display unit, readily visible to the flight crew, may display the data. </t>
    </r>
  </si>
  <si>
    <r>
      <rPr>
        <b/>
        <sz val="11"/>
        <color rgb="FF000000"/>
        <rFont val="Calibri"/>
        <family val="2"/>
      </rPr>
      <t xml:space="preserve">Display of Groundspeed and Time </t>
    </r>
    <r>
      <rPr>
        <sz val="11"/>
        <color rgb="FF000000"/>
        <rFont val="Calibri"/>
        <family val="2"/>
      </rPr>
      <t xml:space="preserve">
The navigation system must provide the display of groundspeed and time to the active (To) waypoint in the pilot’s primary optimum field of view. Where not viable, a readily accessible page on a control display unit, readily visible to the flight crew, may display the data. </t>
    </r>
  </si>
  <si>
    <r>
      <rPr>
        <b/>
        <sz val="11"/>
        <color rgb="FF000000"/>
        <rFont val="Calibri"/>
        <family val="2"/>
      </rPr>
      <t xml:space="preserve">Desired Track Display </t>
    </r>
    <r>
      <rPr>
        <sz val="11"/>
        <color rgb="FF000000"/>
        <rFont val="Calibri"/>
        <family val="2"/>
      </rPr>
      <t xml:space="preserve">
The navigation system must have the capability to continuously display to the pilot flying the aircraft desired track. This display must be on the primary flight instruments for navigation of the aircraft. </t>
    </r>
  </si>
  <si>
    <r>
      <rPr>
        <b/>
        <sz val="11"/>
        <color rgb="FF000000"/>
        <rFont val="Calibri"/>
        <family val="2"/>
      </rPr>
      <t xml:space="preserve">Display of Aircraft Track. </t>
    </r>
    <r>
      <rPr>
        <sz val="11"/>
        <color rgb="FF000000"/>
        <rFont val="Calibri"/>
        <family val="2"/>
      </rPr>
      <t xml:space="preserve">
The navigation system must provide a display of the actual aircraft track (or track angle error) either in the pilot’s primary optimum field of view, or on a readily accessible and visible display to the flight crew. </t>
    </r>
  </si>
  <si>
    <r>
      <rPr>
        <b/>
        <sz val="11"/>
        <color rgb="FF000000"/>
        <rFont val="Calibri"/>
        <family val="2"/>
      </rPr>
      <t xml:space="preserve">Failure Annunciation </t>
    </r>
    <r>
      <rPr>
        <sz val="11"/>
        <color rgb="FF000000"/>
        <rFont val="Calibri"/>
        <family val="2"/>
      </rPr>
      <t xml:space="preserve">
The aircraft must provide a means to annunciate failures of any aircraft component of the RNP system, including navigation sensors. The annunciation must be visible to the pilot and located in the primary optimum field of view.  </t>
    </r>
  </si>
  <si>
    <r>
      <rPr>
        <b/>
        <sz val="11"/>
        <color rgb="FF000000"/>
        <rFont val="Calibri"/>
        <family val="2"/>
      </rPr>
      <t xml:space="preserve">Slaved Course Selector </t>
    </r>
    <r>
      <rPr>
        <sz val="11"/>
        <color rgb="FF000000"/>
        <rFont val="Calibri"/>
        <family val="2"/>
      </rPr>
      <t xml:space="preserve">
The navigation system must provide a course selector automatically slaved to the RNP computed path. </t>
    </r>
  </si>
  <si>
    <r>
      <rPr>
        <b/>
        <sz val="11"/>
        <color rgb="FF000000"/>
        <rFont val="Calibri"/>
        <family val="2"/>
      </rPr>
      <t xml:space="preserve">Display of Distance to Go </t>
    </r>
    <r>
      <rPr>
        <sz val="11"/>
        <color rgb="FF000000"/>
        <rFont val="Calibri"/>
        <family val="2"/>
      </rPr>
      <t xml:space="preserve">
The navigation system must provide the ability to display distance to any waypoint selected by the flight crew. </t>
    </r>
  </si>
  <si>
    <r>
      <rPr>
        <b/>
        <sz val="11"/>
        <color rgb="FF000000"/>
        <rFont val="Calibri"/>
        <family val="2"/>
      </rPr>
      <t xml:space="preserve">Display of Distance Between Flight Plan Waypoints </t>
    </r>
    <r>
      <rPr>
        <sz val="11"/>
        <color rgb="FF000000"/>
        <rFont val="Calibri"/>
        <family val="2"/>
      </rPr>
      <t xml:space="preserve">
The navigation system must provide the ability to display the distance between flight plan waypoints. </t>
    </r>
  </si>
  <si>
    <r>
      <rPr>
        <b/>
        <sz val="11"/>
        <color rgb="FF000000"/>
        <rFont val="Calibri"/>
        <family val="2"/>
      </rPr>
      <t xml:space="preserve">Display of Deviation </t>
    </r>
    <r>
      <rPr>
        <sz val="11"/>
        <color rgb="FF000000"/>
        <rFont val="Calibri"/>
        <family val="2"/>
      </rPr>
      <t xml:space="preserve">
The navigation system must provide a numeric display of the lateral deviation with a resolution of 0.1 NM or less. </t>
    </r>
  </si>
  <si>
    <r>
      <rPr>
        <b/>
        <sz val="11"/>
        <color rgb="FF000000"/>
        <rFont val="Calibri"/>
        <family val="2"/>
      </rPr>
      <t xml:space="preserve">Display of Active Sensors </t>
    </r>
    <r>
      <rPr>
        <sz val="11"/>
        <color rgb="FF000000"/>
        <rFont val="Calibri"/>
        <family val="2"/>
      </rPr>
      <t xml:space="preserve">
The aircraft must display the current navigation sensor(s) in use. It is recommended that this display be provided in the primary optimum field of view. 
Note:
This display is used to support operational contingency procedures. If such a display is not provided in the primary optimum field of view, crew procedures may mitigate the need for this display if the workload is determined to be acceptable. </t>
    </r>
  </si>
  <si>
    <r>
      <rPr>
        <b/>
        <sz val="11"/>
        <color rgb="FF000000"/>
        <rFont val="Calibri"/>
        <family val="2"/>
      </rPr>
      <t xml:space="preserve">Maintaining Tracks and Leg Transitions.  </t>
    </r>
    <r>
      <rPr>
        <sz val="11"/>
        <color rgb="FF000000"/>
        <rFont val="Calibri"/>
        <family val="2"/>
      </rPr>
      <t xml:space="preserve">
The aircraft must have the capability to execute leg transitions and maintain tracks consistent with the following ARINC 424 Path Terminators:  
	Direct to Fix (DF)
	Track to Fix (TF)
	Radius to Fix (RF), see Appendix 1 to Part C, Volume II of this Manual
	Course to Altitude (CA)
	Course from a Fix to an Altitude (FA)
	Heading to an Altitude (VA)
	Course from a Fix to Manual Termination (FM)
	Heading to Manual Termination (VM)
	Heading to an Intercept (VI)
	Holding to Manual Termination (HM)
Where approval is sought for Fixed Radius Transitions (FRT) in association with this navigation specification, the RNP system must have the capability to create fixed radius transitions between route segments, based upon the data contained in the aircraft navigation system database – see Appendix 2 to Part C, Volume II of this Manual. 
Notes:
1.	Path terminators and the fixed radius transition are defined in ARINC Specification 424, and their application is described in more detail in documents RTCA DO-236B / EUROCAE ED-75B and RTCA DO-201A / EUROCAE ED-77.
2.	The list of path terminators includes a number that introduce variability in the flight path to be flown by the aircraft. For all RNP applications, the preferred path terminators are IF, DF, TF, and RF. Other path terminators may be used on the understanding that they will introduce less repeatability, predictability and reliability of aircraft lateral path performance.
3.	For the VA, VM and VI path terminators, if the aircraft is not able to automatically execute these leg transitions, they should be able to be manually flown on a heading to intercept a course or to go direct to another fix after reaching a procedure-specified altitude.</t>
    </r>
  </si>
  <si>
    <r>
      <rPr>
        <b/>
        <sz val="11"/>
        <color rgb="FF000000"/>
        <rFont val="Calibri"/>
        <family val="2"/>
      </rPr>
      <t>Leg Transition</t>
    </r>
    <r>
      <rPr>
        <sz val="11"/>
        <color rgb="FF000000"/>
        <rFont val="Calibri"/>
        <family val="2"/>
      </rPr>
      <t xml:space="preserve">
1.	Fly-By and Fly-Over Fixes. The aircraft must have the capability to execute fly-by and fly-over fixes. For fly-by turns, the navigation system must limit the path definition within the theoretical transition area defined in RTCA DO-236B / EUROCAE ED-75B. The fly-over turn is not compatible with RNP flight tracks and will only be used when there is no requirement for repeatable paths.
2.	Fixed Radius Transitions: Where approval is sought for Fixed Radius Transitions (FRT), the aircraft must have the capability to execute the function in accordance with Appendix 2 to Part C, Volume II of this Manual.</t>
    </r>
  </si>
  <si>
    <r>
      <rPr>
        <b/>
        <sz val="11"/>
        <color rgb="FF000000"/>
        <rFont val="Calibri"/>
        <family val="2"/>
      </rPr>
      <t>Intercepts</t>
    </r>
    <r>
      <rPr>
        <sz val="11"/>
        <color rgb="FF000000"/>
        <rFont val="Calibri"/>
        <family val="2"/>
      </rPr>
      <t xml:space="preserve">
1.	The RNP system should provide the ability to intercept the final approach at or before the final approach fix.
2.	This functional capability must provide the pilot with the ability to re-join the published final approach track following a period when the aircraft has been flown manually, or in Automatic Flight Control System (AFCS) Heading mode, following ATC vectors to support Final Approach Sequencing
3. The implementation method and visual information (MCDU and primary displays (MAP/EHSI)) shall be sufficient to enable the correct re-acquisition of the track with a minimum of manual intervention on the MCDU. Due account must be taken of the workload associated with the re-acquisition and the impact of errors in leg sequencing.</t>
    </r>
  </si>
  <si>
    <r>
      <rPr>
        <b/>
        <sz val="11"/>
        <color rgb="FF000000"/>
        <rFont val="Calibri"/>
        <family val="2"/>
      </rPr>
      <t>Holding</t>
    </r>
    <r>
      <rPr>
        <sz val="11"/>
        <color rgb="FF000000"/>
        <rFont val="Calibri"/>
        <family val="2"/>
      </rPr>
      <t xml:space="preserve">
1.	A holding procedure will only normally be required at defined holding points on entry to terminal airspace. However, holding may be required by ATC at any point.
2.	A hold shall be defined by a point, the turn direction, an inbound track and an outbound distance. This data may be extracted from the database for published holds or may be manually entered for ad-hoc ATC holds.
Note: It is highly desirable that the RNP system provide a holding capability that includes the computation of the hold flight path, guidance and/or cues to track the holding entry and path.  
The system with the minimum of crew intervention must be capable of initiating, maintaining and discontinuing holding procedures at any point and at all altitudes.</t>
    </r>
  </si>
  <si>
    <r>
      <rPr>
        <b/>
        <sz val="11"/>
        <color rgb="FF000000"/>
        <rFont val="Calibri"/>
        <family val="2"/>
      </rPr>
      <t xml:space="preserve">Parallel Offset </t>
    </r>
    <r>
      <rPr>
        <sz val="11"/>
        <color rgb="FF000000"/>
        <rFont val="Calibri"/>
        <family val="2"/>
      </rPr>
      <t xml:space="preserve">
1.	Parallel offsets provide a capability to fly offset from the parent track, as defined by the series of waypoints.
2.	The turn defined for the parent track (fly-by or fixed radius transitions) shall be applied in the offset track.
3.	Parallel offsets are applicable only for en-route segments and are not foreseen to be applied on SIDs, STARs or Approach procedures.
4.	The activation of an offset shall be clearly displayed to the Flight Crew and the cross track deviation indication during the operation of the offset will be to the offset track.</t>
    </r>
  </si>
  <si>
    <r>
      <rPr>
        <b/>
        <sz val="11"/>
        <color rgb="FF000000"/>
        <rFont val="Calibri"/>
        <family val="2"/>
      </rPr>
      <t xml:space="preserve">Offset Execution </t>
    </r>
    <r>
      <rPr>
        <sz val="11"/>
        <color rgb="FF000000"/>
        <rFont val="Calibri"/>
        <family val="2"/>
      </rPr>
      <t xml:space="preserve">
1.	The system should be capable of flying tracks offset by up to 20 NM from the parent track.
2.	The presence of an offset should be continuously indicated.
3.	Tracks offset from the parent track shall be continued for all ATS route segments and turns until either:
a.	removed by the crew or,
b.	automatically cancelled following:
i) amendment of the active flight plan by executing a 'Direct-To'; 
ii) commencement of a terminal procedure; 
iii) where a course change exceeds 90 degrees, the RNP system may terminate the offset at the fix where the course change occurs. The offset may also be terminated if the route segment ends at a hold fix. 
4.	The flight crew shall be given advance notice of this cancellation.
5.	The cross track offset distance should be manually entered into the RNP system to a resolution of 1 NM or better.
6.	Where parallel offsets are applied, the lateral track keeping requirement of RNP must be maintained referenced to the offset track.
7.	Where Fixed Radius Transitions are applied, the offset track must be flown with the same turn radius as the parent track.
8.	The cross track offset distance should be manually entered into the RNP system to a resolution of 1 NM or better.
9.	Where parallel offsets are applied, the lateral track keeping requirement of RNP must be maintained referenced to the offset track.</t>
    </r>
  </si>
  <si>
    <r>
      <rPr>
        <b/>
        <sz val="11"/>
        <color rgb="FF000000"/>
        <rFont val="Calibri"/>
        <family val="2"/>
      </rPr>
      <t>Entry and Recovery from Offsets</t>
    </r>
    <r>
      <rPr>
        <sz val="11"/>
        <color rgb="FF000000"/>
        <rFont val="Calibri"/>
        <family val="2"/>
      </rPr>
      <t xml:space="preserve"> 
Transitions to and from the offset track must maintain an intercept angle of between 30 and 45°. </t>
    </r>
  </si>
  <si>
    <r>
      <rPr>
        <b/>
        <sz val="11"/>
        <color rgb="FF000000"/>
        <rFont val="Calibri"/>
        <family val="2"/>
      </rPr>
      <t xml:space="preserve">Capability for a 'Direct-To' Function </t>
    </r>
    <r>
      <rPr>
        <sz val="11"/>
        <color rgb="FF000000"/>
        <rFont val="Calibri"/>
        <family val="2"/>
      </rPr>
      <t xml:space="preserve">
1.	The navigation system must have a 'Direct-To' function the flight crew can activate at any time. This function must be available to any fix.
2.	The navigation system must also be capable of generating a geodesic path to the designated 'To' fix, without 'S-turning' and without undue delay.</t>
    </r>
  </si>
  <si>
    <r>
      <rPr>
        <b/>
        <sz val="11"/>
        <color rgb="FF000000"/>
        <rFont val="Calibri"/>
        <family val="2"/>
      </rPr>
      <t xml:space="preserve">Altitudes and/or speeds associated with published terminal procedures </t>
    </r>
    <r>
      <rPr>
        <sz val="11"/>
        <color rgb="FF000000"/>
        <rFont val="Calibri"/>
        <family val="2"/>
      </rPr>
      <t xml:space="preserve">
Altitudes and/or speeds associated with published terminal procedures must be extracted from the navigation database. </t>
    </r>
  </si>
  <si>
    <r>
      <rPr>
        <b/>
        <sz val="11"/>
        <color rgb="FF000000"/>
        <rFont val="Calibri"/>
        <family val="2"/>
      </rPr>
      <t xml:space="preserve">Capability to Load Procedures from the Navigation Database </t>
    </r>
    <r>
      <rPr>
        <sz val="11"/>
        <color rgb="FF000000"/>
        <rFont val="Calibri"/>
        <family val="2"/>
      </rPr>
      <t xml:space="preserve">
The navigation system must have the capability to load the entire procedure(s) to be flown into the RNP system from the on-board navigation database. This includes the approach 
(including vertical angle), the missed approach and the approach transitions for the selected airport and runway.  </t>
    </r>
  </si>
  <si>
    <r>
      <rPr>
        <b/>
        <sz val="11"/>
        <color rgb="FF000000"/>
        <rFont val="Calibri"/>
        <family val="2"/>
      </rPr>
      <t xml:space="preserve">Means to Retrieve and Display Navigation Data </t>
    </r>
    <r>
      <rPr>
        <sz val="11"/>
        <color rgb="FF000000"/>
        <rFont val="Calibri"/>
        <family val="2"/>
      </rPr>
      <t xml:space="preserve">
The navigation system must provide the ability for the flight crew to verify the procedure to be flown through review of the data stored in the on-board navigation database. This includes the ability to review the data for individual waypoints and for navigation aids.  </t>
    </r>
  </si>
  <si>
    <r>
      <rPr>
        <b/>
        <sz val="11"/>
        <color rgb="FF000000"/>
        <rFont val="Calibri"/>
        <family val="2"/>
      </rPr>
      <t xml:space="preserve">Magnetic Variation </t>
    </r>
    <r>
      <rPr>
        <sz val="11"/>
        <color rgb="FF000000"/>
        <rFont val="Calibri"/>
        <family val="2"/>
      </rPr>
      <t xml:space="preserve">
For paths defined by a course (e.g. CF and FA path terminators), the navigation system should use the appropriate magnetic variation value in the navigation database.  </t>
    </r>
  </si>
  <si>
    <r>
      <rPr>
        <b/>
        <sz val="11"/>
        <color rgb="FF000000"/>
        <rFont val="Calibri"/>
        <family val="2"/>
      </rPr>
      <t xml:space="preserve">Changes in Navigation accuracy </t>
    </r>
    <r>
      <rPr>
        <sz val="11"/>
        <color rgb="FF000000"/>
        <rFont val="Calibri"/>
        <family val="2"/>
      </rPr>
      <t xml:space="preserve">
The RNP System should automatically retrieve and set the navigation accuracy for each leg segment of a route or procedure from the on-board navigation database. When a change occurs to a smaller navigation accuracy, e.g. from RNP 1.0 to RNP 0.3, the change must be complete by the first fix defining the leg with the smaller navigation accuracy requirement. The timing of this change must also consider any latency in alerting from the RNP System. When the RNP System cannot automatically set the navigation accuracy for each leg segment, any operational procedures necessary to accomplish this must be identified. 
</t>
    </r>
    <r>
      <rPr>
        <b/>
        <sz val="11"/>
        <color rgb="FF000000"/>
        <rFont val="Calibri"/>
        <family val="2"/>
      </rPr>
      <t>Note:</t>
    </r>
    <r>
      <rPr>
        <sz val="11"/>
        <color rgb="FF000000"/>
        <rFont val="Calibri"/>
        <family val="2"/>
      </rPr>
      <t xml:space="preserve">
One acceptable means to meet this requirement may be to require the flight crew to manually set the smallest navigation accuracy the route or procedure uses before commencing the route or procedure (i.e., prior to the initial approach fix).  
If the navigation accuracy for the RNP system has been set manually by the flight crew and following an RNP system change to the navigation accuracy required (e.g. the next flight path segment contains a different navigation accuracy), the RNP system should provide an alert to the flight crew. </t>
    </r>
  </si>
  <si>
    <r>
      <rPr>
        <b/>
        <sz val="11"/>
        <color rgb="FF000000"/>
        <rFont val="Calibri"/>
        <family val="2"/>
      </rPr>
      <t xml:space="preserve">Automatic Leg Sequencing </t>
    </r>
    <r>
      <rPr>
        <sz val="11"/>
        <color rgb="FF000000"/>
        <rFont val="Calibri"/>
        <family val="2"/>
      </rPr>
      <t xml:space="preserve">
The navigation system must provide the capability to automatically sequence to the next leg and display the sequencing to the flight crew in a readily visible manner. </t>
    </r>
  </si>
  <si>
    <r>
      <rPr>
        <b/>
        <u/>
        <sz val="11"/>
        <color rgb="FF000000"/>
        <rFont val="Calibri"/>
        <family val="2"/>
      </rPr>
      <t>Design Assurance</t>
    </r>
    <r>
      <rPr>
        <b/>
        <sz val="11"/>
        <color rgb="FF000000"/>
        <rFont val="Calibri"/>
        <family val="2"/>
      </rPr>
      <t xml:space="preserve"> </t>
    </r>
    <r>
      <rPr>
        <sz val="11"/>
        <color rgb="FF000000"/>
        <rFont val="Calibri"/>
        <family val="2"/>
      </rPr>
      <t xml:space="preserve">
The system design assurance must be consistent with at least a major failure condition for the display of misleading lateral or vertical guidance in RNP applications. </t>
    </r>
  </si>
  <si>
    <r>
      <rPr>
        <b/>
        <u/>
        <sz val="11"/>
        <color rgb="FF000000"/>
        <rFont val="Calibri"/>
        <family val="2"/>
      </rPr>
      <t>Navigation Database</t>
    </r>
    <r>
      <rPr>
        <b/>
        <sz val="11"/>
        <color rgb="FF000000"/>
        <rFont val="Calibri"/>
        <family val="2"/>
      </rPr>
      <t xml:space="preserve"> </t>
    </r>
    <r>
      <rPr>
        <sz val="11"/>
        <color rgb="FF000000"/>
        <rFont val="Calibri"/>
        <family val="2"/>
      </rPr>
      <t xml:space="preserve">
1.	The aircraft navigation system must use an on-board navigation database which can receive updates in accordance with the AIRAC cycle; and allow retrieval and loading of procedures into the RNP system.
2.	The on-board navigation database must be protected against flight crew modification of the stored data.
3.	When a procedure is loaded from the database, the RNP system must fly the procedure as published. This does not preclude the flight crew from having the means to modify a procedure or route already loaded into the RNP system. However, the procedures stored in the navigation database must not be modified and must remain intact within the navigation database for future use and reference.
4.	The aircraft must provide a means to display the validity period for the on-board navigation database to the flight crew.
5.	The equipment should not permit the flight crew to either manually or automatically select a route that is not supported. A route is not supported if it incorporates an FRT and the equipment does not provide FRT capability. The RNP system should also restrict pilot access to routes requiring fixed radius transitions if the equipment can support the route, but the aircraft is not otherwise equipped (e.g., the aircraft does not have the required roll steering autopilot or flight director installed).
Note: An alternate means of satisfying this requirement is to remove such routes from the navigation database. </t>
    </r>
  </si>
  <si>
    <t xml:space="preserve">Summary A-RNP </t>
  </si>
  <si>
    <r>
      <rPr>
        <b/>
        <sz val="11"/>
        <color rgb="FF000000"/>
        <rFont val="Calibri"/>
        <family val="2"/>
      </rPr>
      <t xml:space="preserve">Optional - RNP Scalability </t>
    </r>
    <r>
      <rPr>
        <sz val="11"/>
        <color rgb="FF000000"/>
        <rFont val="Calibri"/>
        <family val="2"/>
      </rPr>
      <t xml:space="preserve">
The RNP system must be capable of manual or automatic entry and display of navigation accuracy requirements in tenths of NM between 0.3 and 1.0 NM. The RNP system must provide lateral deviation displays and alerting appropriate to the selected navigation accuracy and application.  
</t>
    </r>
  </si>
  <si>
    <t>Notes:  
1. One means by which this can be achieved is as described in RTCA DO-283A MOPS. Another means is to develop lateral deviation displays and alerting as per
RTCA/EUROCAE MASPS DO-236B / ED-75B.</t>
  </si>
  <si>
    <t>2. It is recognized that aircraft and equipment that are based upon GNSS standards such as RTCA DO-208( ) and DO-229( ) have RNP capabilities for lateral deviation and alerting that are generally associated with navigation accuracies of 0.3, 1.0, and 2.0 NM only. Such capability exists in a large portion of the aircraft fleet but may not be extended to other navigation accuracies or the means of compliance specified herein. Additionally, some of this fleet does provide the capability to select other navigation accuracies. Therefore, before a manufacturer implements or an operator applies this functional capability, it is recommended that they determine the effects of the resolution of a number of issues including:
a)	How their aircraft and systems will be affected or accommodated operationally when different navigation accuracy requirements are needed.
b)	Whether there a basis for implementing improved functionality or operating procedures
c)	How such systems will need to be qualified, used by the flight crew and operationally approved.</t>
  </si>
  <si>
    <t>2c</t>
  </si>
  <si>
    <t xml:space="preserve">The aircraft meets the requirements of ICAO Doc. 9613, Performance-based Navigation (PBN) Manual, Volume II, Part C, Chapter 4, Implementing Advanced RNP </t>
  </si>
  <si>
    <t>For an aircraft equipped with GNSS sensors which comply with (E)TSO-C129a, (E)TSO-C145a, (E)TSO-C146a, (E)TSO-C196a, or an equivalent standard, it carries the following minimum equipment:
(i) 2 FMS;
(ii) 2 GNSS sensors (which may be included in an MMR);
(iii) 1 IRS;
(iv) 2 flight directors;
(v) 2 flight mode annunciators;
(vi) 2 RADALTs;
(vii) duplicated primary flight and navigation displays;
(viii) duplicated alternating current power source (for which an APU may be used);
(ix) 1 autopilot channel;
(x) 1 TAWS appropriate to the class of operation</t>
  </si>
  <si>
    <t xml:space="preserve">A detailed description of the operating procedures to be used for A RNP operations (including flight planning and flight procedures) supported by relevant copies of, or extracts from, the following:
</t>
  </si>
  <si>
    <t xml:space="preserve">	(i)	the operations manual;
</t>
  </si>
  <si>
    <t xml:space="preserve">	(ii)	the checklists;
</t>
  </si>
  <si>
    <t xml:space="preserve">	(iii)	the contingency procedures;
</t>
  </si>
  <si>
    <t>(a) the non-GNSS data does not cause position errors exceeding the TSE budget</t>
  </si>
  <si>
    <t xml:space="preserve">(c) initialise A-RNP system position;
</t>
  </si>
  <si>
    <t>Functional Requirement - A-RNP</t>
  </si>
  <si>
    <t>Additional A-RNP system functionality requirements</t>
  </si>
  <si>
    <t>the required inclusion of:</t>
  </si>
  <si>
    <t>5.2.a</t>
  </si>
  <si>
    <t>5.2.b</t>
  </si>
  <si>
    <t xml:space="preserve">(a) Radius to fix path terminator, and
</t>
  </si>
  <si>
    <t xml:space="preserve">(b) parallel offsets; and
</t>
  </si>
  <si>
    <t xml:space="preserve">(c) RNAV holding
</t>
  </si>
  <si>
    <t xml:space="preserve">the optional inclusion of:
</t>
  </si>
  <si>
    <t xml:space="preserve">(a) Scalability, and
</t>
  </si>
  <si>
    <t xml:space="preserve">(b)higher continuity; and
</t>
  </si>
  <si>
    <t xml:space="preserve">(c ) fixed radius transitions (FRT); and
</t>
  </si>
  <si>
    <t xml:space="preserve">(d )time of arrival control
</t>
  </si>
  <si>
    <t>A Baro-VNAV authorisation may be used in conjunction with A-RNP</t>
  </si>
  <si>
    <t>App9 -5.3</t>
  </si>
  <si>
    <t>App 9-5.4</t>
  </si>
  <si>
    <t>Note   A map display depicting the aircraft computed flight path must be installed for operations using RF Legs and/or FRT so is required for an A-RNP airworthiness approval.</t>
  </si>
  <si>
    <t>Flight Planning General</t>
  </si>
  <si>
    <t xml:space="preserve">Brief deviations from the standard mentioned above are acceptable during and immediately after turns, but only to the minimal extent that accurate cross-track information may not be provided during the turn.
Note 1   Flight crew procedures and training should emphasise observance of turn anticipation commands and management of rate of turn.
Note 2   Piloting standards usually require the aircraft to be flown to maintain lateral deviation not exceeding half the current accuracy requirement (RNP value) or half the lateral deviation scale. Whilst this standard should be observed, pilots must also be aware that Navigation System Error + Flight Technical Error (lateral deviation) may not exceed the specified navigation accuracy. When carrying out approach operations, if the GNSS Horizontal Protection Limit (HPL) exceeds 0.15 NM, the allowable lateral deviation will be limited to less than the half scale value.
</t>
  </si>
  <si>
    <t xml:space="preserve">	(iv)	the QRH;
</t>
  </si>
  <si>
    <t xml:space="preserve">a GNSS LNAV system
</t>
  </si>
  <si>
    <t xml:space="preserve">(a) a digital indication in 1/10th NM or less; or
</t>
  </si>
  <si>
    <t>Policies and Practices</t>
  </si>
  <si>
    <t>Pre-Flight Procedures</t>
  </si>
  <si>
    <t>Flight Planning</t>
  </si>
  <si>
    <t>Before Entry</t>
  </si>
  <si>
    <t>In-Flight Procedures</t>
  </si>
  <si>
    <t>Contingency</t>
  </si>
  <si>
    <t>Post Flight</t>
  </si>
  <si>
    <t>Standards</t>
  </si>
  <si>
    <t>General</t>
  </si>
  <si>
    <t>Test Equipment</t>
  </si>
  <si>
    <t xml:space="preserve">Requirements
</t>
  </si>
  <si>
    <t>Maintenance Practice</t>
  </si>
  <si>
    <t>Non-Compliant a/c</t>
  </si>
  <si>
    <t>Training Requirements</t>
  </si>
  <si>
    <t>Program Approval</t>
  </si>
  <si>
    <t>Documents Required</t>
  </si>
  <si>
    <t xml:space="preserve">Compliance Requirements
</t>
  </si>
  <si>
    <r>
      <rPr>
        <b/>
        <sz val="11"/>
        <rFont val="Calibri"/>
        <family val="2"/>
      </rPr>
      <t>Group 3: New technology. This group has been provided to cover new navigation systems that meet the technical requirements for operations in airspace where RNP 4 is specified.</t>
    </r>
  </si>
  <si>
    <r>
      <t xml:space="preserve">Group 2: </t>
    </r>
    <r>
      <rPr>
        <sz val="11"/>
        <rFont val="Calibri"/>
        <family val="2"/>
      </rPr>
      <t>Prior navigation system certification. Group 2 aircraft are those that can equate their certified level of performance, given under previous standards, to RNP 4 criteria. Those standards listed below in sub-paragraphs (a) to (c) can be used to qualify aircraft under Group 2.</t>
    </r>
  </si>
  <si>
    <t xml:space="preserve">Flight Training Compliance Requirements
</t>
  </si>
  <si>
    <t xml:space="preserve">Baseline technical requirements
</t>
  </si>
  <si>
    <t>Group 4 - Aircraft Eligibility above</t>
  </si>
  <si>
    <t xml:space="preserve">Aircraft Eligibility/Initial Airworthiness
</t>
  </si>
  <si>
    <t>Aircraft Eligibility / Initial Airworthiness</t>
  </si>
  <si>
    <t xml:space="preserve">Eligibility Summary
Suitable GNSS-based area navigation systems
</t>
  </si>
  <si>
    <t xml:space="preserve">GNSS Requirements
</t>
  </si>
  <si>
    <t xml:space="preserve"> - Alternate Requirements</t>
  </si>
  <si>
    <t xml:space="preserve"> - Nav Accuracy for NDB/VOR</t>
  </si>
  <si>
    <t xml:space="preserve"> - Operating Requirements</t>
  </si>
  <si>
    <t xml:space="preserve"> - Processes</t>
  </si>
  <si>
    <t xml:space="preserve"> - Procedure Validation</t>
  </si>
  <si>
    <t xml:space="preserve"> - Approach Procedures</t>
  </si>
  <si>
    <t xml:space="preserve"> - Enroute and Terminal</t>
  </si>
  <si>
    <t xml:space="preserve"> - Nav DB</t>
  </si>
  <si>
    <t xml:space="preserve"> - General</t>
  </si>
  <si>
    <t xml:space="preserve">c. hold over a VOR, NDB or DME fix
</t>
  </si>
  <si>
    <t xml:space="preserve">b. navigate to or from a VOR or NDB
</t>
  </si>
  <si>
    <t xml:space="preserve">a. 2 NM for en route operations (RNP 2);
</t>
  </si>
  <si>
    <t xml:space="preserve">b. 1 NM for initial, intermediate and Missed Approach Segments (RNP 1)
</t>
  </si>
  <si>
    <t xml:space="preserve"> - Equipment Requirements
</t>
  </si>
  <si>
    <t xml:space="preserve">Flight Planning
</t>
  </si>
  <si>
    <t>Flight Operations - Overall Summary</t>
  </si>
  <si>
    <t xml:space="preserve">Operators must ensure that flight crews have been trained and understand applicability of RNP 4, the limits of their aircraft’s RNP 4 navigation capabilities, the effects of updating, and RNP 4 contingency procedures.
</t>
  </si>
  <si>
    <t xml:space="preserve">Operators must ensure that flight crews have been trained and understand applicability of these procedures, the limits of their aircraft’s navigation capabilities, the effects of updating, and contingency procedures.
</t>
  </si>
  <si>
    <t>Aircraft Eligibility - Overview</t>
  </si>
  <si>
    <t xml:space="preserve"> - Required AFM Statements</t>
  </si>
  <si>
    <r>
      <rPr>
        <b/>
        <sz val="11"/>
        <rFont val="Calibri"/>
        <family val="2"/>
      </rPr>
      <t>Navigation Database</t>
    </r>
    <r>
      <rPr>
        <sz val="11"/>
        <rFont val="Calibri"/>
        <family val="2"/>
      </rPr>
      <t xml:space="preserve">
The standards for navigation databases are contained in RTCA DO-200A and EUROCAE DO-76. Not all current suppliers of navigation databases meet these standards. The navigation database should be obtained from an approved supplier. If it isn’t then the operator, as a minimum, must implement navigation database integrity checks using appropriate software tools or approved manual procedures to verify data relating to all waypoints in the  airspace or routes. These integrity checks must be performed in addition to any checks previously performed by the Aeronautical Information Services (AIS), by unapproved navigation database suppliers, or by navigation equipment manufacturers.
The integrity checks need to identify any discrepancies between the navigation database and the published charts/procedures. An approved third party may perform integrity checks. Discrepancies that invalidate a procedure must be reported to the navigation database supplier and affected procedures must be prohibited by an operator’s notice to its flight crew. Aircraft operators should consider the need to continue their own database checks even for products obtained from approved suppliers.</t>
    </r>
  </si>
  <si>
    <t>The RNP system must meet the requirements of at least 1 of the following:</t>
  </si>
  <si>
    <t xml:space="preserve">(c) a DASA determination that the aircraft meets the standards for eligibility
</t>
  </si>
  <si>
    <t>FRT System Performance</t>
  </si>
  <si>
    <t>An eligible aircraft must meet the following performance standards</t>
  </si>
  <si>
    <t xml:space="preserve"> - RNP System Requirements</t>
  </si>
  <si>
    <t>(a) Any performance requirements listed in the RNP System requirements above</t>
  </si>
  <si>
    <t>A.11.5.a</t>
  </si>
  <si>
    <t xml:space="preserve">  - Equipment</t>
  </si>
  <si>
    <t>FRT System Functionality</t>
  </si>
  <si>
    <t>A.11.6.a</t>
  </si>
  <si>
    <t>A.11.6.b</t>
  </si>
  <si>
    <t>A.11.6.c</t>
  </si>
  <si>
    <t>FRT System</t>
  </si>
  <si>
    <t xml:space="preserve"> - Specific FRT</t>
  </si>
  <si>
    <t xml:space="preserve"> - Conduct of FRT</t>
  </si>
  <si>
    <t xml:space="preserve"> - DASA Assessment</t>
  </si>
  <si>
    <t>Required Information in AFM or Alternate</t>
  </si>
  <si>
    <t>Aircraft Eligibility/ Initial Airworthiness</t>
  </si>
  <si>
    <t xml:space="preserve">Summary </t>
  </si>
  <si>
    <t>CAO 20.91 App 10 1</t>
  </si>
  <si>
    <t>4.3.a</t>
  </si>
  <si>
    <t>4.3.b</t>
  </si>
  <si>
    <t>4.3.c</t>
  </si>
  <si>
    <r>
      <t xml:space="preserve">An aircraft is eligible for  RF path terminator operations if the aircraft is equipped with </t>
    </r>
    <r>
      <rPr>
        <b/>
        <sz val="11"/>
        <rFont val="Calibri"/>
        <family val="2"/>
      </rPr>
      <t>all</t>
    </r>
    <r>
      <rPr>
        <sz val="11"/>
        <rFont val="Calibri"/>
        <family val="2"/>
      </rPr>
      <t xml:space="preserve"> of the following</t>
    </r>
  </si>
  <si>
    <t>The aircraft is equipped with an RNP 1, RNP 0.3, RNP APCH or A RNP system and the OEM has documented that the aircraft is capable of RF path terminator operations</t>
  </si>
  <si>
    <r>
      <t xml:space="preserve">General
</t>
    </r>
    <r>
      <rPr>
        <sz val="11"/>
        <rFont val="Calibri"/>
        <family val="2"/>
      </rPr>
      <t xml:space="preserve">All operators/owners must include in their associated RNP application their maintenance program, including a reliability program for monitoring the equipment. </t>
    </r>
  </si>
  <si>
    <t>RF Path Terminator System Performance</t>
  </si>
  <si>
    <t>RF Path Terminator System Functionality</t>
  </si>
  <si>
    <t>A.10.5.a</t>
  </si>
  <si>
    <t>A.10.6.a</t>
  </si>
  <si>
    <t>A.10.6.b</t>
  </si>
  <si>
    <t>A.10.6.c</t>
  </si>
  <si>
    <t>A.10.6.d</t>
  </si>
  <si>
    <t xml:space="preserve">RF Path Terminator system must have the following:
</t>
  </si>
  <si>
    <t>(b) an electronic map display depicting the RNP computed path of the selected procedure</t>
  </si>
  <si>
    <t>A.10.5.b
AC 91 A.12..2.1</t>
  </si>
  <si>
    <t xml:space="preserve">The RF path terminator (commonly referred to as a RF Leg) provides the functionality for aircraft to fly a curved path with a defined radius when used in association with RNP 1, RNP 0.3, RNP APCH, and A-RNP specifications. RF Legs are an optional capability for use with RNP 1, RNP 0.3 and RNP APCH but are a minimum requirement for A-RNP.
Note   RF Legs are used with RNP AR operations and have specific requirements included in the RNP AR operations specification.
</t>
  </si>
  <si>
    <t>Notes: The following requirements detail when RF Leg capability is NOT proved by the equipment</t>
  </si>
  <si>
    <t>To met the Aircraft Eligibility Standards above the following functionality is required if RF Leg Capability is NOT available:</t>
  </si>
  <si>
    <t>To meet the requirements of VNAV System Requirements above, an eligible aircraft’s Baro-VNAV system used in Baro-VNAV operations must meet the following performance standards</t>
  </si>
  <si>
    <t>Baro-VNAV System Functionality</t>
  </si>
  <si>
    <t xml:space="preserve">The Baro-VNAV system must have the following:
</t>
  </si>
  <si>
    <t>A.8.4.1.a</t>
  </si>
  <si>
    <t>(a) the system must be able to load the entire procedure to be flown into the RNP system from the on-board navigation database, including the approach, the missed approach and the approach transitions for the selected aerodrome and runway</t>
  </si>
  <si>
    <t>(b) the system must make it impossible for the flight crew to modify instrument approach procedure data</t>
  </si>
  <si>
    <t>(c) the resolution of VPA entry (from the navigation database) and display must be no greater than 0.1</t>
  </si>
  <si>
    <t>(d) the vertical path must be defined by a waypoint and a vertical angle</t>
  </si>
  <si>
    <t>(e) vertical deviation from the defined VNAV path must be continuously displayed in the primary field of view of the pilot or each pilot, as the case requires</t>
  </si>
  <si>
    <t>(f) vertical deviation resolution must be not more than 10 ft</t>
  </si>
  <si>
    <t>(g) for aircraft with a flight crew of 2 pilots — a barometric altitude from 2 independent sources must be displayed, 1 in each pilot’s primary field of view</t>
  </si>
  <si>
    <t>(h) there must be a means for the flight crew to readily determine:
(i) the VNAV mode of operation, including establishment or capture of the vertical path; and
(ii) any mode change or reversion</t>
  </si>
  <si>
    <t>The operational assessment must include the following:
(a) digital display of vertical deviation;
(b) displays not in the primary field of view;
(c) aural or other warnings or annunciations;
(d) crew procedures and training;
(e) use of flight director or autopilot or both;
(f) flight trials, or other performance indicators, or both of these means of assessment.</t>
  </si>
  <si>
    <t xml:space="preserve"> - Option 2</t>
  </si>
  <si>
    <t xml:space="preserve"> - Option 1</t>
  </si>
  <si>
    <t xml:space="preserve"> - 75 ft alleviation</t>
  </si>
  <si>
    <t xml:space="preserve"> - Temperature Limitations - Applicable</t>
  </si>
  <si>
    <t xml:space="preserve"> - Temperature Limitations - Not Applicable</t>
  </si>
  <si>
    <t xml:space="preserve"> - Baro-VNAV before the FAF</t>
  </si>
  <si>
    <t>Generic Training Topics</t>
  </si>
  <si>
    <t>Specific Training Topics</t>
  </si>
  <si>
    <t xml:space="preserve">Summary  - Extended Timer for INS/IRU Systems
</t>
  </si>
  <si>
    <t xml:space="preserve"> - Data Collection</t>
  </si>
  <si>
    <t xml:space="preserve"> - Pre-Flight Procedures</t>
  </si>
  <si>
    <t xml:space="preserve"> - En-Route General</t>
  </si>
  <si>
    <t xml:space="preserve"> - Specific Training Topics</t>
  </si>
  <si>
    <r>
      <rPr>
        <b/>
        <sz val="11"/>
        <color rgb="FF000000"/>
        <rFont val="Calibri"/>
        <family val="2"/>
      </rPr>
      <t>Minimum equipment list (MEL)</t>
    </r>
    <r>
      <rPr>
        <sz val="11"/>
        <color rgb="FF000000"/>
        <rFont val="Calibri"/>
        <family val="2"/>
      </rPr>
      <t xml:space="preserve">
Any MEL revisions necessary to address RNP 5 provisions of the guidance material must be approved </t>
    </r>
  </si>
  <si>
    <r>
      <rPr>
        <b/>
        <sz val="11"/>
        <rFont val="Calibri"/>
        <family val="2"/>
      </rPr>
      <t>Navigation Database</t>
    </r>
    <r>
      <rPr>
        <sz val="11"/>
        <rFont val="Calibri"/>
        <family val="2"/>
      </rPr>
      <t xml:space="preserve">
The RNAV 5 navigation specification does not require the aircraft to be equipped with a navigation database. If the navigation system(s) installed in the aircraft is equipped with a navigation database, the requirements specified in the CAO 20.91 subsection 13 are applicable.
The standards for navigation databases are contained in RTCA DO-200A and EUROCAE DO-76. Not all current suppliers of navigation databases meet these standards. The navigation database should be obtained from an approved supplier. If it isn’t then the operator, as a minimum, must implement navigation database integrity checks using appropriate software tools or approved manual procedures to verify data relating to all waypoints in the subject RNP 5 airspace or routes. These integrity checks must be performed in addition to any checks previously performed by the Aeronautical Information Services (AIS), by unapproved navigation database suppliers, or by navigation equipment manufacturers.
The integrity checks need to identify any discrepancies between the navigation database and the published charts/procedures. An approved third party may perform integrity checks. Discrepancies that invalidate a procedure must be reported to the navigation database supplier and affected procedures must be prohibited by an operator’s notice to its flight crew. Aircraft operators should consider the need to continue their own database checks even for products obtained from approved suppliers.</t>
    </r>
  </si>
  <si>
    <t>A3.3.1
7.5</t>
  </si>
  <si>
    <t>An aircraft is eligible for  RNAV 5 operations if at least ONE of the following options is valid</t>
  </si>
  <si>
    <t xml:space="preserve"> - Suitable display</t>
  </si>
  <si>
    <t xml:space="preserve"> - Lateral Deviation Display</t>
  </si>
  <si>
    <t>If approval includes use of DME/VOR
(DME/VOR may be used as the only positioning input where this is explicitly allowed.)</t>
  </si>
  <si>
    <t>If approval includes use of DME/DME</t>
  </si>
  <si>
    <t>RNAV SID specific requirement with DME/DME aircraft</t>
  </si>
  <si>
    <t>If approval includes use of GNSS</t>
  </si>
  <si>
    <t>If approval is based on GNSS (TSO-C129 OR ETSO-C129)</t>
  </si>
  <si>
    <t>No navigation database updating process required under AC 90-100</t>
  </si>
  <si>
    <t>RNAV 5 - Compliance Requirements - Summary Section</t>
  </si>
  <si>
    <t xml:space="preserve"> - where lateral and longitudinal guidance is provided by GNSS SIS; and
 - which is flown to an MDA charted as LNAV minima on the approach plate</t>
  </si>
  <si>
    <t>RNP APCH-LNAV</t>
  </si>
  <si>
    <t>RNP APCH-LNAV/VNAV</t>
  </si>
  <si>
    <t xml:space="preserve"> - where lateral and longitudinal guidance is provided by GNSS SIS; and
 - vertical guidance is provided by Baro-VNAV, and
 - the approach is flown to a DA charted as LNAV/VNAV minima on the approach plate</t>
  </si>
  <si>
    <t>RNP APCH-LP</t>
  </si>
  <si>
    <t xml:space="preserve"> - where lateral guidance equivalent to a localiser approach is provided by SBAS augmented GNSS SIS; and
 - which is flown to an MDA charted as LP minima on the approach plate</t>
  </si>
  <si>
    <t>RNP APCH-LPV</t>
  </si>
  <si>
    <t xml:space="preserve"> - lateral, longitudinal and vertical guidance is provided by SBAS augmented GNSS SIS; and
 - the approach is flown to a DA charted as LPV minima on the approach plate</t>
  </si>
  <si>
    <t>For aircraft using (E)TSO-C146a equipment, if the departure begins at a runway waypoint, then the departure aerodrome does not need to be in the flight plan to obtain appropriate monitoring and sensitivity.</t>
  </si>
  <si>
    <t xml:space="preserve"> - Specific</t>
  </si>
  <si>
    <t xml:space="preserve">(a) that the aircraft navigation system is operating correctly;
</t>
  </si>
  <si>
    <t xml:space="preserve"> - ATC Clearance</t>
  </si>
  <si>
    <t xml:space="preserve"> - Before Take-Off</t>
  </si>
  <si>
    <t xml:space="preserve"> - Departure loading dependant on system</t>
  </si>
  <si>
    <t xml:space="preserve"> - RNAV STAR cross check</t>
  </si>
  <si>
    <t xml:space="preserve"> - Crewmember proficiency</t>
  </si>
  <si>
    <t>Functional Requirements</t>
  </si>
  <si>
    <t>These must be used as primary flight instruments for the navigation of the aircraft, for manoeuvre anticipation and for failure/status/integrity indication.</t>
  </si>
  <si>
    <t>(b) A navigation map display, readily visible to the pilot, with appropriate map scales (scaling may be set manually by the pilot), and giving equivalent functionality to a lateral deviation display.</t>
  </si>
  <si>
    <r>
      <t xml:space="preserve">Display of navigation data;
</t>
    </r>
    <r>
      <rPr>
        <sz val="11"/>
        <rFont val="Calibri"/>
        <family val="2"/>
      </rPr>
      <t>The display of navigation data must including a failure indicator and must be on either or both the below:</t>
    </r>
  </si>
  <si>
    <t>Display</t>
  </si>
  <si>
    <t>An aircraft is eligible for Basic RNP 1 operations if at least ONE of the following options is valid</t>
  </si>
  <si>
    <t>An aircraft is eligible for RNP APCH operations if at least ONE of the following options is valid</t>
  </si>
  <si>
    <t>Summary from Below</t>
  </si>
  <si>
    <t xml:space="preserve"> - Lateral Position Display</t>
  </si>
  <si>
    <t>The requirement for the display of lateral position relative to the desired path is:</t>
  </si>
  <si>
    <t xml:space="preserve"> - Display Selection</t>
  </si>
  <si>
    <t xml:space="preserve"> - descent in Final Segment</t>
  </si>
  <si>
    <t xml:space="preserve"> - MAP required</t>
  </si>
  <si>
    <t xml:space="preserve"> - Checked and Confirmed</t>
  </si>
  <si>
    <t xml:space="preserve">(c) the integrity alerting function is not available before passing the FAF; or
</t>
  </si>
  <si>
    <t xml:space="preserve">Generic Training Topics
</t>
  </si>
  <si>
    <t xml:space="preserve">The capabilities and limitations of the navigation system(s) installed. 
</t>
  </si>
  <si>
    <t xml:space="preserve">Theory of approach operations and the ILS look alike principle. 
</t>
  </si>
  <si>
    <t xml:space="preserve">Knowledge of each of the navigation specifications to be used by the aircraft. 
</t>
  </si>
  <si>
    <t xml:space="preserve">Flight Guidance(FG) mode behaviour. 
</t>
  </si>
  <si>
    <t>Operating standards</t>
  </si>
  <si>
    <t>Operating standard</t>
  </si>
  <si>
    <t xml:space="preserve">Flight Planning General
</t>
  </si>
  <si>
    <t xml:space="preserve"> - Documentation</t>
  </si>
  <si>
    <t xml:space="preserve"> - Crew Member Proficiency</t>
  </si>
  <si>
    <t xml:space="preserve"> - System Specific Information</t>
  </si>
  <si>
    <t xml:space="preserve"> - Training Topics</t>
  </si>
  <si>
    <t xml:space="preserve"> - Training General</t>
  </si>
  <si>
    <t xml:space="preserve"> - Route Modification</t>
  </si>
  <si>
    <t xml:space="preserve"> - Required Cross Checks</t>
  </si>
  <si>
    <t xml:space="preserve"> - Safety Considerations</t>
  </si>
  <si>
    <t>Summary - RNAV 5 General Equipment Requirements</t>
  </si>
  <si>
    <t xml:space="preserve">RNP 5 General Equipment Notes
</t>
  </si>
  <si>
    <t xml:space="preserve">Operating standards — Flight Procedures - General
</t>
  </si>
  <si>
    <t>Summary - TGL-10</t>
  </si>
  <si>
    <t>Additional TGL-10 requirements</t>
  </si>
  <si>
    <t xml:space="preserve">Operating standards — 
</t>
  </si>
  <si>
    <t xml:space="preserve">  - When Relying on DMEs</t>
  </si>
  <si>
    <t xml:space="preserve">  - At System Initialisation</t>
  </si>
  <si>
    <t xml:space="preserve"> - Only with ATC Clearance</t>
  </si>
  <si>
    <t xml:space="preserve"> - Checks and Cross-Checks</t>
  </si>
  <si>
    <t xml:space="preserve"> - Modification when Off-Route</t>
  </si>
  <si>
    <t xml:space="preserve"> - Before STAR</t>
  </si>
  <si>
    <t xml:space="preserve"> - Required Inclusions</t>
  </si>
  <si>
    <t xml:space="preserve"> -Optional Inclusions</t>
  </si>
  <si>
    <t xml:space="preserve"> - Check and Confirm</t>
  </si>
  <si>
    <t xml:space="preserve"> - Cross Checks</t>
  </si>
  <si>
    <t xml:space="preserve"> -SID  Verification</t>
  </si>
  <si>
    <t xml:space="preserve"> -STAR  Verification</t>
  </si>
  <si>
    <t>STAR Requirements</t>
  </si>
  <si>
    <t xml:space="preserve">System Requirements
</t>
  </si>
  <si>
    <t xml:space="preserve"> - System Functions
</t>
  </si>
  <si>
    <t>An aircraft is eligible for Basic RNP 2 operations if at least ONE of the following options is valid</t>
  </si>
  <si>
    <t xml:space="preserve"> - ATC Heading</t>
  </si>
  <si>
    <t xml:space="preserve"> - Lateral Deviation</t>
  </si>
  <si>
    <t xml:space="preserve"> - Required Checks</t>
  </si>
  <si>
    <t xml:space="preserve"> - System Initialisation</t>
  </si>
  <si>
    <t xml:space="preserve"> - RNP 2 Routes</t>
  </si>
  <si>
    <t xml:space="preserve"> - Selection Steps</t>
  </si>
  <si>
    <t xml:space="preserve"> - iaw RNP 0.3</t>
  </si>
  <si>
    <r>
      <rPr>
        <sz val="12"/>
        <rFont val="Calibri"/>
        <family val="2"/>
      </rPr>
      <t>A.5.4.1.b</t>
    </r>
  </si>
  <si>
    <t>The RNP 2 operation requires the following minimum system and equipment functions:</t>
  </si>
  <si>
    <t>Additional AC 90-100 requirements</t>
  </si>
  <si>
    <r>
      <t xml:space="preserve">An aircraft is eligible for  RNAV 1&amp;2 operations if at least </t>
    </r>
    <r>
      <rPr>
        <b/>
        <sz val="12"/>
        <rFont val="Calibri"/>
        <family val="2"/>
      </rPr>
      <t>ONE</t>
    </r>
    <r>
      <rPr>
        <sz val="12"/>
        <rFont val="Calibri"/>
        <family val="2"/>
      </rPr>
      <t xml:space="preserve"> of the following options is valid</t>
    </r>
  </si>
  <si>
    <t xml:space="preserve"> - Display Items</t>
  </si>
  <si>
    <t xml:space="preserve">Summary - Required Functions
</t>
  </si>
  <si>
    <t xml:space="preserve">a. suitable desktop analysis
</t>
  </si>
  <si>
    <t xml:space="preserve">b. simulator evaluation
</t>
  </si>
  <si>
    <t xml:space="preserve">c. flight (in visual meteorological conditions)
</t>
  </si>
  <si>
    <t>FE with work-a-round</t>
  </si>
  <si>
    <t>Unknown/Missing</t>
  </si>
  <si>
    <t xml:space="preserve"> - Operating requirements
</t>
  </si>
  <si>
    <t>An aircraft is eligible for FRT  operations if the aircraft is equipped with all of the following</t>
  </si>
  <si>
    <t xml:space="preserve">Lateral and vertical path management. 
</t>
  </si>
  <si>
    <t xml:space="preserve">Change arrival airport and alternate airport.
 </t>
  </si>
  <si>
    <t>Option 1</t>
  </si>
  <si>
    <t>Option 2</t>
  </si>
  <si>
    <t xml:space="preserve">Option 2 - DASA Assessment
</t>
  </si>
  <si>
    <t xml:space="preserve">Fight Operations
</t>
  </si>
  <si>
    <t>Revised/Updated Assessment - MAO</t>
  </si>
  <si>
    <t xml:space="preserve">Digital Data
</t>
  </si>
  <si>
    <t xml:space="preserve">a stand-alone GNSS system approved for RNP APCH operations
</t>
  </si>
  <si>
    <t xml:space="preserve">The flight planning requirements for the RNAV/RNP operations. 
</t>
  </si>
  <si>
    <t xml:space="preserve">Contingency procedures for RNAV/RNP failures. 
</t>
  </si>
  <si>
    <t xml:space="preserve">Perform gross navigation error checks using conventional NAVAIDs. 
</t>
  </si>
  <si>
    <t xml:space="preserve">Performing a conventional holding pattern. 
</t>
  </si>
  <si>
    <t xml:space="preserve">Change arrival airport and alternate airport. 
</t>
  </si>
  <si>
    <t xml:space="preserve">Insert and delete route discontinuity. 
</t>
  </si>
  <si>
    <t xml:space="preserve">Resolve route discontinuities. 
</t>
  </si>
  <si>
    <t xml:space="preserve">Verify waypoints and flight plan programming. 
</t>
  </si>
  <si>
    <t xml:space="preserve">Fly direct to a waypoint. 
</t>
  </si>
  <si>
    <t xml:space="preserve">Verify the successful completion of RNP system self-tests. 
</t>
  </si>
  <si>
    <t xml:space="preserve">Verify currency and integrity of the aircraft navigation data. 
</t>
  </si>
  <si>
    <t xml:space="preserve">Interpretation of (electronic) displays and symbols. 
</t>
  </si>
  <si>
    <t xml:space="preserve">Turn anticipation with consideration to speed and altitude effects. 
</t>
  </si>
  <si>
    <t xml:space="preserve">Use of autopilot, auto throttle and flight director. 
</t>
  </si>
  <si>
    <t xml:space="preserve">Functional integration with other aircraft systems. 
</t>
  </si>
  <si>
    <t xml:space="preserve">Initialize navigation system position. 
</t>
  </si>
  <si>
    <t xml:space="preserve">Automatic and/ or manual setting of the required navigation accuracy. 
</t>
  </si>
  <si>
    <t>System Functional and Performance Specification 
 - Compliant with ICAO DOC 9613</t>
  </si>
  <si>
    <t>Flight Crew Requirements  - RNP0.3 Competencies</t>
  </si>
  <si>
    <t>Other Flight Procedures</t>
  </si>
  <si>
    <t>Operating standards - Flight Procedures - RNP SID</t>
  </si>
  <si>
    <t>Operating standards — flight procedures - RNP STAR</t>
  </si>
  <si>
    <t>Associated Supplementary Approvals - BARO-VNAV</t>
  </si>
  <si>
    <t xml:space="preserve">For RNAV 5 eligibility, an aircraft’s navigation equipment must
</t>
  </si>
  <si>
    <t xml:space="preserve"> - Navigation Data</t>
  </si>
  <si>
    <t xml:space="preserve"> - Display visibility</t>
  </si>
  <si>
    <t xml:space="preserve">The following standards apply to navigation displays:
</t>
  </si>
  <si>
    <t xml:space="preserve">(a)	navigation data must be available on:
</t>
  </si>
  <si>
    <t xml:space="preserve">(b) the display must be suitable for use:
</t>
  </si>
  <si>
    <t xml:space="preserve">(ii) for manoeuvre anticipation; and
</t>
  </si>
  <si>
    <t xml:space="preserve">(iii) for failure, status or integrity indication;
</t>
  </si>
  <si>
    <t xml:space="preserve">Flight Operations - Summary
</t>
  </si>
  <si>
    <t xml:space="preserve">Remove and reselect navigation sensor input. 
</t>
  </si>
  <si>
    <t xml:space="preserve">Intercept a course/track. 
</t>
  </si>
  <si>
    <t xml:space="preserve">Fly a course/track to a waypoint. 
</t>
  </si>
  <si>
    <t xml:space="preserve">Pilot procedures consistent with the operation. 
</t>
  </si>
  <si>
    <t xml:space="preserve">Flight Operations Requirements
</t>
  </si>
  <si>
    <t xml:space="preserve">RNP STAR requirements
</t>
  </si>
  <si>
    <t xml:space="preserve">An aircraft is eligible for RVSM operations only if  all the following requirements are met
</t>
  </si>
  <si>
    <t xml:space="preserve">Monitoring Height Keeping Minimum requirements </t>
  </si>
  <si>
    <t>Cross-track and along-track requirements
All aircraft undertaking RNP 10 operations must have a cross-track Total System Error (TSE) no greater than +/-10 NM for 95% of the flight time. This includes Position Estimation Error (PEE), Flight Technical Error (FTE), Path Definition Error (PDE) and display error.
All aircraft must also have an along-track TSE error no greater than +/-10 NM for 95% of the flight time.
Note: For RNP 10 authorisation of aircraft capable of coupling the RNAV system to the flight director or autopilot, navigational positioning error is considered to be the dominant contributor to cross-track and along-track error. Flight technical error, path definition error, and display errors are considered to be insignificant for the purposes of authorisation.</t>
  </si>
  <si>
    <t>The suppliers of the Navigation Database comply with the minimum integrity requirements associated with the PBN Approval.</t>
  </si>
  <si>
    <t xml:space="preserve"> - Technical requirements</t>
  </si>
  <si>
    <t>An aircraft is eligible for RNP AR operations only if all the following requirements are met</t>
  </si>
  <si>
    <t>The following additional requirements have been identified in excess of functional requirements identified by ICAO and may also not be reflected in the applicable (E)TSO standards</t>
  </si>
  <si>
    <t>Flight Crew Knowledge and training are compliant if the following requirements are met</t>
  </si>
  <si>
    <t>(a) A detailed description of the proposed aircrew  training for the requested PBN operations, associated competencies and currency requirements.  including a copy of the training syllabus</t>
  </si>
  <si>
    <t>An aircraft is eligible for A RNP operations only if all of the following requirements are met</t>
  </si>
  <si>
    <t>DME/DME -
Complies with requirements of ICAO PBN Manual Volume II Part B Chapter 3 para 3.3.3.2.2</t>
  </si>
  <si>
    <t>DME/DME/IRU -
Complies with requirements of ICAO PBN Manual Volume II Part B Chapter 3 para 3.3.3.2.3</t>
  </si>
  <si>
    <t xml:space="preserve">RNP 2 Functional and Performance specifications can be met if all the following requirements are met
</t>
  </si>
  <si>
    <t>(g) where published, the pilot must not exceed maximum airspeeds associated with the fly-ability (design) of the RF Legs.</t>
  </si>
  <si>
    <t>Specific and general training requirements</t>
  </si>
  <si>
    <t xml:space="preserve">The aircraft meets the requirements for RF path terminator  operations in accordance with ICAO Doc. 9613, Performance-based Navigation (PBN) Manual, Volume II, Appendix 2, Fixed Radius Transition. </t>
  </si>
  <si>
    <t>All compliance checklists for a specific Navigation Authorisation follow the same format. The following example is drawn from the RNAV/RNP 10 worksheet</t>
  </si>
  <si>
    <t>Final Compliance Assessment - DASA</t>
  </si>
  <si>
    <t xml:space="preserve">(a) The  integrity  of  the  design  features  necessary  to  ensure  that  altimetry  systems  continue  to  meet RVSM standards should be verified by scheduled tests and/or inspections in conjunction with an approved  maintenance  program. The  operator  should  review  its  maintenance  procedures  and address all aspects of continuing airworthiness which are affected by RVSM requirements.
</t>
  </si>
  <si>
    <r>
      <rPr>
        <b/>
        <u/>
        <sz val="11"/>
        <rFont val="Calibri"/>
        <family val="2"/>
      </rPr>
      <t>Maintenance program approval requirements</t>
    </r>
    <r>
      <rPr>
        <sz val="11"/>
        <rFont val="Calibri"/>
        <family val="2"/>
      </rPr>
      <t xml:space="preserve">
Each  operator  requesting  an RVSM  operational  approval should  submit  a  maintenance  and inspection  program  which  includes  any  maintenance  requirements  defined  in  the  approved  data package as part of a continued airworthiness (approved system of) maintenance program approval or an equivalent program approved by DASA. 
</t>
    </r>
  </si>
  <si>
    <t xml:space="preserve">(c) any  maintenance  practices  which  may  affect  the  continuing  RVSM  approval  integrity, e.g. the  alignment  of  pitot/static  probes,  dents,  or  deformation  around  static  plates, should be referred to CASA or to persons delegated by CASA;
</t>
  </si>
  <si>
    <t xml:space="preserve">(d) Built-In Test Equipment testing is not an acceptable basis for system calibrations, (unless it is shown to be acceptable by the airframe manufacturer with CASA’s agreement) and should only be used for fault isolation and troubleshooting purposes;
</t>
  </si>
  <si>
    <t>(h) the  maintenance  and  inspection  program  for  the  autopilot  should  ensure  continued accuracy  and  integrity  of  the  automatic  altitude  control  system  to  meet  the  height-keeping standards  for  RVSM  operations. This  requirement  will  typically  be  satisfied with equipment inspections and serviceability checks; and</t>
  </si>
  <si>
    <r>
      <rPr>
        <b/>
        <u/>
        <sz val="11"/>
        <rFont val="Calibri"/>
        <family val="2"/>
      </rPr>
      <t>Maintenance practices for non-compliant aircraft</t>
    </r>
    <r>
      <rPr>
        <sz val="11"/>
        <rFont val="Calibri"/>
        <family val="2"/>
      </rPr>
      <t xml:space="preserve">
Those aircraft positively identified as exhibiting height-keeping performance errors which require investigation as specified in section 12.9 (paragraph 1)should not be operated in airspace where RVSM is applied until the following actions have been taken:
(a) the failure or malfunction is confirmed and isolated by maintenance action; and
(b) corrective  action  is  carried  out  as  required  to  comply  with section  10.2.5(d)(vi)and verified to ensure RVSM approval integrity.
</t>
    </r>
  </si>
  <si>
    <t xml:space="preserve">(b) regular   calibrations   of   test   equipment   traceable   to   a   master   in-house   standard. Determination  of  calibration  interval  should  be  a  function  of  the  stability  of  the  test equipment. The calibration interval should be established on the basis of historical data so that degradation is small in relation to the required accuracy;
</t>
  </si>
  <si>
    <t>Op Approval</t>
  </si>
  <si>
    <r>
      <rPr>
        <b/>
        <u/>
        <sz val="11"/>
        <rFont val="Calibri"/>
        <family val="2"/>
      </rPr>
      <t>RVSM Operational Approval</t>
    </r>
    <r>
      <rPr>
        <sz val="11"/>
        <rFont val="Calibri"/>
        <family val="2"/>
      </rPr>
      <t xml:space="preserve">
Sufficient  documentation  should  be  available  to  show  that  the  aircraft  has  been  issued  with  an RVSM airworthiness approval:
(a) In-service  aircraft: Documents  that  contain  the  inspections  and/or  modifications  that  are required to make an in-service aircraft RVSM compliant can take the form of approved Service Bulletins, Aircraft Service Changes, Supplemental TCs or any other format that CASA finds acceptable; and
(b) In-production  or  new-production  aircraft: For  such  aircraft,  statements  of  eligibility  to conduct  RVSM  operations  can  be  included  in  the  AFM. Also, TC Data  Sheets  can  be used to show RVSM eligibility by describing RVSM related avionics configurations and continued airworthiness    criteria    or    providing    reference    to    CASA    approved documentation  in  the  form  of  a  report.
</t>
    </r>
  </si>
  <si>
    <t xml:space="preserve">RVSM Operating Practices and Procedures
</t>
  </si>
  <si>
    <r>
      <rPr>
        <u/>
        <sz val="11"/>
        <rFont val="Calibri"/>
        <family val="2"/>
      </rPr>
      <t>Flight Planning</t>
    </r>
    <r>
      <rPr>
        <sz val="11"/>
        <rFont val="Calibri"/>
        <family val="2"/>
      </rPr>
      <t xml:space="preserve">
(a) verifying that the airframe is approved for RVSM operations;
(b) reported and forecast weather on the route of flight;
(c) minimum equipment requirements pertaining to height keeping and alerting systems; and(d)any airframe or operating restriction related to RVSM approval.
</t>
    </r>
  </si>
  <si>
    <t xml:space="preserve">(b) during  the  external  inspection  of  aircraft,  particular  attention  should  be  paid  to  the condition of static sources and the condition of the fuselage skin near each static source and  any  other  component  that  affects  altimetry  system  accuracy. This  check  may  be accomplished  by  a  qualified  and  
authorised  person  other  than  the  pilot  (e.g.  a  flight engineer or ground engineer);
</t>
  </si>
  <si>
    <t xml:space="preserve">(c) before take-off, the aircraft altimeters should be set to the QNH of the airfield and should display  a  known  altitude,  within  the  limits  specified  in  the  aircraft  operating  manuals. The  two  primary  altimeters  should  also  agree  within  limits  specified  by  the  aircraft operating  manual. An  alternative  procedure  using  QFE  may  also  be  used. Any required functioning checks of altitude indicating systems should be performed; and
Note: The  maximum  value  for  these  checks  cited  in  operating  manuals  should  not exceed 75 ft (23 m).
</t>
  </si>
  <si>
    <r>
      <rPr>
        <u/>
        <sz val="11"/>
        <rFont val="Calibri"/>
        <family val="2"/>
      </rPr>
      <t>Prior to RVSM Airspace Entry</t>
    </r>
    <r>
      <rPr>
        <sz val="11"/>
        <rFont val="Calibri"/>
        <family val="2"/>
      </rPr>
      <t xml:space="preserve">
The following equipment must be operating normally for entry into RVSM airspace:
(a) two primary altitude measurement systems;
(b) one automatic altitude-control system;
(c) one altitude-alerting device; and
(d) an operating transponder.
Note: Dual  equipment  requirements  for  altitude-control  systems  will  be  established  by regional  agreement  after  an  evaluation  of  criteria  such  as  mean  time  between  failures, length  of  flight  segments  and  availability  of  direct  pilot-controller  communications  and radar surveillance.
Note: An  operating  transponder  may  not  be  required  for  entry  into  all  designated RVSM  airspace. The  operator  should  determine  the  requirement  for  an  operational transponder in each RVSM area where operations are intended. The operator should also determine the transponder requirements for transition areas next to RVSM airspace.
Note: Should  any  of  the  required  equipment  fail  prior  to  the  aircraft  entering  RVSM airspace, the pilot must request a new clearance to avoid entering this airspace.
</t>
    </r>
  </si>
  <si>
    <t xml:space="preserve">(a) flight crews will need to comply with any aircraft operating restrictions, if required for  the  specific  aircraft  group,  e.g.  limits  on indicated Mach number, given in the RVSM airworthiness approval;
</t>
  </si>
  <si>
    <t xml:space="preserve">(d) when changing levels, the aircraft should not be allowed to overshoot or undershoot the cleared Flight Level by more than 150 ft (45 m);
Note: It  is  recommended  that  the  level  off  be  accomplished  using  the  altitude  capture feature of the automatic altitude-control system, if installed.
</t>
  </si>
  <si>
    <t>(g) at  intervals  of  approximately  one  hour,  cross-checks  between  the  primary  altimeters should be made. A minimum of two will need to agree within ±200 ft (±60 m). Failure to meet  this  condition  will  require  that  the  altimetry  system  be  reported  as  defective  and notified to ATC:
(i) the  usual  scan  of  flight  deck  instruments  should  suffice  for  altimeter  cross-checking on most flights; and
(ii) before  entering  RVSM  airspace,  the  initial  altimeter  cross  check  of  primary  and standby altimeters should be recorded;
Note: Some systems may make use of automatic altimeter comparators.</t>
  </si>
  <si>
    <r>
      <rPr>
        <u/>
        <sz val="11"/>
        <rFont val="Calibri"/>
        <family val="2"/>
      </rPr>
      <t>Post-Flight</t>
    </r>
    <r>
      <rPr>
        <sz val="11"/>
        <rFont val="Calibri"/>
        <family val="2"/>
      </rPr>
      <t xml:space="preserve">
In  making  technical  log  entries  against  malfunctions  in  height  keeping  systems,  the  pilot  should provide sufficient detail to enable maintenance to effectively troubleshoot and repair the system. The pilot should detail the actual defect and the crew action taken to try to isolate and rectify the fault.
The following information should be recorded when appropriate:
(a) primary and standby altimeter readings;
(b) altitude selector setting;
(c) sub-scale setting on altimeter;
(d) autopilot used to control the aeroplane and any differences when an alternative autopilot system was selected;
(e) differences  in  altimeter  readings,  if  alternate  static  ports  selected. Use  of  air  data computer selector for fault diagnosis procedure; and
(f) the  transponder  selected  to  provide  altitude  information  to  ATC  and  any  difference noted
</t>
    </r>
  </si>
  <si>
    <t xml:space="preserve">(d) problems  of  visual  perception  of  other  aircraft  at  1  000ft  (300m)  planned  separation during night conditions, when encountering local phenomena such as northern lights, for opposite and same direction traffic, and during turns;
</t>
  </si>
  <si>
    <r>
      <rPr>
        <b/>
        <sz val="11"/>
        <rFont val="Calibri"/>
        <family val="2"/>
      </rPr>
      <t>Training documentation.</t>
    </r>
    <r>
      <rPr>
        <sz val="11"/>
        <rFont val="Calibri"/>
        <family val="2"/>
      </rPr>
      <t xml:space="preserve"> 
Operators must submit training syllabi and training material (e.g. computer based training, simulator training) to DASA. This material must show that the operational practices, procedures and training items related to RNP 4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RNP 4 route or airspace;
(d) in-flight contingency procedures;
(e) flight crew qualification procedures.</t>
    </r>
  </si>
  <si>
    <t>(a) A non-numeric lateral deviation display (e.g. CDI, electronic horizontal situation indicator display ((E)HSI), with a To/From indication and a failure annunciation, for use as primary flight instruments for navigation of the aircraft, for manoeuvre anticipation, and for failure/status/integrity indication, with the Display functionality described below:</t>
  </si>
  <si>
    <r>
      <rPr>
        <b/>
        <sz val="11"/>
        <rFont val="Calibri"/>
        <family val="2"/>
      </rPr>
      <t xml:space="preserve">Parallel offset; </t>
    </r>
    <r>
      <rPr>
        <sz val="11"/>
        <rFont val="Calibri"/>
        <family val="2"/>
      </rPr>
      <t xml:space="preserve">
The system must have the capability to fly parallel tracks at a selected offset distance. When executing a parallel offset, the RNP type and all performance requirements of the original route in the active flight plan must be applicable to the offset route. The system must provide for entry of offset distances in increments of 1 NM, left or right of course. The system must be capable of offsets of at least 20 NM. When in use, system offset mode operation must be clearly indicated to the flight crew. When in offset mode, the system must provide reference parameters (for example, cross track deviation, distance-to-go, time-to-go) relative to the offset path and offset reference points. An offset must not be propagated through route discontinuities, unreasonable path geometries, or beyond the initial approach fix. Annunciation must be given to the flight crew prior to the end of the offset path, with sufficient time to return to the original path. Once a parallel offset is activated, the offset must remain active for all flight plan route segments until removed automatically, until the flight crew enters a Direct-To routing, or until flight crew (manual) cancellation. The parallel offset function must be available for en-route TF and geodesic portion of DF leg types.</t>
    </r>
  </si>
  <si>
    <t>Compliance Assessment - DASA</t>
  </si>
  <si>
    <t>An aircraft is eligible for RNAV/RNP 10 operations the following Nav systems, Cross-track and Group requirements are met.
Note: Doppler systems will NOT be approved for RNP 10 operations</t>
  </si>
  <si>
    <t>An aircraft is eligible for RNAV/RNP 10 operations if one the following GROUP or data collection requirements is met</t>
  </si>
  <si>
    <t xml:space="preserve">One of the following data collection methods should be used.
</t>
  </si>
  <si>
    <t xml:space="preserve">Additional Aircraft Eligibility Requirements for non-GPS based systems </t>
  </si>
  <si>
    <t>Validation procedures of data provided by an external agency and/or internal control and verification procedures should any internal changes to the supplied data be made are sufficient. 
Note: this should encompass all digital navigation data (including map and chart data) coverage, acquisition, manipulation and management to encompass areas of Defence aircraft operations</t>
  </si>
  <si>
    <t>Summary - RNP-AR System Requirements</t>
  </si>
  <si>
    <t>A Radius to Fix Path Terminators (RF Legs) authorisation may be used in conjunction with RNP 0.3</t>
  </si>
  <si>
    <t>Evidence that the suppliers of the Navigation Database comply with the minimum integrity requirements for this PBN authorisation.</t>
  </si>
  <si>
    <t>(a) A non-numeric lateral deviation display (e.g. CDI, electronic horizontal situation indicator display ((E)HSI), with a To/From indication and a failure annunciation, for use as primary flight instruments for navigation of the aircraft, for manoeuvre anticipation, and for failure/status/integrity indication, with the display functionality listed below.</t>
  </si>
  <si>
    <t>The system shall be capable of loading numeric values for courses and tracks from the on-board navigation database.</t>
  </si>
  <si>
    <t>A FRT authorisation may be used in conjunction with A-RNP</t>
  </si>
  <si>
    <t xml:space="preserve"> - Descent Requirements</t>
  </si>
  <si>
    <t>SID Requirements</t>
  </si>
  <si>
    <t>(a) the meaning and proper use of aircraft equipment and navigation suffixes;</t>
  </si>
  <si>
    <t xml:space="preserve">Alternative Compliance
</t>
  </si>
  <si>
    <t xml:space="preserve"> - RNP 5 Compliance Requirements
</t>
  </si>
  <si>
    <r>
      <rPr>
        <b/>
        <sz val="11"/>
        <rFont val="Calibri"/>
        <family val="2"/>
      </rPr>
      <t>Training documentation.</t>
    </r>
    <r>
      <rPr>
        <sz val="11"/>
        <rFont val="Calibri"/>
        <family val="2"/>
      </rPr>
      <t xml:space="preserve"> 
AOC holders must submit training syllabi and training material (e.g. computer based training, simulator training) to DASA. This material must show that the operational practices, procedures and training items related to RNP 4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RNP 4 route or airspace;
(d) in-flight contingency procedures;
(e) flight crew qualification procedures.</t>
    </r>
  </si>
  <si>
    <t>Functional Requirements: RNP 5
Only complete if standard aircraft eligibility requirements above can not be determined/completed</t>
  </si>
  <si>
    <t>Demonstration to DASA that the aircraft meets the requirements of ICAO Doc 9613, Performance-based Navigation (PBN) Manual, Volume II, Part B, Chapter 3, Implementing RNAV 1 and RNAV 2</t>
  </si>
  <si>
    <t>For RNAV 1 routes, an L/DEV indicator, flight director or autopilot in lateral navigation mode must be used.
Note    For RNAV 2 routes, a lateral deviation indicator, flight director or autopilot in the LNAV mode is recommended. In lieu of a lateral deviation indicator, a navigation map display with equivalent functionality to a lateral deviation indicator is recommended.</t>
  </si>
  <si>
    <t>Demonstration to DASA that the aircraft meets the functional requirements for navigation displays and standards stated in ICAO Doc. 9613, Performance-based Navigation (PBN) Manual, Volume II, Part B, Chapter 3, Implementing RNAV 1 and RNAV 2.</t>
  </si>
  <si>
    <t>(d) whether, the navigation database is current and appropriate for the region of operation and includes the navaids and waypoints required for the route;</t>
  </si>
  <si>
    <r>
      <rPr>
        <b/>
        <sz val="11"/>
        <rFont val="Calibri"/>
        <family val="2"/>
      </rPr>
      <t>Training documentation.</t>
    </r>
    <r>
      <rPr>
        <sz val="11"/>
        <rFont val="Calibri"/>
        <family val="2"/>
      </rPr>
      <t xml:space="preserve"> 
AOC holders must submit training syllabi and training material (e.g. computer based training, simulator training) to DASA. This material must show that the operational practices, procedures and training items related to RNP 2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RNP 4 route or airspace;
(d) in-flight contingency procedures;
(e) flight crew qualification procedures.</t>
    </r>
  </si>
  <si>
    <t>A Radius to Fix Path Terminators (RF Legs) authorisation may be used in conjunction with RNP 1</t>
  </si>
  <si>
    <t>(a) lateral deviation display (CDI, (E)HSI)), 
with a To/From indication and a failure annunciation, for use as primary flight instruments for navigation of the aircraft, for manoeuvre anticipation, and for failure/status/integrity indication, with the Display functionality described below:</t>
  </si>
  <si>
    <t>The following system functions are required as a minimum within any RNP 1 equipment</t>
  </si>
  <si>
    <t>The aircraft’s AFM, an AFM Supplement or an OEM service letter states that the aircraft navigation system is approved for RNP 0.3 approach operations with GNSS updating</t>
  </si>
  <si>
    <r>
      <t xml:space="preserve">An aircraft is eligible for RNP APCH-LPV operations if at least </t>
    </r>
    <r>
      <rPr>
        <b/>
        <sz val="11"/>
        <rFont val="Calibri"/>
        <family val="2"/>
      </rPr>
      <t>ONE</t>
    </r>
    <r>
      <rPr>
        <sz val="11"/>
        <rFont val="Calibri"/>
        <family val="2"/>
      </rPr>
      <t xml:space="preserve"> of the following options is valid</t>
    </r>
  </si>
  <si>
    <t>Summary - Overall Aircraft Eligibility</t>
  </si>
  <si>
    <t>Summary - Additional Generic Requirements</t>
  </si>
  <si>
    <t xml:space="preserve"> - GNSS Requirements</t>
  </si>
  <si>
    <r>
      <rPr>
        <b/>
        <sz val="11"/>
        <rFont val="Calibri"/>
        <family val="2"/>
      </rPr>
      <t>Training documentation.</t>
    </r>
    <r>
      <rPr>
        <sz val="11"/>
        <rFont val="Calibri"/>
        <family val="2"/>
      </rPr>
      <t xml:space="preserve"> 
Operators must submit training syllabi and training material (e.g. computer based training, simulator training) to DASA. This material must show that the operational practices, procedures and training items related to these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RNP 4 route or airspace;
(d) in-flight contingency procedures;
(e) flight crew qualification procedures.</t>
    </r>
  </si>
  <si>
    <t>Compliance Worksheet RNAV 5
CASA CAO 20.91 App 1 - CASA AC 91-5 V1.0 - ICAO DOC 9613 Part B Ch 2</t>
  </si>
  <si>
    <t>Compliance Worksheet RNP 4
CASA CAO 20.91 - CASA AC 91-5 V1.0 - ICAO DOC 9613 Part C Ch 1</t>
  </si>
  <si>
    <t>Compliance Worksheet RNAV 1 &amp; 2
CASA CAO 20.91 App 2 - CASA AC 91-5 V1.0 - ICAO DOC 9613 Part B Ch 3</t>
  </si>
  <si>
    <t>Compliance Worksheet RNP 2
CASA CAO 20.91 App 3 - CASA AC 91-5 V1.0 - ICAO DOC 9613 PART C Ch 2</t>
  </si>
  <si>
    <t>Compliance Worksheet RNP 1
CASA CAO 20.91 App 4 - CASA AC 91-5 V1.0 - ICAO DOC 9613 Part C Ch 3</t>
  </si>
  <si>
    <t>Compliance Worksheet RNP 0.3
CASA CAO 20.91 App5 - CASA AC 91-5 V1.0 - ICAO DOC 9613 PART C Ch 7</t>
  </si>
  <si>
    <t>Compliance Worksheet RNP APCH
CASA CAO 20.91 App 6 - CASA AC 91-5 V1.0 - ICAO DOC 9613 Part C Ch 5</t>
  </si>
  <si>
    <t>Compliance Worksheet RNP AR
CASA CAO 20.91 App7 - CASA AC 91-5 V1.0 - ICAO DOC 9613 PART C Ch 6</t>
  </si>
  <si>
    <t>This spreadsheet combines the requirements of all applicable individual Navigation Authorisation compliance checklists and:
a. their supporting documents 
b. their required training programs
c. the obligations of the applicable DASA Advisory Circular (see DASA DeskO)</t>
  </si>
  <si>
    <r>
      <rPr>
        <b/>
        <sz val="11"/>
        <rFont val="Calibri"/>
        <family val="2"/>
      </rPr>
      <t>Name</t>
    </r>
    <r>
      <rPr>
        <sz val="11"/>
        <rFont val="Calibri"/>
        <family val="2"/>
      </rPr>
      <t xml:space="preserve">:
</t>
    </r>
    <r>
      <rPr>
        <b/>
        <sz val="11"/>
        <rFont val="Calibri"/>
        <family val="2"/>
      </rPr>
      <t>Position</t>
    </r>
    <r>
      <rPr>
        <sz val="11"/>
        <rFont val="Calibri"/>
        <family val="2"/>
      </rPr>
      <t xml:space="preserve">: </t>
    </r>
  </si>
  <si>
    <t>All specific Navigation Authorisation compliance checklists are selected on the Form's  Application Page tab. Only the sought Navigation Authorisation compliance worksheets will be visible once selected and require completion.</t>
  </si>
  <si>
    <t>DASA Form 1307 Background References</t>
  </si>
  <si>
    <t>DASA Form 1307 contains individual worksheets, each reflecting an allowable navigation specification that can be requested from the Authority. Specification content has been validated against:</t>
  </si>
  <si>
    <t>Compliance Worksheet RNAV 10 / RNP 10
CASA AC 91-5 V1.0 - ICAO DOC 9613 Part B Ch 1</t>
  </si>
  <si>
    <t>Notes: (Discuss with DASA DeskO)</t>
  </si>
  <si>
    <t>Approval Component</t>
  </si>
  <si>
    <t>Approval Criteria / Specification / Requirement</t>
  </si>
  <si>
    <t xml:space="preserve"> Approval Criteria / Specification / Requirement</t>
  </si>
  <si>
    <t>Compliance Worksheet Baro-VNAV
CASA CAO 20.91 App 8 - CASA AC 91-5 V1.0 - ICAO DOC 9613 Vol II Att A</t>
  </si>
  <si>
    <t>Compliance CAR 181 - RVSM
CAAP 181A-1(2)
ICAO Doc 9574 AN/934 – Manual on Implementation of a 300m (1000ft) Vertical Separation Minima</t>
  </si>
  <si>
    <r>
      <t>d.</t>
    </r>
    <r>
      <rPr>
        <sz val="7"/>
        <color rgb="FF000000"/>
        <rFont val="Times New Roman"/>
        <family val="1"/>
      </rPr>
      <t xml:space="preserve">    </t>
    </r>
    <r>
      <rPr>
        <sz val="12"/>
        <color rgb="FF000000"/>
        <rFont val="Arial"/>
        <family val="2"/>
      </rPr>
      <t>CASA Advisory Circular 91-05 v1.0 - Performance-based navigation of 2021</t>
    </r>
  </si>
  <si>
    <r>
      <t>e.</t>
    </r>
    <r>
      <rPr>
        <sz val="7"/>
        <color rgb="FF000000"/>
        <rFont val="Times New Roman"/>
        <family val="1"/>
      </rPr>
      <t xml:space="preserve">      </t>
    </r>
    <r>
      <rPr>
        <sz val="12"/>
        <color rgb="FF000000"/>
        <rFont val="Arial"/>
        <family val="2"/>
      </rPr>
      <t>CASA Form 1307 – Application for Navigation Specification of 07/2017</t>
    </r>
  </si>
  <si>
    <r>
      <t>f.</t>
    </r>
    <r>
      <rPr>
        <sz val="7"/>
        <color rgb="FF000000"/>
        <rFont val="Times New Roman"/>
        <family val="1"/>
      </rPr>
      <t xml:space="preserve">    </t>
    </r>
    <r>
      <rPr>
        <sz val="12"/>
        <color rgb="FF000000"/>
        <rFont val="Arial"/>
        <family val="2"/>
      </rPr>
      <t>CASA PBN Spec. &amp; Authorisations - Technical Approval Handbook - v2.0 Sep 2016</t>
    </r>
  </si>
  <si>
    <r>
      <t>g.</t>
    </r>
    <r>
      <rPr>
        <sz val="7"/>
        <color rgb="FF000000"/>
        <rFont val="Times New Roman"/>
        <family val="1"/>
      </rPr>
      <t xml:space="preserve">    </t>
    </r>
    <r>
      <rPr>
        <sz val="12"/>
        <color rgb="FF000000"/>
        <rFont val="Arial"/>
        <family val="2"/>
      </rPr>
      <t>CASA CAR 181 – Operations in RVSM airspace</t>
    </r>
  </si>
  <si>
    <r>
      <t>h.</t>
    </r>
    <r>
      <rPr>
        <sz val="7"/>
        <color rgb="FF000000"/>
        <rFont val="Times New Roman"/>
        <family val="1"/>
      </rPr>
      <t xml:space="preserve">      </t>
    </r>
    <r>
      <rPr>
        <sz val="12"/>
        <color rgb="FF000000"/>
        <rFont val="Arial"/>
        <family val="2"/>
      </rPr>
      <t>ICAO Doc 9574 – 300m/1000ft Vert. Separation Minima FL290-410 (Ed 2) of 2002</t>
    </r>
  </si>
  <si>
    <r>
      <t>i.</t>
    </r>
    <r>
      <rPr>
        <sz val="7"/>
        <color rgb="FF000000"/>
        <rFont val="Times New Roman"/>
        <family val="1"/>
      </rPr>
      <t xml:space="preserve">      </t>
    </r>
    <r>
      <rPr>
        <sz val="12"/>
        <color rgb="FF000000"/>
        <rFont val="Arial"/>
        <family val="2"/>
      </rPr>
      <t>CASA Advisory Circular 91.U-02 - RNP 10 Operational Authorisation of 2005</t>
    </r>
  </si>
  <si>
    <r>
      <t>j.</t>
    </r>
    <r>
      <rPr>
        <sz val="7"/>
        <color rgb="FF000000"/>
        <rFont val="Times New Roman"/>
        <family val="1"/>
      </rPr>
      <t xml:space="preserve">     </t>
    </r>
    <r>
      <rPr>
        <sz val="12"/>
        <color rgb="FF000000"/>
        <rFont val="Arial"/>
        <family val="2"/>
      </rPr>
      <t>CASA Advisory Circular 91.U-03 - RNP 4 Operational Authorisation of 2005.</t>
    </r>
  </si>
  <si>
    <r>
      <t>k.</t>
    </r>
    <r>
      <rPr>
        <sz val="7"/>
        <color rgb="FF000000"/>
        <rFont val="Times New Roman"/>
        <family val="1"/>
      </rPr>
      <t xml:space="preserve">     </t>
    </r>
    <r>
      <rPr>
        <sz val="12"/>
        <color rgb="FF000000"/>
        <rFont val="Arial"/>
        <family val="2"/>
      </rPr>
      <t>CASA Part 91 Manual of Standards of 2020</t>
    </r>
  </si>
  <si>
    <t>Compliance Worksheet TOAC
CASA CAO 20.91 App 12 - CASA AC 91-5 V1.0 - ICAO DOC 9613 Part C App 3</t>
  </si>
  <si>
    <t>Compliance Worksheet Advanced RNP
CASA CAO 20.91 App 9 - CASA AC 91-5 V1.0 - ICAO DOC 9613 Part C Ch 4</t>
  </si>
  <si>
    <t>Compliance Worksheet RF Legs
CASA CAO 20.91 App 10 - CASA AC 91-5 V1.0 - ICAO DOC 9613 Part C App 1</t>
  </si>
  <si>
    <t>Compliance Worksheet FRT
CASA CAO 20.91 App 11 - CASA AC 91-5 V1.0 - ICAO DOC 9613 Part C App 2</t>
  </si>
  <si>
    <t>Compliance Worksheet Conventional Routes
CASA CAO 20.91 App 13</t>
  </si>
  <si>
    <t>Compliance Worksheet  NAT HLA 
CASA Form Approval for Operations in North Atlantic High-Level Airspace (NAT-HLA) V1 of 2021</t>
  </si>
  <si>
    <t>RNP-AR - Compliance Requirements - Summary Section</t>
  </si>
  <si>
    <t>Notes: The following is only required when NOT included as part of another Navigation specification.</t>
  </si>
  <si>
    <t>Reserved pending standards development by ICAO - see DASA DeskO</t>
  </si>
  <si>
    <t>RNAV 5</t>
  </si>
  <si>
    <t>RNAV 1 &amp; RNAV 2</t>
  </si>
  <si>
    <t>RNP 2</t>
  </si>
  <si>
    <t>RNP 1</t>
  </si>
  <si>
    <t>RNP APCH</t>
  </si>
  <si>
    <t>Select Core Navigation Authorisations Sought</t>
  </si>
  <si>
    <t xml:space="preserve">
Select Non-Core Navigation Authorisations Sought</t>
  </si>
  <si>
    <t>Supplementary Authorisations Sought</t>
  </si>
  <si>
    <t xml:space="preserve">Summary -NAT HLA Requirements
</t>
  </si>
  <si>
    <t>Compliance Requirements -NAT HLA</t>
  </si>
  <si>
    <t>Aircraft Exposition</t>
  </si>
  <si>
    <t>Have the relevant flight operations documents been amended to support the  equipment and operating procedures required for operations in NAT HLA?</t>
  </si>
  <si>
    <t>RVSM Approval</t>
  </si>
  <si>
    <t>Communication Capability</t>
  </si>
  <si>
    <t>IS the aircraft NAT Data Link Management (NAT DLM) capable?</t>
  </si>
  <si>
    <t>Navigation Capability</t>
  </si>
  <si>
    <t>Is the aircraft fitted with two Long Range Navigation Systems (LRNS)?</t>
  </si>
  <si>
    <t>IS the aircraft fitted with Single LRNS equipment only - GNSS?</t>
  </si>
  <si>
    <t>Note: GNSS must be FAA TSO-C129 or later, or EASA ETSO - C129a approved</t>
  </si>
  <si>
    <t>IS the aircraft fitted with Short range navigation equipment only - VOR, DME, ADF?</t>
  </si>
  <si>
    <t>Is the aircraft and operator RNP 10 (RNAV 10) capable?</t>
  </si>
  <si>
    <t>Is the aircraft fitted with an TCAS II (7.1) surveillance transponder?</t>
  </si>
  <si>
    <t>PBCS Capability</t>
  </si>
  <si>
    <t>IS the aircraft FANS compliant?</t>
  </si>
  <si>
    <t>Other Equipment</t>
  </si>
  <si>
    <t>Other specific aircraft equipment to support operations in the NAT HLA? 
If Yes - provide details i.e., HF, SELCAL</t>
  </si>
  <si>
    <t>Software update control</t>
  </si>
  <si>
    <t>Appropriate maintenance and continuing airworthiness  to support  NAT HLA operations?</t>
  </si>
  <si>
    <t>Polar Operations</t>
  </si>
  <si>
    <t>Does the operator have a NAT HLA training syllabus for pilots, dispatchers and maintenance engineers</t>
  </si>
  <si>
    <t>Does the MEL or equivalent  for each aircraft specifically address the equipment required to support operations in the NAT HLA?</t>
  </si>
  <si>
    <t>Has the operator implemented maintenance and continuing airworthiness processes and procedures to support operations in the NAT HLA?</t>
  </si>
  <si>
    <t>Does the operator have processes and procedures in place to update software supporting equipment required for operations in the NAT HLA, i.e., FANS1/A related software updates?</t>
  </si>
  <si>
    <r>
      <t>l.</t>
    </r>
    <r>
      <rPr>
        <sz val="7"/>
        <color rgb="FF000000"/>
        <rFont val="Times New Roman"/>
        <family val="1"/>
      </rPr>
      <t xml:space="preserve">     </t>
    </r>
    <r>
      <rPr>
        <sz val="12"/>
        <color rgb="FF000000"/>
        <rFont val="Arial"/>
        <family val="2"/>
      </rPr>
      <t>CASA Form Approval for operations in North Atlantic High-Level Airspace (NAT HLA) of 2021</t>
    </r>
  </si>
  <si>
    <t xml:space="preserve">FANS Capability
</t>
  </si>
  <si>
    <t>Surveillance Capability</t>
  </si>
  <si>
    <t>This document represents an accurate statement of compliance against selected requirements.</t>
  </si>
  <si>
    <t>1. Save Spreadsheet as [Date] [Aircraft Type] 1307 Nav Auth Request</t>
  </si>
  <si>
    <r>
      <rPr>
        <b/>
        <sz val="11"/>
        <rFont val="Calibri"/>
        <family val="2"/>
      </rPr>
      <t>Submission:</t>
    </r>
    <r>
      <rPr>
        <sz val="11"/>
        <rFont val="Calibri"/>
        <family val="2"/>
      </rPr>
      <t xml:space="preserve"> </t>
    </r>
  </si>
  <si>
    <t>4. Estimated date of entry into service should also be used to reflect when the Nav Authorisation requested is expected to be needed by</t>
  </si>
  <si>
    <t>5. There are differing challenges in reviewing specification associated with a new aircraft to that required when reviewing upgrades to existing aircraft</t>
  </si>
  <si>
    <t>2. Discuss submission with DASA DeskO</t>
  </si>
  <si>
    <t>3. Serial number and registration markings are only required if the aircraft within the type have differing fitments and will be applying for separate Navigation Authorisations</t>
  </si>
  <si>
    <r>
      <rPr>
        <b/>
        <sz val="10"/>
        <color theme="0" tint="-0.499984740745262"/>
        <rFont val="Georgia"/>
        <family val="1"/>
      </rPr>
      <t>DASR Form 1307 V1.0</t>
    </r>
    <r>
      <rPr>
        <sz val="10"/>
        <color rgb="FF000000"/>
        <rFont val="Georgia"/>
        <family val="1"/>
      </rPr>
      <t xml:space="preserve">
</t>
    </r>
    <r>
      <rPr>
        <b/>
        <sz val="10"/>
        <color rgb="FFC00000"/>
        <rFont val="Georgia"/>
        <family val="1"/>
      </rPr>
      <t>DEFENCE AVIATION SAFETY AUTHORITY</t>
    </r>
    <r>
      <rPr>
        <sz val="10"/>
        <color rgb="FF000000"/>
        <rFont val="Georgia"/>
        <family val="1"/>
      </rPr>
      <t xml:space="preserve">
</t>
    </r>
    <r>
      <rPr>
        <b/>
        <sz val="14"/>
        <color rgb="FF000000"/>
        <rFont val="Georgia"/>
        <family val="1"/>
      </rPr>
      <t>Application for Navigation Specification Approval</t>
    </r>
  </si>
  <si>
    <t xml:space="preserve">Perform RNAV holding function. 
</t>
  </si>
  <si>
    <t xml:space="preserve">Flight Procedures - Summary
</t>
  </si>
  <si>
    <t xml:space="preserve">Flight Planning - General - Summary
</t>
  </si>
  <si>
    <t>App 6-5.4</t>
  </si>
  <si>
    <t>App 6.5.5</t>
  </si>
  <si>
    <t>App 6-5.6</t>
  </si>
  <si>
    <t>CAO 20.91 App 7-1</t>
  </si>
  <si>
    <t>CAO 20.91 App 7-6-2</t>
  </si>
  <si>
    <r>
      <rPr>
        <b/>
        <sz val="11"/>
        <color rgb="FF000000"/>
        <rFont val="Calibri"/>
        <family val="2"/>
      </rPr>
      <t>Minimum equipment list (MEL)</t>
    </r>
    <r>
      <rPr>
        <sz val="11"/>
        <color rgb="FF000000"/>
        <rFont val="Calibri"/>
        <family val="2"/>
      </rPr>
      <t xml:space="preserve">
Any MEL revisions necessary to address RNAV 1 &amp; 2 provisions of the guidance material must be approved </t>
    </r>
  </si>
  <si>
    <r>
      <rPr>
        <b/>
        <sz val="11"/>
        <rFont val="Calibri"/>
        <family val="2"/>
      </rPr>
      <t>Training documentation.</t>
    </r>
    <r>
      <rPr>
        <sz val="11"/>
        <rFont val="Calibri"/>
        <family val="2"/>
      </rPr>
      <t xml:space="preserve"> 
AOC holders must submit training syllabi and training material (e.g. computer based training, simulator training) to DASA. This material must show that the operational practices, procedures and training items related to RNP 2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RNP 2 route or airspace;
(d) in-flight contingency procedures;
(e) flight crew qualification procedures.</t>
    </r>
  </si>
  <si>
    <r>
      <rPr>
        <b/>
        <sz val="11"/>
        <color rgb="FF000000"/>
        <rFont val="Calibri"/>
        <family val="2"/>
      </rPr>
      <t>Minimum equipment list (MEL)</t>
    </r>
    <r>
      <rPr>
        <sz val="11"/>
        <color rgb="FF000000"/>
        <rFont val="Calibri"/>
        <family val="2"/>
      </rPr>
      <t xml:space="preserve">
Any MEL revisions necessary to address RNP APCH provisions of the guidance material must be approved </t>
    </r>
  </si>
  <si>
    <r>
      <rPr>
        <b/>
        <sz val="11"/>
        <rFont val="Calibri"/>
        <family val="2"/>
      </rPr>
      <t>Navigation Database</t>
    </r>
    <r>
      <rPr>
        <sz val="11"/>
        <rFont val="Calibri"/>
        <family val="2"/>
      </rPr>
      <t xml:space="preserve">
The standards for navigation databases are contained in RTCA DO-200A and EUROCAE DO-76. Not all current suppliers of navigation databases meet these standards. The navigation database should be obtained from an approved supplier. If it isn’t then the operator, as a minimum, must implement navigation database integrity checks using appropriate software tools or approved manual procedures to verify data relating to all waypoints in the subject airspace or routes. These integrity checks must be performed in addition to any checks previously performed by the Aeronautical Information Services (AIS), by unapproved navigation database suppliers, or by navigation equipment manufacturers.
The integrity checks need to identify any discrepancies between the navigation database and the published charts/procedures. An approved third party may perform integrity checks. Discrepancies that invalidate a procedure must be reported to the navigation database supplier and affected procedures must be prohibited by an operator’s notice to its flight crew. Aircraft operators should consider the need to continue their own database checks even for products obtained from approved suppliers.</t>
    </r>
  </si>
  <si>
    <t>The holder of the design approval, including either the Type Certificate (TC) or STC for each individual navigation system installation, must supply DASA a link to a complete instructions for continuing airworthiness.</t>
  </si>
  <si>
    <t>Aircraft Eligible for RNP APCH LNAV and/or RNP APCH LNAV/VNAV if  approved for RNP AR 
** No need for further completion of Aircraft Eligibility, Initial and Continuing Airworthiness sections.</t>
  </si>
  <si>
    <t>Aircraft Eligible for RNP APCH LNAV/VNAV if approved for RNP APCH LNAV and Baro-VNAV 
** No need for further completion of Aircraft Eligibility, Initial and Continuing Airworthiness sections.</t>
  </si>
  <si>
    <t>Can issue if - holds an RNP APCH, or RNP AR navigation authorisation
** No need for further completion of Aircraft Eligibility, Initial and Continuing Airworthiness sections</t>
  </si>
  <si>
    <t>Can issue if - holds an RNP APCH, or RNP AR navigation authorisation
** No need for further completion of Aircraft Eligibility, Initial and Continuing Airworthiness sections.</t>
  </si>
  <si>
    <t>Can issue if - holds an RNP 1  or RNP 2 navigation authorisation
** No need for further completion of Aircraft Eligibility, Initial and Continuing Airworthiness sections.</t>
  </si>
  <si>
    <t>The holder of the design approval, including either the Type Certificate (TC) or STC for each individual navigation system installation,must supply DASA a link to a complete instructions for continuing airworthiness.</t>
  </si>
  <si>
    <t>(b) a demonstration to DASA that the navigation system has the capability to execute leg transitions and maintain track consistent with an FRT at each waypoint. The lateral Total System Error must be within ±1 × RNP of the path defined by the published procedures for at least 95% of the total flight time for each phase of flight and each autopilot and/or flight director mode requested</t>
  </si>
  <si>
    <t>Aircraft equipped with a single INS/IRU and a single global positioning system (GPS) approved for primary means of navigation in oceanic and remote areas
Aircraft equipped with a single INS or IRU and a single GPS meet the RNP 10 requirements without time limitations. The INS or IRU must be approved to FARs Part 121, Appendix G. The GPS must be TSO-C129a authorised as a minimum, and must have an approved dispatch Fault Detection and Exclusion (FDE) availability prediction program.
The maximum allowable time for which the FDE capability is projected to be unavailable is 34 minutes. The maximum outage time must be included as a condition of the RNP 10 approval (see FAA AC 20-138A Appendix 1 for details on GPS as a primary means of navigation in oceanic and remote areas). The AFM must indicate that the particular INS/GPS installation meets the appropriate DASA requirements.</t>
  </si>
  <si>
    <t>(b) when an INS or IRU has been approved using an existing approval standard (as detailed in Sections 12.3.1, 12.3.2 and 12.3.3), an extended time limit may be established by an applicant presenting justifying data to DASA. Group approvals will be granted with appropriate restrictions if the data collected indicates that approval is warranted. A means of analysing the certification of IRU performance and amending the existing approval in aircraft documents is described in Appendix 2;</t>
  </si>
  <si>
    <t>Automatic updating is any updating procedure that does not require flight crew to manually insert coordinates. Automatic updating is acceptable to DASA provided that:</t>
  </si>
  <si>
    <t>Mandatory Additional DASA Requirements</t>
  </si>
  <si>
    <t>The aircraft is equipped with a stand-alone GNSS that is certified by the manufacturer for en route operations, installed in accordance with AC 21-36 ( ) or FAA AC 20-130B, and compliant with:
(a) (E)TSO-C129 ( ) Class A1 or A2; or
(b) (E)TSO-C146 Class Gamma and operational Class 1, 2 or 3; or
(c) standards that DASA considers are equivalent to the standards mentioned in paragraph (a) or (b).</t>
  </si>
  <si>
    <t>The aircraft is equipped with a multi-sensor system (for example, FMS) with GNSS equipment that is certified by the manufacturer for en route operations, installed in accordance with AC 21 37(0) or FAA AC 128(A), and meets:
(a) the requirements of TSO-C115b FMS or ETSO-C115b FMS, and 1 of the following:
(i) (E)TSO-C129 sensor Class B or C;
(ii) (E)TSO-C145 Class Beta and operational Class 1, 2 or 3;
(iii) (E)TSO-C196; or
(b) standards that DASA considers are equivalent to the standards mentioned in paragraph (a).</t>
  </si>
  <si>
    <t>As an alternative to meeting the system functionality specified above for the display and monitoring of vertical deviation, the following functionality may be met: an operational assessment that enables DASA to determine that the pilot flying the aircraft is able to readily distinguish vertical deviation not exceeding plus or minus 75 ft, such that timely corrective action (including a go-round) can be initiated</t>
  </si>
  <si>
    <t>(b) a demonstration to DASA that the navigation system has the capability to execute leg transitions and maintain track consistent with an RF Leg between 2 fixes. The lateral TSE must be within ±1 × RNP of the path defined by the published procedures for at least 95% of the total flight time for each phase of flight and each autopilot and/or flight director mode requested.</t>
  </si>
  <si>
    <t>c. has been obtained from a supplier holding either a Type 1 or type 2 Letter of Acceptance</t>
  </si>
  <si>
    <t>a. current - except as follows: 
- any data used for navigation is verified
- must not be used for radio updating of the navigation system
- with MEL - 3 flight days from expiry
- no MEL - 72 hrs from expiry</t>
  </si>
  <si>
    <t>For a Basic RNP 2 operation navigating with SBAS receivers, a check must be made for GNSS integrity availability in areas where SBAS is unavailable.</t>
  </si>
  <si>
    <t>An RNP 2 operation must comply with the instructions and procedures of the OEM in relation to the performance requirements of RNP 2.</t>
  </si>
  <si>
    <t xml:space="preserve">For RNP 2 routes, one or more of the following must be used:
</t>
  </si>
  <si>
    <t>Basic RNP 2 requires GNSS as the primary navigation sensor</t>
  </si>
  <si>
    <t>If a continuous loss of the GNSS integrity function for more than 5 minutes is predicted for any part of the Basic RNP 2 operation, the flight plan must be revised, for example, by delaying the departure time or planning a different route.</t>
  </si>
  <si>
    <t xml:space="preserve">Operators/owners must ensure that flight crews have been trained and understand this AC, the limits of their aircraft’s RNP 2  navigation capabilities, the effects of updating, and RNP 2 contingency procedures.
</t>
  </si>
  <si>
    <r>
      <t xml:space="preserve">General
</t>
    </r>
    <r>
      <rPr>
        <sz val="11"/>
        <rFont val="Calibri"/>
        <family val="2"/>
      </rPr>
      <t xml:space="preserve">All operators/owners must include in their application their maintenance program, including a reliability program for
monitoring the equipment. </t>
    </r>
  </si>
  <si>
    <t xml:space="preserve">Operators/owners must ensure that flight crews have been trained and understand this AC, the limits of their aircraft’s RNAV navigation capabilities, the effects of updating, and RNAV contingency procedures.
</t>
  </si>
  <si>
    <t xml:space="preserve">Understand the performance requirement to couple the autopilot/flight director (AP/FD) to the navigation system’s lateral guidance on RNAV/RNP procedures, if required. </t>
  </si>
  <si>
    <t xml:space="preserve">Verify the successful completion of RNAV/RNP system self-tests. </t>
  </si>
  <si>
    <t xml:space="preserve">Select the appropriate RNAV SID or STAR for the active runway in use and be familiar with procedures to deal with a runway change [RNP 1 and RNAV 1 &amp; RNAV 2 only]. </t>
  </si>
  <si>
    <t xml:space="preserve">Intercept a course/track. (Fly vectors, and rejoin an RNAV route/procedure from the ‘heading’ mode.) </t>
  </si>
  <si>
    <t xml:space="preserve">Perform parallel offset function if capability exists. Pilots should know how offsets are applied, the functionality of their particular RNAV system and the need to advise ATC if this functionality is not available. </t>
  </si>
  <si>
    <r>
      <rPr>
        <b/>
        <sz val="11"/>
        <rFont val="Calibri"/>
        <family val="2"/>
      </rPr>
      <t>Training documentation.</t>
    </r>
    <r>
      <rPr>
        <sz val="11"/>
        <rFont val="Calibri"/>
        <family val="2"/>
      </rPr>
      <t xml:space="preserve"> 
AOC holders must submit training syllabi and training material (e.g. computer based training, simulator training) to DASA. This material must show that the operational practices, procedures and training items related to RNAV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RNAV route or airspace;
(d) in-flight contingency procedures;
(e) flight crew qualification procedures.</t>
    </r>
  </si>
  <si>
    <t xml:space="preserve">A Baro-VNAV authorisation may be used in conjunction with RNP APCH (RNP 0.3)
</t>
  </si>
  <si>
    <t>A Radius to Fix Path Terminators (RF Legs) authorisation may be used in conjunction with RNP APCH (RNP 0.3)</t>
  </si>
  <si>
    <t>If RF Legs are authorised for use in conjunction with RNP APCH (RNP 0.3), the aircraft must be equipped with a map display that depicts the computed aircraft flight path.</t>
  </si>
  <si>
    <t>RNP AR Training Proficiencies</t>
  </si>
  <si>
    <t>An RNP AR operation may only be commenced if each member of the flight crew has sufficient knowledge of the following subjects:</t>
  </si>
  <si>
    <t>(f) RNP DEP and one engine inoperative procedures
(Only required for an RNP AR DEP navigation authorisation.)</t>
  </si>
  <si>
    <t>(g) OEI procedure obstacle clearance areas (Only required for an RNP AR a navigation authorisation including OEI operations.)</t>
  </si>
  <si>
    <t xml:space="preserve">(a) GNSS theory (architecture, accuracy, integrity, etc.)
</t>
  </si>
  <si>
    <t xml:space="preserve">(b) RNP APCH procedure design basics
</t>
  </si>
  <si>
    <t xml:space="preserve">(c) RNP AR procedure design basics
</t>
  </si>
  <si>
    <t xml:space="preserve">(d) Rare normal wind protection and maximum coded speeds
</t>
  </si>
  <si>
    <t xml:space="preserve">(e) RNP/ANP/EPE definitions and the navigational concept
</t>
  </si>
  <si>
    <t xml:space="preserve">(h) Missed approach extraction capability
</t>
  </si>
  <si>
    <t xml:space="preserve">(i) FMS system architecture
</t>
  </si>
  <si>
    <t xml:space="preserve">(j) Multi-sensor navigation and sensor blending
</t>
  </si>
  <si>
    <t xml:space="preserve">(k) FMS failure modes and indications
</t>
  </si>
  <si>
    <t xml:space="preserve">(l) Navigation performance displays (NPS, XTK, VDEV)
</t>
  </si>
  <si>
    <t xml:space="preserve">(m) Allowable lateral and vertical FTE’s
</t>
  </si>
  <si>
    <t xml:space="preserve">(n) VSD (where fitted)
</t>
  </si>
  <si>
    <t xml:space="preserve">(o) MEL
</t>
  </si>
  <si>
    <t xml:space="preserve">(p) Critical system losses prior to the IAF or FAP (NNDP or VIP )
</t>
  </si>
  <si>
    <t xml:space="preserve">(q) Critical system losses after the IAF or FAP (NNDP or VIP)
</t>
  </si>
  <si>
    <t xml:space="preserve">(r) Navigation system losses after the IAF or FAP (NNDP or VIP)
</t>
  </si>
  <si>
    <t xml:space="preserve">(s) FMS database integrity
</t>
  </si>
  <si>
    <t xml:space="preserve">(t) RNP performance prediction 
</t>
  </si>
  <si>
    <t>Flight Crew Procedure Review</t>
  </si>
  <si>
    <t xml:space="preserve">(a) Selecting an RNP procedure
</t>
  </si>
  <si>
    <t xml:space="preserve">(b) Changing an RNP procedure
</t>
  </si>
  <si>
    <t xml:space="preserve">(c) Briefing an RNP procedure
</t>
  </si>
  <si>
    <t xml:space="preserve">(d) Checking an RNP procedure
</t>
  </si>
  <si>
    <t xml:space="preserve">(e) RNP missed approach requirements
</t>
  </si>
  <si>
    <t xml:space="preserve">(f) Navigation system failures
</t>
  </si>
  <si>
    <t xml:space="preserve">(g) FAP and VIP definition
</t>
  </si>
  <si>
    <t xml:space="preserve">(h) Runway changes inside the FAP or VIP
</t>
  </si>
  <si>
    <t xml:space="preserve">(i) Managing a non-normal prior to the FAP or VIP 
</t>
  </si>
  <si>
    <t xml:space="preserve">(j) Managing a non-normal after the FAP or VIP
</t>
  </si>
  <si>
    <t xml:space="preserve">(k) Autopilot requirements
</t>
  </si>
  <si>
    <t xml:space="preserve">(l) FMS default RNP values and alerts
</t>
  </si>
  <si>
    <t xml:space="preserve">(m) Effect of an incorrectly set local QNH
</t>
  </si>
  <si>
    <t xml:space="preserve">(n) Effect of non-standard temperature on nominal path
</t>
  </si>
  <si>
    <t xml:space="preserve">(o) Approach procedures including PF and PNF/PM duties
</t>
  </si>
  <si>
    <t xml:space="preserve">(p) HUGS (if fitted)
</t>
  </si>
  <si>
    <t xml:space="preserve">(q) Monitoring and flying raw data
</t>
  </si>
  <si>
    <t>(r) FMS modes/functionality (on approach logic, VNAV PATH, FINAL APP MODE, SPD INTV, ALT INTV, Managed/Selected modes)</t>
  </si>
  <si>
    <t xml:space="preserve">(s) FCC lateral and vertical go-round functionality
</t>
  </si>
  <si>
    <t xml:space="preserve">(t) RNP holding patterns and managing the FMS
</t>
  </si>
  <si>
    <t>Required Simulator Training</t>
  </si>
  <si>
    <t xml:space="preserve">Flight Crew Procedures
</t>
  </si>
  <si>
    <t>(a) Departure
Only required for an RNP AR DEP navigation authorisation.)</t>
  </si>
  <si>
    <t xml:space="preserve">(b) Approach
</t>
  </si>
  <si>
    <t xml:space="preserve">(c) Approach dual FMC failure
</t>
  </si>
  <si>
    <t>(d) Departure with high drift condition
(Only required for an RNP AR navigation authorisation including departure operations.)</t>
  </si>
  <si>
    <t xml:space="preserve">(e) Approach with high drift condition
</t>
  </si>
  <si>
    <t>(f) Departure asymmetric thrust
(Only required for an RNP AR navigation authorisation including departure operations.)</t>
  </si>
  <si>
    <t xml:space="preserve">(g) Approach IRS failure
</t>
  </si>
  <si>
    <t xml:space="preserve">(h) Approach with asymmetric thrust and missed approach
</t>
  </si>
  <si>
    <t xml:space="preserve">(i) Approach single GPS receiver failure
</t>
  </si>
  <si>
    <t xml:space="preserve">(j) Approach navigation system alerts
</t>
  </si>
  <si>
    <t xml:space="preserve">c. 0.3 NM for Final Approach Segments (RNP APCH)
</t>
  </si>
  <si>
    <t>No Alternate Eligibility Requirements</t>
  </si>
  <si>
    <t>Additional Australian Regulatory Requirements</t>
  </si>
  <si>
    <t>Summary - Additional Mandatory Australian Req</t>
  </si>
  <si>
    <t>Additional Mandatory Australian Regulatory Requirements</t>
  </si>
  <si>
    <t>No Alternative Aircraft Eligibility requirements are available</t>
  </si>
  <si>
    <t>Alternative Aircraft Eligibility Compliance Requirements - Not Applicable</t>
  </si>
  <si>
    <t>No Alternate Eligibility Requirements are applicable</t>
  </si>
  <si>
    <t>No Alternate Eligibility Requirements are available</t>
  </si>
  <si>
    <t xml:space="preserve">Is the aircraft and operator RVSM approved?
</t>
  </si>
  <si>
    <t xml:space="preserve">Is the aircraft SATCOM/SATVOICE equipped?
</t>
  </si>
  <si>
    <t xml:space="preserve">Is the aircraft and operator RNP 4 capable?
</t>
  </si>
  <si>
    <t xml:space="preserve">Is the aircraft fitted with ADS-C equipment?
</t>
  </si>
  <si>
    <t xml:space="preserve">IS the aircraft fitted with ADS-B equipment?
</t>
  </si>
  <si>
    <t xml:space="preserve">A means to display the validity period of the navigation data to the pilot.
</t>
  </si>
  <si>
    <t xml:space="preserve">an FMS with GNSS input system approved for RNP APCH operations
</t>
  </si>
  <si>
    <t>(f) a DASA assessment of the aircraft which results in a DASA determination that the aircraft meets the standards for eligibility set out on this worksheet</t>
  </si>
  <si>
    <t>a barometric VNAV system that meets the functional  requirements set out below</t>
  </si>
  <si>
    <t xml:space="preserve">No Alternative Aircraft Eligibility Compliance Requirements are available </t>
  </si>
  <si>
    <t xml:space="preserve">The Baro-VNAV system must either have the following functionality (Option 1) or the DASA Assessment (Option 2) specified below.
</t>
  </si>
  <si>
    <t>(a) a fuel-freeze strategy and the procedures for monitoring fuel freezing;</t>
  </si>
  <si>
    <t>(b) a communications plan that will ensure communication capability for the duration of the operation;</t>
  </si>
  <si>
    <t>(c) a polar operations training plan for the aircraft’s flight crew and maintenance personnel;</t>
  </si>
  <si>
    <t>(d) a plan for mitigating flight crew and passenger exposure to radiation during solar flare activity;</t>
  </si>
  <si>
    <t>(e) a plan for providing in the aircraft at least 2 serviceable, cold weather, anti‑exposure suits, to protect crew members from extreme climatic conditions during outside activity at a diversion aerodrome, unless the season of the year makes the equipment unnecessary and DASA has, in writing, relieved the operator from the requirement to comply with it.</t>
  </si>
  <si>
    <t>Strategies, procedures and plans to support Polar Operations Approval</t>
  </si>
  <si>
    <t>CAO 82.0 3BD.2</t>
  </si>
  <si>
    <t>App 6</t>
  </si>
  <si>
    <t>Required Elements to Support Polar Operations Approval</t>
  </si>
  <si>
    <t>Expansion on requirements listed above</t>
  </si>
  <si>
    <t>RCP 240 - Communication Performance Requirements
- maximum transaction time - 240 secs
- continuity - 99.9%
- availability - 99.99%
- integrity - 10 to the power of (-5)</t>
  </si>
  <si>
    <t>RSP 180 - Surveillance Performance Requirements
- maximum data delivery time - 180 secs
- continuity - 99.9%
- availability - 99.99%
- integrity - 10 to the power of (-5)</t>
  </si>
  <si>
    <t>Is the aircraft and operator Required Communication Performance (RCP) 240 capable?
See line 47 below</t>
  </si>
  <si>
    <t>Is the aircraft and operator Required Surveilance (RSP) 180 capable?
See line 48 below</t>
  </si>
  <si>
    <t>Have contract services been established for Performance based Communication and Surveillance (PBCS)?
Se line 49 below</t>
  </si>
  <si>
    <t>Performance Based Communication and Surveillance (PBCS) criteria - The performance of;
- FANS 1/A (and equivalent)
- CPDLC
- ADS-C
is monitored in NAT HLA</t>
  </si>
  <si>
    <t>Is the operator approved for Polar Operations North of 78 degrees N? See lines 39-43 below</t>
  </si>
  <si>
    <t>If FRT are authorised for use in conjunction with RNP 2, the aircraft must be equipped with a map display depicting the computed flight path of the aircraft.
This is an additional specification for operation with RNP 2 and must be separately authorised</t>
  </si>
  <si>
    <r>
      <t xml:space="preserve">This section defines the requirements for using GNSS-based area navigation systems as either a substitute means of navigation or as an alternate means of navigation while operating on, or transitioning to, conventional (not RNAV or RNP) routes and procedures in Australia.
Definitions:
</t>
    </r>
    <r>
      <rPr>
        <b/>
        <sz val="14"/>
        <color rgb="FF000000"/>
        <rFont val="Calibri"/>
        <family val="2"/>
      </rPr>
      <t>Substitute</t>
    </r>
    <r>
      <rPr>
        <sz val="14"/>
        <color rgb="FF000000"/>
        <rFont val="Calibri"/>
        <family val="2"/>
      </rPr>
      <t xml:space="preserve"> - The use of information from an area navigation system in lieu of that from out-of-service conventional navigational aids and/or inoperative or not installed navigational equipment compatible with conventional navigation aids.
</t>
    </r>
    <r>
      <rPr>
        <b/>
        <sz val="14"/>
        <color rgb="FF000000"/>
        <rFont val="Calibri"/>
        <family val="2"/>
      </rPr>
      <t>Alternate</t>
    </r>
    <r>
      <rPr>
        <sz val="14"/>
        <color rgb="FF000000"/>
        <rFont val="Calibri"/>
        <family val="2"/>
      </rPr>
      <t xml:space="preserve"> - The use of information from an area navigation system in lieu of that from conventional navigation aids and navigation equipment that is installed, operational and compatible with conventional navigation aids.</t>
    </r>
  </si>
  <si>
    <t>Can issue if - holds an RNAV 1 and 2 or RNP 1  or RNP 2 navigation authorisation
** No need for further completion of Aircraft Eligibility, Initial and Continuing Airworthiness sections.</t>
  </si>
  <si>
    <t>Use of Enhanced Flight Visual Systems - Compliance Requirements - Summary Section</t>
  </si>
  <si>
    <t xml:space="preserve">Eligibility Summary
Suitable EFV systems
</t>
  </si>
  <si>
    <t>The holder of the design approval, including either the Type Certificate (TC) or STC for each individual EFVS installation, must supply DASA a link to a complete instructions for continuing airworthiness.</t>
  </si>
  <si>
    <r>
      <rPr>
        <b/>
        <sz val="11"/>
        <color rgb="FF000000"/>
        <rFont val="Calibri"/>
        <family val="2"/>
      </rPr>
      <t>Minimum equipment list (MEL)</t>
    </r>
    <r>
      <rPr>
        <sz val="11"/>
        <color rgb="FF000000"/>
        <rFont val="Calibri"/>
        <family val="2"/>
      </rPr>
      <t xml:space="preserve">
Any MEL revisions necessary to address the associated dispatch or required serviceability requirements.</t>
    </r>
  </si>
  <si>
    <t>Pilots must comply with the AFM, AFMS, operating manual, QRH or pilot’s guide when operating the EFVS.</t>
  </si>
  <si>
    <t>Use of an EFVS as a substitute means of navigation may be applicable to normal in-flight use, to continuation of flight after failure, or to dispatch with inoperative conventional capability if consistent with the applicable MMEL for the aircraft type and an applicable DASA approved operator’s MEL</t>
  </si>
  <si>
    <t>Compliance Requirements - Flight and Ground Training</t>
  </si>
  <si>
    <t>Regulations that relate to EFVS flight operations and limitations, including the Airplane Flight Manual (AFM) limitations.</t>
  </si>
  <si>
    <t>An overview of the regulations relevant to EFVS operations.</t>
  </si>
  <si>
    <t>EFVS sensor imagery and required aircraft flight information and flight symbology.</t>
  </si>
  <si>
    <t>An overview of the characteristics of the enhanced imagery provided by an EFVS. An EFVS image must be real-time, conformal, and sensor-based. Other types of imagery, such as a synthetic image, is computer-generated from a database and cannot be used to conduct an EFVS operation.</t>
  </si>
  <si>
    <t>An overview of the symbology and equipment requirements to be used for EFVS operations to touchdown and rollout listed under § 91.176(a)(1).</t>
  </si>
  <si>
    <t>An overview of the symbology and equipment requirements of an EFVS to be used for EFVS operations to 100 feet above the touchdown zone elevation listed under § 91.176(b)(1).</t>
  </si>
  <si>
    <t>An overview of an AFM(S) or other manufacturer documentation that specify the type of EFVS operation the EFVS is certified to conduct, specify performance applicable to the use of operational credit, or define specific procedures, conditions or limitations associated with operating the EFVS. In some cases, procedures described in an AFM(S) may be more restrictive than the regulations.</t>
  </si>
  <si>
    <t>61.66(a)(2)(i)</t>
  </si>
  <si>
    <t>61.66(a)(2)(ii)</t>
  </si>
  <si>
    <t>61.66(a)(2)(iii)</t>
  </si>
  <si>
    <t>EFVS display, controls, modes, features, symbology, annunciations, and associated systems and components.</t>
  </si>
  <si>
    <t>A description of the controls for the EFVS image to include display brightness, contrast, and image modes.</t>
  </si>
  <si>
    <t>A description of the control for turning the EFVS image on or off. This control is important because if the sensor imagery were to obscure the pilot’s view of the outside scene, the pilot should have a readily available means for immediately removing the sensor imagery from the Head-Up Display (HUD). However, in order to continue an EFVS operation the pilot should reactivate the image as soon as possible to be in compliance with § 91.176.</t>
  </si>
  <si>
    <t>A description of how computer-generated synthetic elements are presented in the image, if applicable. Some systems may integrate synthetic vision elements into the image displayed on the HUD. A pilot should be able to differentiate between the sensor-based elements and the computer-generated elements.</t>
  </si>
  <si>
    <t>A description of the runway and extended runway centerline symbology presented during the approach phase.</t>
  </si>
  <si>
    <t>A description of the field of view (FOV) of the EFVS display.</t>
  </si>
  <si>
    <t>EFVS sensor performance, sensor limitations, scene interpretation, visual anomalies, and other visual effects.</t>
  </si>
  <si>
    <t>61.66(a)(2)(iv)</t>
  </si>
  <si>
    <t>A description of the imaging technology of the EFVS sensor and the related limitations (i.e., light detection, obstacle detection, weather types, and FOV). The AFM(S) may specify any limitations or demonstrated performance applicable to the installed EFVS. An EFVS can display imagery that may significantly improve a pilot’s capability to detect approach lights and visual references of the runway environment that may not otherwise be visible using natural vision. Not all EFVS sensors have the same imaging capabilities. Some sensors may image particular materials and some may focus in specific energy spectrums. Some sensor technologies are more affected by certain weather conditions (e.g., obscurations and precipitation). Some systems utilize multiple sensors to combine the benefits from different technologies.</t>
  </si>
  <si>
    <t>An overview on interpreting a sensor-generated scene presented by the EFVS. Images may have characteristics and contain artifacts that are unique to the sensor technology, EFVS image processing software, or display characteristics (i.e., monochrome colors). An external scene generated from infrared technology may be different from a scene generated from another technology or combination of technologies.</t>
  </si>
  <si>
    <t>An overview of image anomalies of the installed EFVS. Anomalies such a as “noise,” “blooming,” parallax, and other visual effects may be more prevalent in different EFVS installations.</t>
  </si>
  <si>
    <t>61.66(a)(2)(v)</t>
  </si>
  <si>
    <t>Preflight planning and operational considerations associated with using EFVS during taxi, takeoff, climb, cruise, descent and landing phases of flight, including the use of EFVS for instrument approaches, operating below the DA/DH or MDA, executing missed approaches, landing, rollout, and balked landings.</t>
  </si>
  <si>
    <t>An overview of considerations for conducting EFVS operations with a limited EFVS field of view. A combination of crosswind correction, approach course offset, and the lateral FOV may result in the inability of the pilot to acquire and maintain visual references.</t>
  </si>
  <si>
    <t>An overview of techniques for identifying visual references with natural-vision, at 100 feet above the TDZE, for EFVS operations to 100 feet above the touchdown zone elevation. Several techniques crews can use for ensuring visual references are seen with natural-vision while continuing use of the EFVS image. It is important that these techniques do not reinforce deactivating the EFVS image more than momentarily during the EFVS operation.</t>
  </si>
  <si>
    <t>A description of the optimal EFVS settings for different phases of flight and meteorological conditions.</t>
  </si>
  <si>
    <t>On overview of flight planning considerations for sensor performance and limitations.</t>
  </si>
  <si>
    <t>An overview of considerations for executing a go-around below a DA/DH or MDA. Whether a pilot is using an EFVS or natural vision, obstacle clearance should not be assumed when initiating a go-around below a DA/DH or MDA or after the missed approach point. The missed approach procedure should be thoroughly briefed, and accurately flown, and may need additional climb performance beyond the standard 200 feet per nautical mile to ensure adequate obstacle clearance.</t>
  </si>
  <si>
    <t>An overview of the considerations for visual segment obstacle clearance. Pilots using an EFVS should be careful not to conclude that the flightpath is free of obstacles because no obstacles are distinctly visible in the EFVS image. The approach procedure should be thoroughly briefed and accurately flown.</t>
  </si>
  <si>
    <t>An overview of the considerations for conducting EFVS operations on special IAPs. Operators that have a specific approval from the FAA to conduct instrument approaches using special IAPs should evaluate those instrument procedures to determine their compatibility with EFVS operations. These procedures may have nonstandard features or special conditions that may not be compatible with EFVS operations or the performance of an EFVS sensor.</t>
  </si>
  <si>
    <t>An overview of the considerations for conducting taxi operations after conducting an EFVS operation. Once the EFVS operation is complete, the pilot may have to taxi at an airport with Low-Visibility Operations (LVO)/Surface Movement Guidance and Control System (SMGCS) operations in affect. Although an EFVS may provide some increased situation awareness during taxi operations, natural vision is still essential.</t>
  </si>
  <si>
    <t>Operational considerations</t>
  </si>
  <si>
    <t>61.66(a)(2)(vi)</t>
  </si>
  <si>
    <t>Weather associated with low-visibility conditions and its effect on EFVS performance.</t>
  </si>
  <si>
    <t>Weather and effects</t>
  </si>
  <si>
    <t>An overview of the effect of obscuration types, precipitation conditions, and low ceilings or cloud layers as contributing factors to the variable and unpredictable characteristics of EFVS sensor performance or EFVS sensor and image quality.</t>
  </si>
  <si>
    <t>An overview of visibility reporting equipment (e.g., Runway Visual Range (RVR), Automated Surface Observing System (ASOS), and Automated Weather Observing System (AWOS)) and their limitations, reporting increments, and relationship to actual flight visibility on the approach.</t>
  </si>
  <si>
    <t>61.66(a)(2)(vii)</t>
  </si>
  <si>
    <t>Normal, abnormal, emergency and crew coordination procedures when conducting EFVS operations.</t>
  </si>
  <si>
    <t>A description of the operational concepts and the procedures used in EFVS operations to touchdown and rollout, as applicable.</t>
  </si>
  <si>
    <t>Procedures</t>
  </si>
  <si>
    <t>A description of the operational concepts and the procedures used in EFVS operations to 100 feet above the touchdown zone elevation, as applicable.</t>
  </si>
  <si>
    <t>A description of the following system preflight and in-flight procedures:
1. An integrity check of the sensor window;
2. System tests to include system warmup time requirements brightness;
3. System control adjustments to include appropriate setting of EFVS contrast and brightness and symbology; and
4. EFVS image alignment procedures with the natural vision image.</t>
  </si>
  <si>
    <t>A description of the following pilot flying (PF) and pilot monitoring (PM) communications: 1. Callouts for continuing descent below the DA/DH or MDA using the EFVS; 2. Callouts for transition from enhanced image to natural vision at 100 feet above the touchdown zone elevation (TDZE) during an EFVS operation to 100 feet above the touchdown zone elevation; 3. Callouts to clearly communicate the decision to land or go around; and 4. Callouts for abnormal EFVS operations.</t>
  </si>
  <si>
    <t>A description of the following items to be briefed prior to initiating an approach using the EFVS:
1. Expectations of system performance and limitations in reported weather conditions and a minimum visibility for the use of an EFVS (if applicable); 
2. EFVS callouts; 
3. Other approach considerations that may affect EFVS operations such as final approach offsets and ground infrastructure; 
4. Missed approach considerations and procedure; and 
5. The taxi operation considerations in reported weather conditions.</t>
  </si>
  <si>
    <t>An overview of techniques for identifying EFVS system failures and corresponding procedures. A proper crosscheck of the HUD instrumentation presentations against the EFVS sensor image could help recognize malfunctions of the navigation equipment or improper presentation of elements in the visual scene during the approach. In the event any required component fails during an EFVS operation until touchdown, the PF should initiate a go-around. However, this does not preclude a pilot’s authority to continue to a landing and rollout if the pilot considers that a safer course of action.</t>
  </si>
  <si>
    <t>A description of the PM use of the repeater display during EFVS operations to touchdown and rollout. The PM uses the display to assess the safe conduct of the approach, landing, and rollout, and intervene if necessary in visibilities where natural vision may not be sufficient.</t>
  </si>
  <si>
    <t>A description of the procedure used for determining minimum visibility for use of EFVS for the purpose of releasing the flight or executing an approach, as applicable.</t>
  </si>
  <si>
    <t>61.66(a)(2)(viii)</t>
  </si>
  <si>
    <t>Interpretation of approach and runway lighting systems and their display characteristics when using an EFVS.</t>
  </si>
  <si>
    <t>Approach and runway lighting</t>
  </si>
  <si>
    <t xml:space="preserve">A curriculum include an overview of different light sources (e.g., light-emitting diode (LED) or incandescent) in airport and approach lighting systems and the ability of the EFVS to detect them. An EFVS based only on infrared sensor technology may not be capable of imaging LED lighting because energy is not emitted in an infrared spectrum. Pilots should be familiar with the potential use of LEDs at their destination and any corresponding limitations of their EFVS. </t>
  </si>
  <si>
    <t>Further Info</t>
  </si>
  <si>
    <t>61.66(b)(2)(i)</t>
  </si>
  <si>
    <t>61.66(b)(2)(ii)</t>
  </si>
  <si>
    <t>61.66(b)(2)(iii)</t>
  </si>
  <si>
    <t>61.66(b)(2)(iv)</t>
  </si>
  <si>
    <t>Pilots should determine enhanced flight visibility using techniques and methods similar to the techniques and methods used for determining flight visibility when conducting an approach without an EFVS. The PM should be able to use the pilot monitoring display, if available, to assist the PF in this task.</t>
  </si>
  <si>
    <t>61.66(b)(2)(v)</t>
  </si>
  <si>
    <t>Pilots should identify required visual references using an EFVS with techniques and methods similar to the techniques and methods used for identifying the required visual references when conducting an approach without the use of an EFVS. The PM should be able to use the pilot monitoring display, if available, to assist the PF in this task.</t>
  </si>
  <si>
    <t>61.66(b)(2)(vi)</t>
  </si>
  <si>
    <t>61.66(b)(2)(vii)</t>
  </si>
  <si>
    <t>61.66(b)(2)(viii)</t>
  </si>
  <si>
    <t>(a) whether the aircraft, and each member of the flight crew, has relevant authorisations for RNP AR;</t>
  </si>
  <si>
    <t>Operating standards — general</t>
  </si>
  <si>
    <t>Before an RNP AR operation commences, consideration must be given to matters that may affect the safety of the operation, including the following:</t>
  </si>
  <si>
    <t>If the aircraft’s essential RNP AR APCH equipment is functioning properly, the PBN capability of the aircraft must be indicated in the flight plan.</t>
  </si>
  <si>
    <t>Vertical Deviation Monitoring</t>
  </si>
  <si>
    <t>The operator must ensure that the flight crew have and implement contingency procedures for a loss of RNP AR APCH capability during the approach.</t>
  </si>
  <si>
    <t>Maximum Airspeeds</t>
  </si>
  <si>
    <t xml:space="preserve">Airspeed requirements
</t>
  </si>
  <si>
    <t>For approach procedures, the limiting indicated airspeeds by segment and category are:
(a) as stated in ICAO Doc. 9613, Performance-based Navigation (PBN) Manual, Volume II, Part C, Chapter 6, Implementing RNP AR APCH; or
(b) if other speeds are specified by the procedure designer — the other speeds.</t>
  </si>
  <si>
    <t>For departure procedures, the limiting indicated airspeeds are as specified by the procedure designer.</t>
  </si>
  <si>
    <t>Qualification Flight</t>
  </si>
  <si>
    <t>An RNP AR authorisation may be issued to an operator only after a qualification
flight conducted by the operator demonstrates to DASA that:
(a) the operator meets all operating standards for RNP AR operations; and
(b) the aircraft navigation, flight control, cockpit display and other systems
function correctly; and
(c) the operator’s flight crew procedures are adequate; and
(d) procedure design, aircraft systems, airworthiness and flight crew
procedures function correctly and interact appropriately; and
(e) the operator has the capability to safely operate the most complex
procedures proposed to be flown.
Note Where the qualification flight does not demonstrate capability at the operator’s most complex port, the RNP AR authorisation may include a condition or limitation on operations</t>
  </si>
  <si>
    <t>Where the qualification flight is flown in an aircraft, the flight is to be
conducted:
(a) in an aircraft of the same type and configuration as the aircraft in which the
RNP AR operations will be conducted; and
(b) by a flight crew trained in accordance the operator’s RNP AR approved
training program; and
(c) in V.M.C. by day.
Note A qualification flight may be conducted on an operational flight.</t>
  </si>
  <si>
    <t>GNSS Updating</t>
  </si>
  <si>
    <t xml:space="preserve">GNSS Updating Requirements
</t>
  </si>
  <si>
    <t xml:space="preserve">Before an RNP AR operation commences, GNSS updating must be operating and such operation confirmed.
</t>
  </si>
  <si>
    <t xml:space="preserve">Unless the AFM requires otherwise, if GNSS updating is lost during an approach, the approach may be continued if the navigation system continues to provide a solution consistent with the selected RNP.
Note The AFM may require an approach to be discontinued in the event of a loss of GNSS updating in which case the approach must be discontinued.
</t>
  </si>
  <si>
    <t>RNP Selection</t>
  </si>
  <si>
    <t xml:space="preserve">Before an RNP AR operation commences, the appropriate RNP must be entered into the FMC and its appropriateness and accurate entry confirmed.
Note The appropriate RNP is determined by the flight crew after consideration of the published DA (or multiple DAs), the weather and other ambient conditions, the current RNP service, and the predicted RNP service. For RNP AR procedures designed in accordance with proprietary design criteria for use by operators of Australian aircraft, other than a system default value, RNP is not extracted from the navigation database.
</t>
  </si>
  <si>
    <t>Operating Procedures
Note The operating procedures contained in ICAO Doc. 9613, Performance-based Navigation (PBN) Manual, Volume II, Part C, Chapter 6, Implementing RNP AR APCH do not apply and are replaced by the following CASA requirements</t>
  </si>
  <si>
    <t>Operational Standards</t>
  </si>
  <si>
    <t xml:space="preserve">The following Operational Standards apply
</t>
  </si>
  <si>
    <t>FOSA</t>
  </si>
  <si>
    <t>The FOSA must set out details of the methods used by the operator to manage the risks associated with non-normal events arising from RNP AR operations.</t>
  </si>
  <si>
    <t>The FOSA should set out details of the methods used by the operator to manage the risks associated with adding additional destinations where RNP AR operations will be conducted.</t>
  </si>
  <si>
    <t>a Baro-VNAV system
Note An aircraft equipped with an SBAS augmented GNSS system and operating within an SBAS service volume may use GNSS derived vertical guidance in lieu of Baro-VNAV.</t>
  </si>
  <si>
    <t>Leg Transitions</t>
  </si>
  <si>
    <t>Display of Cross-track Deviation</t>
  </si>
  <si>
    <t>within the pilot’s primary field of view there must be:
(a) a suitably scaled CDI; or
(b) a map display with a numeric indication of cross-track deviation with a
resolution of 0.01 NM or less.</t>
  </si>
  <si>
    <t>for an RNP AR approach or departure with an RNP of not less than 0.3, there must be within the pilot’s primary field of view:
(a) a map display; and
(b) a numeric display of cross-track deviation with a resolution of 0.1 NM or
less.</t>
  </si>
  <si>
    <t>for an RNP AR approach or departure with an RNP of 0.3 or less, the means by which the flight crew monitor and manage cross-track deviations must be:
(a) demonstrated by the operator to be adequate for all normal and non-normal
conditions within the FTE appropriate to the RNP to be used; and
(b) arrived at only after operator consideration of relevant factors, including the
following:
(i) information displayed in the pilot’s primary field of view;
(ii) information displayed outside the pilot’s primary field of view;
(iii) the resolution, scaling, numeric and other cross-track indications
available;
(iv) the predictive display of aircraft flight path;
(v) the crew procedures used to monitor and manage FTE;
(vi) operator procedures for initiation of a missed approach;
(vii) information provided by the aircraft manufacturer;
(viii) simulator demonstration of FTE management.</t>
  </si>
  <si>
    <t>Alerting</t>
  </si>
  <si>
    <t>The navigation system is not required to provide an alert to the flight crew when
GNSS updating is lost, provided there is an alert when the selected RNP no
longer meets the criteria for continued navigation.</t>
  </si>
  <si>
    <t>The system must be capable of executing leg transitions and maintain tracks
consistent with an RF Leg.
Note ICAO Doc. 9613 includes this requirement only where approaches are designed with RF Legs. However, RNP AR procedures designed in accordance with proprietary design criteria for use by operators of Australian aircraft are dependent upon RF Leg capability.</t>
  </si>
  <si>
    <t>LNAV Guidance</t>
  </si>
  <si>
    <t>Navigation Database</t>
  </si>
  <si>
    <t>Data Process</t>
  </si>
  <si>
    <t>The operator must identify the responsible manager for the data updating
process within their procedures.</t>
  </si>
  <si>
    <t>The operator must document a process for accepting, verifying and loading
navigation data into the aircraft.</t>
  </si>
  <si>
    <t>The operator must place their documented data process under configuration
control.</t>
  </si>
  <si>
    <t>Aircraft Modifications</t>
  </si>
  <si>
    <t xml:space="preserve">RNP-AR Additional Requirements
</t>
  </si>
  <si>
    <t xml:space="preserve">Data validation Requirements;
</t>
  </si>
  <si>
    <t xml:space="preserve">Data Process requirements
</t>
  </si>
  <si>
    <t>Nil alternative requirements</t>
  </si>
  <si>
    <t>r</t>
  </si>
  <si>
    <t xml:space="preserve">Qualification Flight Requirements
</t>
  </si>
  <si>
    <t>91-05 3.9.5</t>
  </si>
  <si>
    <t>The qualification flight may be conducted in a Level D flight simulator only if:
(a) the flight simulator reasonably replicates the RNP AR related functions,
software version and options of the aircraft in which the RNP AR
operations will be conducted; and
(b) DASA is satisfied that any RNP AR related functions not replicated in the
flight simulator are not safety critical, and are demonstrated by other
means; and
(c) the flight simulation is carried out by a flight crew trained in accordance the
operator’s RNP AR approved training program.</t>
  </si>
  <si>
    <t>91-05 3.9.5.2</t>
  </si>
  <si>
    <t>91-05 3.9.5.1</t>
  </si>
  <si>
    <t>91-05 3.9.5.3</t>
  </si>
  <si>
    <t>AC 91-05 Table 2</t>
  </si>
  <si>
    <t>(a) A detailed description of the proposed flightcrew  training for RNP AR operations, including a copy of the training syllabus</t>
  </si>
  <si>
    <t>The FOSA must include the mitigations implemented by the operator to reduce abnormal safety risks to the level of “As Low as Reasonably Practical (ALARP)”.
Note 1 Suitable methods to mitigate non-normal safety risks include flight crew procedures (including contingency procedures), flight crew training, engineering modifications, operating limitations, and procedure design.
Note 2 Additional guidance on provision for non-normal operations is contained in FAA AC 120-29A, Criteria for Approval of Category I and Category II, Weather Minima for Approach.</t>
  </si>
  <si>
    <t xml:space="preserve">FOSA Requirements
the operator must conduct a FOSA for the addition of new destinations requiring RNP AR, noting that:
</t>
  </si>
  <si>
    <t>AC 91-05 3.9.1.1.e</t>
  </si>
  <si>
    <t>AC 21-05 3.9.4</t>
  </si>
  <si>
    <t>3.9.4.1 a</t>
  </si>
  <si>
    <t>3.9.4.1.b</t>
  </si>
  <si>
    <t>3.9.4.1.c</t>
  </si>
  <si>
    <t>To ensure currency, validity and integrity of the navigation database, which is an integral part of any RNP AR operation, the operator should:</t>
  </si>
  <si>
    <t>3.9.4.1</t>
  </si>
  <si>
    <t>Validate the navigation data before flying the actual RNP AR procedure by:
i. flying the entire procedure in an aircraft in VMC in daytime, or in a Level D flight simulator, from the initial approach fix through the approach including vertical angle, the missed approach, and the approach transitions for the selected aerodrome and runway
ii. confirming that the depicted procedure on the map display is the same as depicted on the published procedure
iii. observing the flight path and confirming based on the observation that the path does not have any lateral or vertical path disconnects with the procedure data, and is consistent with the published procedure
iv. verifying that the aircraft navigation, flight control, cockpit display and other systems function correctly, and that the procedure is flyable.</t>
  </si>
  <si>
    <t>3.9.4.1.d</t>
  </si>
  <si>
    <t>A validation of an RNP AR procedure mentioned above should not contain any abnormal operation. Any abnormal operation should be validated by simulation.</t>
  </si>
  <si>
    <t>3.9.4.2</t>
  </si>
  <si>
    <t>Upon receipt of each navigation database update for an RNP AR procedure, and before using the updated navigation data in a type of aircraft, the operator should compare the updated data to the previously validated procedure and identify and resolve any discrepancies.</t>
  </si>
  <si>
    <t>3.9.4.3</t>
  </si>
  <si>
    <t>If any aspect of the on-board systems needed for RNP AR is modified (e.g., software change), the operator should validate the procedure for the aircraft type using the modified system. However, no re-validation would be necessary if the manufacturer of the modified system has stated in writing that the modification has no effect on the navigation database or path computation for the use of the procedure in the aircraft type.</t>
  </si>
  <si>
    <t>3.9.4.4</t>
  </si>
  <si>
    <t>Data Validation</t>
  </si>
  <si>
    <t>Update validation</t>
  </si>
  <si>
    <t>3.9.2</t>
  </si>
  <si>
    <t>3.9.2.1.a</t>
  </si>
  <si>
    <t>3.9.2.1.b</t>
  </si>
  <si>
    <t>Flight crew should also:
b. ensure they are informed of and familiar with the following:
i. effect of temperature
ii. temperature limitations
iii. cold temperature correction
iv. remote altimeter setting not permitted
v. on-board compensation equipment.</t>
  </si>
  <si>
    <t>3.9.2.3</t>
  </si>
  <si>
    <t>Flight Crew Procedures</t>
  </si>
  <si>
    <t>3.9.3</t>
  </si>
  <si>
    <t>To ensure compliance with the required operational standards, the operator should have flight crew procedures for the following:</t>
  </si>
  <si>
    <t>a. monitoring lateral tracking comprising:
i. track deviation alerts and callouts
ii. flight crew intervention
iii. regaining track
iv. discontinuing the operation.
Note: RNP AR procedures designed in accordance with proprietary design criteria for use by operators of Australian aircraft require that the standard for track-keeping is applied during turns and that no allowance is made for overshoot or undershoot during entry or exit. All turns for these procedures are RF legs.</t>
  </si>
  <si>
    <t>3.9.3.1.a</t>
  </si>
  <si>
    <t>b. monitoring vertical deviation from the vertical path comprising:
i. monitoring vertical deviation
ii. deviation alerts and callouts
iii. flight crew intervention
iv. missed approach.</t>
  </si>
  <si>
    <t>3.9.3.1.b</t>
  </si>
  <si>
    <t>An operator's procedures for limiting vertical deviations may only be determined after considered the following:
a. the aircraft manufacturer’s data relating to vertical flight path accuracy
b. the cockpit display of vertical deviation
c. the value used by the designer of the procedure.</t>
  </si>
  <si>
    <t>Limiting values for vertical deviation</t>
  </si>
  <si>
    <t>Notwithstanding the above, the limiting value for vertical deviation should not exceed:
a. 75 ft below the defined vertical flight path
b. 75 ft above the defined vertical path unless a figure greater than 75 ft is determined as appropriate for the aircraft type after considering the following:
i. aircraft flight characteristics
ii. the effect that any deviation may have on the safe continuation of a stabilised approach
iii. airspeed
iv. energy management
v. aircraft height above ground level
vi. autopilot vertical gain performance.</t>
  </si>
  <si>
    <t>During an RNP AR operation, the flight crew should:
a. ensure that deviation from the defined lateral path does not exceed 1 x RNP at all stages of flight
b. not modify the loaded procedure
c. refrain from modifying the lateral path, except for:
i. accepting a clearance to go direct to a fix in the approach procedure that is before the FAF and that does not immediately precede an RF leg
or
ii. changing the altitude and/or airspeed waypoint constraints on the initial, intermediate, or missed approach segments of an approach (e.g., to apply cold temperature corrections or comply with an ATC clearance/instruction)
d. comply with airspeed limitations by segment and category as set by the procedure design in accordance with ICAO Doc 9905 where applicable, or as shown in ICAO Doc 9613, Performance-based Navigation (PBN) Manual, Volume II, Part C, Implementing RNP AR APCH
e. be prepared for possible loss of GNSS updating (of the IRS), noting that the approach may be continued if the navigation system continues to provide a solution consistent with the selected RNP
Note: The AFM may require an approach to be discontinued in the event of a loss of GNSS updating, in which case the approach should be discontinued.
f. ensure deviation from the defined vertical path does not exceed the limiting value for the vertical deviation stated in the operator's RNP AR operating procedures once the aircraft has passed the FAP or VIP on an approach.</t>
  </si>
  <si>
    <t>General procedures</t>
  </si>
  <si>
    <t>A detailed description or link to the operating procedures to be used for RNP AR including:
i. Standing instructions, Flying Orders or other published procedures
ii. the checklists
iii. the contingency procedures
iv. the QRH
v. Applicable manuals</t>
  </si>
  <si>
    <t>3.9.1.1.c</t>
  </si>
  <si>
    <r>
      <rPr>
        <b/>
        <sz val="11"/>
        <color rgb="FF000000"/>
        <rFont val="Calibri"/>
        <family val="2"/>
      </rPr>
      <t>Minimum equipment list (MEL)</t>
    </r>
    <r>
      <rPr>
        <sz val="11"/>
        <color rgb="FF000000"/>
        <rFont val="Calibri"/>
        <family val="2"/>
      </rPr>
      <t xml:space="preserve">
The applicable extracts from the Operator’s Minimum Equipment List (Airworthiness items) and/or applicable Flying Orders or other instructions that demonstrate it identifies;
(1) any unserviceability that affects the conduct of RNP AR operation
(2) the systems that GNSS interfaces with, so that in the event of GNSS being inoperative, the full impact of the failure can be readily determined
The rationale for selection of these specific MEL items as having an impact on safe RNP AR operations should be addressed and any associated hazard/risk assessments attached.</t>
    </r>
  </si>
  <si>
    <t>3.9.1.1.f</t>
  </si>
  <si>
    <t>3.9.1.1.h</t>
  </si>
  <si>
    <t>3.9.1.1.g</t>
  </si>
  <si>
    <t>for an aircraft equipped with GNSS sensors which comply with (E)TSO-C129a, (E)TSO-C145a, (E)TSO-C146a, (E)TSO-C196a, or an equivalent standard, it carries the following minimum equipment:
(i) 2 FMS;
(ii) 2 GNSS sensors (which may be included in an MMR);
(iii) 1 IRU/IRS;
(iv) 2 flight directors;
(v) 2 flight mode annunciators;
(vi) 2 RADALTs;
(vii) duplicated primary flight and navigation displays;
(viii) duplicated alternating current power source (for which an APU may be used);
(ix) 1 autopilot channel;
(x) 1 TAWS appropriate to the class of operation</t>
  </si>
  <si>
    <t>3.9.1.1</t>
  </si>
  <si>
    <t>3.9.1.1.b Note</t>
  </si>
  <si>
    <t>Evidence that the suppliers of the Navigation Database comply with the minimum integrity requirements for RNP AR authorisation (LOA 2)</t>
  </si>
  <si>
    <t>3.9.6.2</t>
  </si>
  <si>
    <t>Previous Experience</t>
  </si>
  <si>
    <t>DASA may consider previous relevant RNP APCH operational experience gained by the flight crew as a substitute to the training items listed below. DASA may also accept a modified version of the list of training items depending on a specific application. Such deviations from the standard list will be duly recorded in the approval by DASA.</t>
  </si>
  <si>
    <t>Restricted Aerodromes or Mountainous/Obstacle enriched airfield</t>
  </si>
  <si>
    <t xml:space="preserve">Where RNP AR operations are to be conducted at a restricted aerodrome or are to involve operations in the vicinity of a mountainous or obstacle enriched area, the PIC should also successfully complete a route training and restricted minima program. If, however, operations are not at restricted aerodromes or in the vicinity of a mountainous or obstacle enriched area, then the PIC should have successfully completed at least 1 RNP AR APCH at any airfield in VMC before conducting unrestricted operations.
</t>
  </si>
  <si>
    <t>Before an RNP AR operation commences, the flight crew should:
a. predict the availability of the subject RNP service considering relevant matters, including the following:
i. aerodrome location
ii. approach or departure operation
iii. terrain masking
iv. availability of GNSS signal-in-space (e.g., by NOTAMs) for navigation and for updating IRS
v. availability of GNSS integrity information (e.g., by RAIM with FDE)
Note: The use of approved SBAS-capable or DFMC GNSS receivers in airspace served by appropriate infrastructure may obviate the need for RAIM prediction.
vi. check availability of the current navigation database
vii. ensure that the intended approach or departure procedure is retrievable by procedure identifier from the aircraft navigation database
viii. ensure that the correct approach or departure procedure has been selected
ix. ensure that the appropriate RNP is entered into the FMC and its appropriateness and accurate entry is confirmed
x. verify that the cockpit electronic displays correctly replicate the route, the waypoint sequence and significant operational details shown on the published procedure chart.
Note: The verification requirement in (vi) is not applicable to an OEI procedure.</t>
  </si>
  <si>
    <t>Monitoring Vertical Tracking</t>
  </si>
  <si>
    <t>Monitoring Lateral tracking</t>
  </si>
  <si>
    <t>3.9.3.2</t>
  </si>
  <si>
    <t>3.9.3.3</t>
  </si>
  <si>
    <t>3.9.2.1.i</t>
  </si>
  <si>
    <t xml:space="preserve">Availability
</t>
  </si>
  <si>
    <t>a detailed description of pre-flight procedure for ensuring the availability of signal-in-space of the requisite GNSS (core constellation and augmentation element(s) if any), GNSS integrity and other navigation aids applicable to the intended operation</t>
  </si>
  <si>
    <t>The system must provide LNAV guidance throughout a go-round conducted at any point in the approach.
Note This function is commonly referred to as TOGA to LNAV.
Where continuous LNAV guidance is not available, an alternative means is
acceptable only if:
(a) each flight crew member receives specific training in accurate
track-keeping during a go-round; and
(b) the operator demonstrates to CASA that the lateral track can be accurately
maintained under all normal and non-normal conditions.</t>
  </si>
  <si>
    <t>Additional Knowledge</t>
  </si>
  <si>
    <t xml:space="preserve">an FMS supported by suitable flight control, cockpit control and display systems
</t>
  </si>
  <si>
    <t xml:space="preserve">Simulator
</t>
  </si>
  <si>
    <t xml:space="preserve">(f) copies of relevant Flying Orders or other published instructions
</t>
  </si>
  <si>
    <r>
      <t xml:space="preserve">General
</t>
    </r>
    <r>
      <rPr>
        <sz val="11"/>
        <rFont val="Calibri"/>
        <family val="2"/>
      </rPr>
      <t xml:space="preserve">All operators/owners must include in their application their maintenance program, including a reliability program for monitoring the equipment. </t>
    </r>
  </si>
  <si>
    <t xml:space="preserve">
Aircraft Model / Variant</t>
  </si>
  <si>
    <r>
      <rPr>
        <b/>
        <sz val="10"/>
        <rFont val="Arial"/>
        <family val="2"/>
      </rPr>
      <t>Aircraft Details and Authorisation/s Requested</t>
    </r>
    <r>
      <rPr>
        <b/>
        <sz val="11"/>
        <rFont val="Arial"/>
        <family val="2"/>
      </rPr>
      <t xml:space="preserve"> </t>
    </r>
    <r>
      <rPr>
        <b/>
        <sz val="10"/>
        <rFont val="Arial"/>
        <family val="2"/>
      </rPr>
      <t>– Provide details of the aircraft and select the relevant navigation authorisations that will apply for each aircraft</t>
    </r>
  </si>
  <si>
    <t xml:space="preserve">Aircraft Details </t>
  </si>
  <si>
    <t>Authorisation/s Requested under DASR SPA.50</t>
  </si>
  <si>
    <t>Additional Authorisations Sought</t>
  </si>
  <si>
    <t>LVTO</t>
  </si>
  <si>
    <t>Authorisation/s Requested under DASR SPA.05</t>
  </si>
  <si>
    <t>EFVS /
EFS</t>
  </si>
  <si>
    <t>Autoland and Rollout</t>
  </si>
  <si>
    <t>LVOPS APCH</t>
  </si>
  <si>
    <t>HUD / HGS</t>
  </si>
  <si>
    <r>
      <rPr>
        <b/>
        <sz val="10"/>
        <color theme="0" tint="-0.499984740745262"/>
        <rFont val="Georgia"/>
        <family val="1"/>
      </rPr>
      <t>DASR Form 1307 V2.0</t>
    </r>
    <r>
      <rPr>
        <sz val="10"/>
        <color rgb="FF000000"/>
        <rFont val="Georgia"/>
        <family val="1"/>
      </rPr>
      <t xml:space="preserve">
</t>
    </r>
    <r>
      <rPr>
        <b/>
        <sz val="10"/>
        <color rgb="FFC00000"/>
        <rFont val="Georgia"/>
        <family val="1"/>
      </rPr>
      <t>DEFENCE AVIATION SAFETY AUTHORITY</t>
    </r>
    <r>
      <rPr>
        <sz val="10"/>
        <color rgb="FF000000"/>
        <rFont val="Georgia"/>
        <family val="1"/>
      </rPr>
      <t xml:space="preserve">
</t>
    </r>
    <r>
      <rPr>
        <b/>
        <sz val="14"/>
        <color rgb="FF000000"/>
        <rFont val="Georgia"/>
        <family val="1"/>
      </rPr>
      <t>Application for Navigation Specification Approval</t>
    </r>
  </si>
  <si>
    <r>
      <rPr>
        <b/>
        <sz val="10"/>
        <color theme="0" tint="-0.499984740745262"/>
        <rFont val="Georgia"/>
        <family val="1"/>
      </rPr>
      <t>DASR Form 1307 V2.0</t>
    </r>
    <r>
      <rPr>
        <sz val="10"/>
        <color rgb="FF000000"/>
        <rFont val="Georgia"/>
        <family val="1"/>
      </rPr>
      <t xml:space="preserve">
</t>
    </r>
    <r>
      <rPr>
        <b/>
        <sz val="10"/>
        <color rgb="FFC00000"/>
        <rFont val="Georgia"/>
        <family val="1"/>
      </rPr>
      <t>DEFENCE AVIATION SAFETY AUTHORITY</t>
    </r>
    <r>
      <rPr>
        <sz val="10"/>
        <color rgb="FF000000"/>
        <rFont val="Georgia"/>
        <family val="1"/>
      </rPr>
      <t xml:space="preserve">
</t>
    </r>
    <r>
      <rPr>
        <b/>
        <sz val="14"/>
        <color rgb="FF000000"/>
        <rFont val="Georgia"/>
        <family val="1"/>
      </rPr>
      <t>Application for Navigation Specification Approval</t>
    </r>
  </si>
  <si>
    <t>Compliance Worksheet LVTO
CASA CAO 20.91 App 12 - CASA AC 91-5 V1.0 - ICAO DOC 9613 Part C App 3</t>
  </si>
  <si>
    <t>Reserved pending finalisation by DASA - see DASA DeskO</t>
  </si>
  <si>
    <t>Compliance Worksheet LVOPS APCH (CAT I, CAT I SA, CAT II, CAT II SA, CAT III)
CASA CAO 20.91 App 12 - CASA AC 91-5 V1.0 - ICAO DOC 9613 Part C App 3</t>
  </si>
  <si>
    <t xml:space="preserve">Compliance Worksheet Enhanced Flight  Vision System / EFS
</t>
  </si>
  <si>
    <t>Compliance Worksheet Autoland and Rollout
CASA CAO 20.91 App 12 - CASA AC 91-5 V1.0 - ICAO DOC 9613 Part C App 3</t>
  </si>
  <si>
    <t>Compliance Worksheet HUD and HGS
CASA CAO 20.91 App 12 - CASA AC 91-5 V1.0 - ICAO DOC 9613 Part C App 3</t>
  </si>
  <si>
    <t>Worksheets</t>
  </si>
  <si>
    <t>1. Some worksheets are included as placemarkers only and are yet to be developed</t>
  </si>
  <si>
    <t>2. Those worksheets are ToAC, LVTO, LVOPS APCH, Autoland and Rollout and HUD/HGS</t>
  </si>
  <si>
    <t>Statement required in AFM or by OEM certfiying compliance and stating basis of regulatory approval</t>
  </si>
  <si>
    <r>
      <t>This section defines the requirements for using Enhanced Flight Vision Systems (EFVS) 
Applicable Regulations:
C</t>
    </r>
    <r>
      <rPr>
        <b/>
        <sz val="14"/>
        <color rgb="FF000000"/>
        <rFont val="Calibri"/>
        <family val="2"/>
      </rPr>
      <t xml:space="preserve">urrently CASA does not publish any regulatory or guidance material </t>
    </r>
    <r>
      <rPr>
        <sz val="14"/>
        <color rgb="FF000000"/>
        <rFont val="Calibri"/>
        <family val="2"/>
      </rPr>
      <t xml:space="preserve">
Drawn from 
FAA AC 20-167A 6 Dec 2016
EASA Guidelines on the use of EFVS in SBAS Operations V1.2 Jun 2023
FAA AC 90-106B 2 May 2022
FAA 61.66 13 Mar 2018
FAA 91.176 Straight-n landing operations below DA/DH or MDA using an enhanced flight vision system (EFVS) under IFR 21 Mar 2017
FAA Flight Technologies and Procedures Division, Flight Operations Group, Recommended EFVS Operational Credit Rev1 18 Nov 2024
FAA Operational suitability report, Operational credit for EFVS Rev 6, 18 Nov 2024
FAA EFVS Training record endorsements 21 Apr 2021
FAA EFVS Recommendations for EFVS pilot training Rev 0 31 Mar 20
FAA EFVS Recent flight experience Rev 1 20 May 20
FAA EFVS Overview, Rev 5, 23 Aug 22
EASA RMT.0379 AWO Implementation Manual V1.3, 1Q2024</t>
    </r>
  </si>
  <si>
    <t>EFVS to operations 100ft above the touchdown zone elevation, or</t>
  </si>
  <si>
    <t>EFVS operations to touchdown and rollout</t>
  </si>
  <si>
    <t>Operational credit for operation authorised. AFM, OEM statement supported by regulatory approval.</t>
  </si>
  <si>
    <r>
      <t xml:space="preserve">General
</t>
    </r>
    <r>
      <rPr>
        <sz val="11"/>
        <rFont val="Calibri"/>
        <family val="2"/>
      </rPr>
      <t xml:space="preserve">All operators/owners must include in their associated EFVS application a link to their maintenance program, including a reliability program for
monitoring the equipment. </t>
    </r>
  </si>
  <si>
    <t xml:space="preserve"> - General Operating Requirements</t>
  </si>
  <si>
    <t xml:space="preserve"> General Operating Requirements
</t>
  </si>
  <si>
    <t>The specific EFVS approvals and limitations to those approvals are specified</t>
  </si>
  <si>
    <t>Procedures shall specify data validityconfirmation  and crosscheck procedures</t>
  </si>
  <si>
    <t>EFVS Procedures</t>
  </si>
  <si>
    <t xml:space="preserve">EFVS Approach Procedures
</t>
  </si>
  <si>
    <t xml:space="preserve">a. Specific Procedures / limitations for operations of an EFVS Approach system (down to 100ft above TDZE) and/or an EFVS Landing system (touch down and unaided rollout) are specified.
</t>
  </si>
  <si>
    <t>b. Flight planning procedures and alternate planning requirements are clearly specified</t>
  </si>
  <si>
    <t>c. All callouts and procedures associated with EFVS operations specified.</t>
  </si>
  <si>
    <t>d. Operational credit for reduction in visibility requirements are specified and readily accessable</t>
  </si>
  <si>
    <t>e. Visibility requirements at minima are specified. 
i. For an EFVS approach system the visibility requirements must be identifed separately to that displayed on the system
ii. For an EFVS landing system, the features may be identified by reference to that system display</t>
  </si>
  <si>
    <t>f. All Normal/Contingency procdures are addressed in the manual suite.</t>
  </si>
  <si>
    <t>g. Contingency requirements for failures are specified.</t>
  </si>
  <si>
    <t xml:space="preserve"> - Recency Requirements</t>
  </si>
  <si>
    <t>Lapse in recency - 6 months or less
Recent flight experience can be reestablished by logging instrument approaches using an EFVS.
An EFVS operation can only be performed under the supervision of a PIC who meets all the pilot requirements</t>
  </si>
  <si>
    <t>Lapse in recency - More than 6 months
When EFVS recent flight experience has lapsed for more than six calendar months, an DASA approved EFVS refresher course must be completed before conducting an EFVS operation.
Note: DASA will accept a refresher course approved under FAA or EASA rules.</t>
  </si>
  <si>
    <t>Note: A level C or higher flight simulator equipped with an EFVS may be used to meet the recent flight experience requirements.</t>
  </si>
  <si>
    <t xml:space="preserve">Pilot requirements
</t>
  </si>
  <si>
    <t>To manipulate the controls or act as pilot in command of an aircraft during an EFVS operation, the following must have been completed within the previous six calendar-months preceding the current date:
a. An approved EFVS training course, or
b. At least six instrument approaches using an EFVS
NOTE: An instrument approach may be conducted during the day or night under any weather conditions. One approach must terminate in a full-stop landing.</t>
  </si>
  <si>
    <r>
      <rPr>
        <b/>
        <sz val="11"/>
        <rFont val="Calibri"/>
        <family val="2"/>
      </rPr>
      <t>Training documentation.</t>
    </r>
    <r>
      <rPr>
        <sz val="11"/>
        <rFont val="Calibri"/>
        <family val="2"/>
      </rPr>
      <t xml:space="preserve"> 
Operators must provide a link to training syllabi and training material (e.g. computer based training, simulator training) to DASA. This material must show that the operational practices, procedures and training items related to these operations have been incorporated in the operator’s training programs (e.g. initial, upgrade or recurrent training for flight crew, dispatchers or maintenance personnel). Practices and procedures in the following areas must be standardized:
(a) flight planning;
(b) pre-flight procedures at the aircraft for each flight;
(c) procedures before entry into an RNP 4 route or airspace;
(d) in-flight contingency procedures;
(e) flight crew qualification procedures.</t>
    </r>
  </si>
  <si>
    <t>61.66(a)</t>
  </si>
  <si>
    <t xml:space="preserve">Ground Training Syllabus
</t>
  </si>
  <si>
    <t>Flight Standards InFO 11004, Enhanced Flight Vision System (EFVS), Enhanced Vision Systems (EVS), and Night Vision Goggles (NVG) Compatibility with Light-Emitting Diodes (LEDs) at Airports and on Obstacles. You can find InFO 11004 at https://www.faa.gov/other_visit/aviation_industry/airline_operators/airline_safety/info</t>
  </si>
  <si>
    <t>61.66(b)</t>
  </si>
  <si>
    <t>Tests and Checks</t>
  </si>
  <si>
    <t>Pilot proficiency check requires at least one of each EFVS operations approved</t>
  </si>
  <si>
    <t>Ground Training Overall</t>
  </si>
  <si>
    <t xml:space="preserve"> - Overview</t>
  </si>
  <si>
    <t xml:space="preserve"> - Sensor imagery / flight symbology</t>
  </si>
  <si>
    <t xml:space="preserve"> - Modes and display</t>
  </si>
  <si>
    <t xml:space="preserve"> - Sensor performance and limitations</t>
  </si>
  <si>
    <t xml:space="preserve"> - AFMS</t>
  </si>
  <si>
    <t xml:space="preserve"> Technical</t>
  </si>
  <si>
    <t>The following technical topics shall be addressed</t>
  </si>
  <si>
    <t xml:space="preserve"> - Preparation</t>
  </si>
  <si>
    <t xml:space="preserve"> - Piloting techniques - preparation</t>
  </si>
  <si>
    <t xml:space="preserve"> - Piloting techniques</t>
  </si>
  <si>
    <t xml:space="preserve"> - Required visual references</t>
  </si>
  <si>
    <t xml:space="preserve"> - Transition to visual</t>
  </si>
  <si>
    <t xml:space="preserve"> - Using EFVS imagery</t>
  </si>
  <si>
    <t>Ground and Flight Training</t>
  </si>
  <si>
    <t xml:space="preserve">Training Compliance Requirements
</t>
  </si>
  <si>
    <t xml:space="preserve"> - Regulations / AFM content</t>
  </si>
  <si>
    <t>Preflight and in-flight preparation of EFVS equipment for EFVS operations, including EFVS setup and use of display, controls, modes and associated systems, and adjustments for brightness and contrast under day and night conditions.
Note: These tasks should be performed using the manufacturer’s recommended procedures or procedures applicable to the operator.</t>
  </si>
  <si>
    <t>Proper piloting techniques associated with using EFVS during taxi, takeoff, climb, cruise, descent, landing, and rollout, including missed approaches and balked landings.
Note: Flight training should allow pilots to become familiar with the use of installed equipment such as an EFVS in all phases of flight.</t>
  </si>
  <si>
    <t>Proper piloting techniques for the use of EFVS during instrument approaches, to include operations below the DA/DH or MDA as applicable to the EFVS operations to be conducted, under both day and night conditions.
Notes: Pilot should be proficient in piloting techniques using the flight director, flight-path vector cue, and flight-path angle reference cue and using the EFVS during the flare, touchdown, and rollout consistent with EFVS operations to 100 feet above the touchdown zone elevation or EFVS operations to touchdown and rollout under the following conditions: 
1. A sample of approach types for the EFVS operation being trained (e.g., precision and non-precision, if applicable). 
2. A sample of crosswind conditions and offset angles that emphasize the challenges of operating with the limited FOV with an EFVS. 
3. EFVS operations in visibilities less than IAP minimum visibilities. This may not be practical if training is conducted in an aircraft. If the training is accomplished in a simulator, with the enhanced visibilities representative of the EFVS sensor performance.</t>
  </si>
  <si>
    <t xml:space="preserve"> - Determining flight visibility</t>
  </si>
  <si>
    <t>Transitioning from EFVS sensor imagery to natural vision acquisition of required visual references and the runway environment.
Pilots should acquire visual references with natural vison at 100 feet during an EFVS operation to 100 feet above the touchdown zone elevation. There are many acceptable techniques for identifying the visual references with natural vision while the pilot continues using the EFVS to provide the enhanced flight visibility required for the operation.</t>
  </si>
  <si>
    <t>Using EFVS sensor imagery, required aircraft flight information, and flight symbology to touchdown and rollout (if applicable)
The tasks should emphasize completing the operation using enhanced imagery and HUD symbology in conditions applicable to the lowest visibility associated with the EFVS being used.</t>
  </si>
  <si>
    <t xml:space="preserve"> - Crew Coordination</t>
  </si>
  <si>
    <t>Normal, abnormal, emergency and crew coordination procedures when using an EFVS.
Flight training tasks should emphasize crew procedures appropriate to the operator, to include: 
1. Procedures applicable to the PF and PM, crew briefings, procedures, callouts, and coordination items for EFVS operations, including annunciation of published minimums during operation below the DA/DH or MDA. 
2. Procedures at 100 feet, during an EFVS operation, to 100 feet above the touchdown zone elevation. 
3. EFVS Failure Procedures. Procedures for an EFVS failure or a system degradation during an EFVS operation.</t>
  </si>
  <si>
    <t>Endorsement and/or training record (required statement)</t>
  </si>
  <si>
    <t>Flight Training and Checking</t>
  </si>
  <si>
    <t>Flight Training and Checking Requirements</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</si>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</sst>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6" x14ac:knownFonts="1">
    <font>
      <sz val="10"/>
      <color rgb="FF000000"/>
      <name val="Times New Roman"/>
      <charset val="204"/>
    </font>
    <font>
      <sz val="11"/>
      <name val="Calibri"/>
      <family val="2"/>
    </font>
    <font>
      <sz val="11"/>
      <name val="Calibri"/>
      <family val="2"/>
    </font>
    <font>
      <b/>
      <sz val="7.5"/>
      <name val="Calibri"/>
      <family val="2"/>
    </font>
    <font>
      <sz val="7.5"/>
      <name val="Calibri"/>
      <family val="2"/>
    </font>
    <font>
      <sz val="10"/>
      <name val="Arial"/>
      <family val="2"/>
    </font>
    <font>
      <u/>
      <sz val="10"/>
      <color indexed="12"/>
      <name val="Arial"/>
      <family val="2"/>
    </font>
    <font>
      <sz val="10"/>
      <color rgb="FF000000"/>
      <name val="Times New Roman"/>
      <family val="1"/>
    </font>
    <font>
      <b/>
      <sz val="11"/>
      <name val="Calibri"/>
      <family val="2"/>
    </font>
    <font>
      <b/>
      <sz val="11"/>
      <name val="Arial"/>
      <family val="2"/>
    </font>
    <font>
      <b/>
      <sz val="10"/>
      <name val="Arial"/>
      <family val="2"/>
    </font>
    <font>
      <sz val="8"/>
      <color rgb="FF000000"/>
      <name val="Arial"/>
      <family val="2"/>
    </font>
    <font>
      <sz val="7.5"/>
      <color rgb="FF000000"/>
      <name val="Arial"/>
      <family val="2"/>
    </font>
    <font>
      <b/>
      <sz val="10"/>
      <color rgb="FF000000"/>
      <name val="Times New Roman"/>
      <family val="1"/>
    </font>
    <font>
      <b/>
      <sz val="12"/>
      <name val="Calibri"/>
      <family val="2"/>
    </font>
    <font>
      <sz val="7.5"/>
      <color rgb="FF000000"/>
      <name val="Calibri"/>
      <family val="2"/>
    </font>
    <font>
      <b/>
      <sz val="10"/>
      <name val="Calibri"/>
      <family val="2"/>
    </font>
    <font>
      <sz val="10"/>
      <name val="Calibri"/>
      <family val="2"/>
    </font>
    <font>
      <sz val="10"/>
      <color rgb="FF000000"/>
      <name val="Calibri"/>
      <family val="2"/>
    </font>
    <font>
      <b/>
      <sz val="7.5"/>
      <color rgb="FF000000"/>
      <name val="Calibri"/>
      <family val="2"/>
    </font>
    <font>
      <b/>
      <sz val="10"/>
      <color rgb="FF000000"/>
      <name val="Calibri"/>
      <family val="2"/>
    </font>
    <font>
      <u/>
      <sz val="11"/>
      <name val="Calibri"/>
      <family val="2"/>
    </font>
    <font>
      <sz val="10"/>
      <color rgb="FF000000"/>
      <name val="Calibri"/>
      <family val="2"/>
      <scheme val="minor"/>
    </font>
    <font>
      <b/>
      <sz val="9"/>
      <name val="Calibri"/>
      <family val="2"/>
    </font>
    <font>
      <sz val="9"/>
      <color rgb="FF000000"/>
      <name val="Times New Roman"/>
      <family val="1"/>
    </font>
    <font>
      <u/>
      <sz val="10"/>
      <name val="Calibri"/>
      <family val="2"/>
    </font>
    <font>
      <b/>
      <u/>
      <sz val="10"/>
      <name val="Calibri"/>
      <family val="2"/>
    </font>
    <font>
      <sz val="11"/>
      <color rgb="FF000000"/>
      <name val="Times New Roman"/>
      <family val="1"/>
    </font>
    <font>
      <sz val="12"/>
      <color rgb="FF000000"/>
      <name val="Times New Roman"/>
      <family val="1"/>
    </font>
    <font>
      <sz val="12"/>
      <color rgb="FF000000"/>
      <name val="Calibri"/>
      <family val="2"/>
    </font>
    <font>
      <sz val="12"/>
      <name val="Calibri"/>
      <family val="2"/>
    </font>
    <font>
      <b/>
      <sz val="11"/>
      <color rgb="FF000000"/>
      <name val="Times New Roman"/>
      <family val="1"/>
    </font>
    <font>
      <sz val="11"/>
      <color rgb="FF000000"/>
      <name val="Calibri"/>
      <family val="2"/>
    </font>
    <font>
      <b/>
      <sz val="12"/>
      <color rgb="FF000000"/>
      <name val="Calibri"/>
      <family val="2"/>
    </font>
    <font>
      <sz val="8"/>
      <name val="Times New Roman"/>
      <family val="1"/>
    </font>
    <font>
      <sz val="11"/>
      <color rgb="FFFF0000"/>
      <name val="Calibri"/>
      <family val="2"/>
    </font>
    <font>
      <b/>
      <sz val="14"/>
      <name val="Calibri"/>
      <family val="2"/>
    </font>
    <font>
      <sz val="10"/>
      <name val="Times New Roman"/>
      <family val="1"/>
    </font>
    <font>
      <sz val="14"/>
      <name val="Calibri"/>
      <family val="2"/>
    </font>
    <font>
      <sz val="11"/>
      <color rgb="FF000000"/>
      <name val="Calibri"/>
      <family val="2"/>
      <scheme val="minor"/>
    </font>
    <font>
      <i/>
      <sz val="11"/>
      <color rgb="FF000000"/>
      <name val="Calibri"/>
      <family val="2"/>
      <scheme val="minor"/>
    </font>
    <font>
      <sz val="11"/>
      <name val="Calibri"/>
      <family val="2"/>
      <scheme val="minor"/>
    </font>
    <font>
      <b/>
      <u/>
      <sz val="11"/>
      <name val="Calibri"/>
      <family val="2"/>
    </font>
    <font>
      <b/>
      <u/>
      <sz val="12"/>
      <color rgb="FF000000"/>
      <name val="Calibri"/>
      <family val="2"/>
    </font>
    <font>
      <u/>
      <sz val="12"/>
      <color rgb="FF000000"/>
      <name val="Calibri"/>
      <family val="2"/>
    </font>
    <font>
      <b/>
      <sz val="14"/>
      <color rgb="FF000000"/>
      <name val="Arial"/>
      <family val="2"/>
    </font>
    <font>
      <sz val="12"/>
      <color rgb="FF000000"/>
      <name val="Arial"/>
      <family val="2"/>
    </font>
    <font>
      <sz val="7"/>
      <color rgb="FF000000"/>
      <name val="Times New Roman"/>
      <family val="1"/>
    </font>
    <font>
      <i/>
      <sz val="11"/>
      <color rgb="FF000000"/>
      <name val="Calibri"/>
      <family val="2"/>
    </font>
    <font>
      <b/>
      <sz val="14"/>
      <color rgb="FF000000"/>
      <name val="Calibri"/>
      <family val="2"/>
    </font>
    <font>
      <sz val="14"/>
      <color rgb="FF000000"/>
      <name val="Calibri"/>
      <family val="2"/>
      <scheme val="minor"/>
    </font>
    <font>
      <i/>
      <sz val="11"/>
      <name val="Calibri"/>
      <family val="2"/>
    </font>
    <font>
      <b/>
      <sz val="11"/>
      <color rgb="FF000000"/>
      <name val="Calibri"/>
      <family val="2"/>
    </font>
    <font>
      <b/>
      <sz val="11"/>
      <name val="Calibri"/>
      <family val="2"/>
      <scheme val="minor"/>
    </font>
    <font>
      <b/>
      <sz val="10"/>
      <name val="Calibri"/>
      <family val="2"/>
      <scheme val="minor"/>
    </font>
    <font>
      <sz val="10"/>
      <name val="Calibri"/>
      <family val="2"/>
      <scheme val="minor"/>
    </font>
    <font>
      <sz val="12"/>
      <color rgb="FF000000"/>
      <name val="Calibri"/>
      <family val="2"/>
      <scheme val="minor"/>
    </font>
    <font>
      <b/>
      <sz val="11"/>
      <color rgb="FF000000"/>
      <name val="Calibri"/>
      <family val="2"/>
      <scheme val="minor"/>
    </font>
    <font>
      <sz val="14"/>
      <color rgb="FF000000"/>
      <name val="Times New Roman"/>
      <family val="1"/>
    </font>
    <font>
      <b/>
      <sz val="12"/>
      <name val="Calibri"/>
      <family val="2"/>
      <scheme val="minor"/>
    </font>
    <font>
      <b/>
      <u/>
      <sz val="11"/>
      <color rgb="FF000000"/>
      <name val="Calibri"/>
      <family val="2"/>
    </font>
    <font>
      <b/>
      <sz val="10"/>
      <color rgb="FF000000"/>
      <name val="Calibri"/>
      <family val="2"/>
      <scheme val="minor"/>
    </font>
    <font>
      <sz val="14"/>
      <color rgb="FF000000"/>
      <name val="Calibri"/>
      <family val="2"/>
    </font>
    <font>
      <b/>
      <sz val="12"/>
      <color rgb="FF000000"/>
      <name val="Times New Roman"/>
      <family val="1"/>
    </font>
    <font>
      <b/>
      <sz val="12"/>
      <color rgb="FF000000"/>
      <name val="Calibri"/>
      <family val="2"/>
      <scheme val="minor"/>
    </font>
    <font>
      <sz val="9"/>
      <color rgb="FF000000"/>
      <name val="Calibri"/>
      <family val="2"/>
    </font>
    <font>
      <sz val="12"/>
      <name val="Calibri"/>
      <family val="2"/>
      <scheme val="minor"/>
    </font>
    <font>
      <sz val="14"/>
      <name val="Calibri"/>
      <family val="2"/>
      <scheme val="minor"/>
    </font>
    <font>
      <b/>
      <sz val="16"/>
      <name val="Calibri"/>
      <family val="2"/>
    </font>
    <font>
      <sz val="16"/>
      <color rgb="FF000000"/>
      <name val="Times New Roman"/>
      <family val="1"/>
    </font>
    <font>
      <sz val="16"/>
      <color rgb="FF000000"/>
      <name val="Calibri"/>
      <family val="2"/>
    </font>
    <font>
      <sz val="16"/>
      <color rgb="FF000000"/>
      <name val="Calibri"/>
      <family val="2"/>
      <scheme val="minor"/>
    </font>
    <font>
      <b/>
      <sz val="16"/>
      <name val="Calibri"/>
      <family val="2"/>
      <scheme val="minor"/>
    </font>
    <font>
      <sz val="10"/>
      <color rgb="FF000000"/>
      <name val="Georgia"/>
      <family val="1"/>
    </font>
    <font>
      <b/>
      <sz val="10"/>
      <color theme="0" tint="-0.499984740745262"/>
      <name val="Georgia"/>
      <family val="1"/>
    </font>
    <font>
      <b/>
      <sz val="10"/>
      <color rgb="FFC00000"/>
      <name val="Georgia"/>
      <family val="1"/>
    </font>
    <font>
      <b/>
      <sz val="14"/>
      <color rgb="FF000000"/>
      <name val="Georgia"/>
      <family val="1"/>
    </font>
    <font>
      <b/>
      <sz val="9"/>
      <name val="Calibri"/>
      <family val="2"/>
      <scheme val="minor"/>
    </font>
    <font>
      <sz val="7.5"/>
      <name val="Calibri"/>
      <family val="2"/>
      <scheme val="minor"/>
    </font>
    <font>
      <b/>
      <sz val="14"/>
      <name val="Calibri"/>
      <family val="2"/>
      <scheme val="minor"/>
    </font>
    <font>
      <sz val="9"/>
      <color rgb="FF000000"/>
      <name val="Calibri"/>
      <family val="2"/>
      <scheme val="minor"/>
    </font>
    <font>
      <sz val="9"/>
      <name val="Calibri"/>
      <family val="2"/>
      <scheme val="minor"/>
    </font>
    <font>
      <sz val="16"/>
      <name val="Calibri"/>
      <family val="2"/>
    </font>
    <font>
      <sz val="18"/>
      <color rgb="FF000000"/>
      <name val="Times New Roman"/>
      <family val="1"/>
    </font>
    <font>
      <sz val="18"/>
      <name val="Calibri"/>
      <family val="2"/>
    </font>
    <font>
      <sz val="10"/>
      <color rgb="FFFF0000"/>
      <name val="Calibri"/>
      <family val="2"/>
    </font>
  </fonts>
  <fills count="15">
    <fill>
      <patternFill patternType="none"/>
    </fill>
    <fill>
      <patternFill patternType="gray125"/>
    </fill>
    <fill>
      <patternFill patternType="solid">
        <fgColor theme="0" tint="-0.249977111117893"/>
        <bgColor indexed="64"/>
      </patternFill>
    </fill>
    <fill>
      <patternFill patternType="solid">
        <fgColor rgb="FFFFC7CE"/>
        <bgColor indexed="64"/>
      </patternFill>
    </fill>
    <fill>
      <patternFill patternType="solid">
        <fgColor rgb="FFFFFFD3"/>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C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6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indexed="64"/>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thin">
        <color rgb="FF000000"/>
      </left>
      <right/>
      <top/>
      <bottom style="thin">
        <color rgb="FF000000"/>
      </bottom>
      <diagonal/>
    </border>
    <border>
      <left style="double">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top/>
      <bottom style="double">
        <color indexed="64"/>
      </bottom>
      <diagonal/>
    </border>
    <border>
      <left style="thin">
        <color theme="0" tint="-0.24994659260841701"/>
      </left>
      <right style="thin">
        <color theme="0" tint="-0.24994659260841701"/>
      </right>
      <top style="double">
        <color indexed="64"/>
      </top>
      <bottom style="thin">
        <color theme="0" tint="-0.24994659260841701"/>
      </bottom>
      <diagonal/>
    </border>
    <border>
      <left style="double">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indexed="64"/>
      </left>
      <right style="thin">
        <color theme="0" tint="-0.24994659260841701"/>
      </right>
      <top style="thin">
        <color theme="0" tint="-0.24994659260841701"/>
      </top>
      <bottom style="double">
        <color indexed="64"/>
      </bottom>
      <diagonal/>
    </border>
    <border>
      <left style="thin">
        <color theme="0" tint="-0.24994659260841701"/>
      </left>
      <right style="thin">
        <color theme="0" tint="-0.24994659260841701"/>
      </right>
      <top style="thin">
        <color theme="0" tint="-0.24994659260841701"/>
      </top>
      <bottom style="double">
        <color indexed="64"/>
      </bottom>
      <diagonal/>
    </border>
    <border>
      <left/>
      <right/>
      <top style="double">
        <color indexed="64"/>
      </top>
      <bottom/>
      <diagonal/>
    </border>
    <border>
      <left style="thin">
        <color rgb="FF000000"/>
      </left>
      <right/>
      <top/>
      <bottom/>
      <diagonal/>
    </border>
    <border>
      <left/>
      <right style="thin">
        <color rgb="FF000000"/>
      </right>
      <top/>
      <bottom/>
      <diagonal/>
    </border>
    <border>
      <left style="double">
        <color rgb="FF000000"/>
      </left>
      <right style="thin">
        <color theme="0" tint="-0.24994659260841701"/>
      </right>
      <top style="thin">
        <color theme="0" tint="-0.24994659260841701"/>
      </top>
      <bottom style="thin">
        <color theme="0" tint="-0.24994659260841701"/>
      </bottom>
      <diagonal/>
    </border>
    <border>
      <left style="thin">
        <color theme="0" tint="-0.24994659260841701"/>
      </left>
      <right style="double">
        <color rgb="FF000000"/>
      </right>
      <top style="thin">
        <color theme="0" tint="-0.24994659260841701"/>
      </top>
      <bottom style="thin">
        <color theme="0" tint="-0.24994659260841701"/>
      </bottom>
      <diagonal/>
    </border>
    <border>
      <left style="double">
        <color rgb="FF000000"/>
      </left>
      <right style="thin">
        <color theme="0" tint="-0.24994659260841701"/>
      </right>
      <top style="thin">
        <color theme="0" tint="-0.24994659260841701"/>
      </top>
      <bottom style="double">
        <color rgb="FF000000"/>
      </bottom>
      <diagonal/>
    </border>
    <border>
      <left style="thin">
        <color theme="0" tint="-0.24994659260841701"/>
      </left>
      <right style="thin">
        <color theme="0" tint="-0.24994659260841701"/>
      </right>
      <top style="thin">
        <color theme="0" tint="-0.24994659260841701"/>
      </top>
      <bottom style="double">
        <color rgb="FF000000"/>
      </bottom>
      <diagonal/>
    </border>
    <border>
      <left style="thin">
        <color theme="0" tint="-0.24994659260841701"/>
      </left>
      <right style="double">
        <color rgb="FF000000"/>
      </right>
      <top style="thin">
        <color theme="0" tint="-0.24994659260841701"/>
      </top>
      <bottom style="double">
        <color rgb="FF000000"/>
      </bottom>
      <diagonal/>
    </border>
    <border>
      <left/>
      <right/>
      <top style="double">
        <color rgb="FF000000"/>
      </top>
      <bottom/>
      <diagonal/>
    </border>
    <border>
      <left style="thin">
        <color rgb="FF000000"/>
      </left>
      <right/>
      <top style="double">
        <color rgb="FF000000"/>
      </top>
      <bottom/>
      <diagonal/>
    </border>
    <border>
      <left/>
      <right/>
      <top/>
      <bottom style="double">
        <color rgb="FF000000"/>
      </bottom>
      <diagonal/>
    </border>
    <border>
      <left style="thin">
        <color theme="0" tint="-0.24994659260841701"/>
      </left>
      <right style="thin">
        <color theme="0" tint="-0.24994659260841701"/>
      </right>
      <top style="thin">
        <color theme="0" tint="-0.24994659260841701"/>
      </top>
      <bottom/>
      <diagonal/>
    </border>
    <border>
      <left style="thin">
        <color rgb="FF000000"/>
      </left>
      <right/>
      <top/>
      <bottom style="double">
        <color indexed="64"/>
      </bottom>
      <diagonal/>
    </border>
    <border>
      <left style="double">
        <color indexed="64"/>
      </left>
      <right style="double">
        <color indexed="64"/>
      </right>
      <top style="double">
        <color indexed="64"/>
      </top>
      <bottom/>
      <diagonal/>
    </border>
    <border>
      <left style="double">
        <color rgb="FF000000"/>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double">
        <color rgb="FF000000"/>
      </top>
      <bottom style="double">
        <color rgb="FF000000"/>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double">
        <color rgb="FF000000"/>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double">
        <color rgb="FF000000"/>
      </bottom>
      <diagonal/>
    </border>
    <border>
      <left style="double">
        <color auto="1"/>
      </left>
      <right style="double">
        <color auto="1"/>
      </right>
      <top style="thin">
        <color theme="0" tint="-0.24994659260841701"/>
      </top>
      <bottom style="thin">
        <color theme="0" tint="-0.24994659260841701"/>
      </bottom>
      <diagonal/>
    </border>
    <border>
      <left style="double">
        <color auto="1"/>
      </left>
      <right style="double">
        <color auto="1"/>
      </right>
      <top style="thin">
        <color theme="0" tint="-0.24994659260841701"/>
      </top>
      <bottom style="double">
        <color auto="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rgb="FF000000"/>
      </bottom>
      <diagonal/>
    </border>
    <border>
      <left/>
      <right style="thin">
        <color theme="0" tint="-0.24994659260841701"/>
      </right>
      <top style="thin">
        <color theme="0" tint="-0.24994659260841701"/>
      </top>
      <bottom style="double">
        <color indexed="64"/>
      </bottom>
      <diagonal/>
    </border>
    <border>
      <left style="thin">
        <color theme="0" tint="-0.24994659260841701"/>
      </left>
      <right/>
      <top style="double">
        <color indexed="64"/>
      </top>
      <bottom style="thin">
        <color theme="0" tint="-0.24994659260841701"/>
      </bottom>
      <diagonal/>
    </border>
    <border>
      <left style="thin">
        <color theme="0" tint="-0.24994659260841701"/>
      </left>
      <right/>
      <top style="thin">
        <color theme="0" tint="-0.24994659260841701"/>
      </top>
      <bottom style="double">
        <color indexed="64"/>
      </bottom>
      <diagonal/>
    </border>
    <border>
      <left/>
      <right/>
      <top style="double">
        <color indexed="64"/>
      </top>
      <bottom style="thin">
        <color theme="0" tint="-0.24994659260841701"/>
      </bottom>
      <diagonal/>
    </border>
    <border>
      <left/>
      <right/>
      <top style="thin">
        <color theme="0" tint="-0.24994659260841701"/>
      </top>
      <bottom style="double">
        <color indexed="64"/>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rgb="FF000000"/>
      </right>
      <top/>
      <bottom style="thin">
        <color rgb="FF000000"/>
      </bottom>
      <diagonal/>
    </border>
    <border>
      <left style="double">
        <color indexed="64"/>
      </left>
      <right style="double">
        <color indexed="64"/>
      </right>
      <top style="thin">
        <color rgb="FF000000"/>
      </top>
      <bottom style="double">
        <color indexed="64"/>
      </bottom>
      <diagonal/>
    </border>
    <border>
      <left/>
      <right style="double">
        <color indexed="64"/>
      </right>
      <top style="thin">
        <color indexed="64"/>
      </top>
      <bottom style="thin">
        <color indexed="64"/>
      </bottom>
      <diagonal/>
    </border>
    <border>
      <left style="double">
        <color indexed="64"/>
      </left>
      <right/>
      <top/>
      <bottom/>
      <diagonal/>
    </border>
    <border>
      <left style="double">
        <color indexed="64"/>
      </left>
      <right style="thin">
        <color rgb="FF000000"/>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rgb="FF000000"/>
      </left>
      <right/>
      <top style="double">
        <color indexed="64"/>
      </top>
      <bottom/>
      <diagonal/>
    </border>
    <border>
      <left/>
      <right style="double">
        <color indexed="64"/>
      </right>
      <top style="double">
        <color indexed="64"/>
      </top>
      <bottom style="double">
        <color indexed="64"/>
      </bottom>
      <diagonal/>
    </border>
    <border>
      <left style="thin">
        <color theme="0" tint="-0.24994659260841701"/>
      </left>
      <right style="thin">
        <color theme="0" tint="-0.24994659260841701"/>
      </right>
      <top/>
      <bottom/>
      <diagonal/>
    </border>
    <border>
      <left style="double">
        <color auto="1"/>
      </left>
      <right style="double">
        <color auto="1"/>
      </right>
      <top/>
      <bottom/>
      <diagonal/>
    </border>
    <border>
      <left style="double">
        <color rgb="FF000000"/>
      </left>
      <right/>
      <top style="thin">
        <color theme="0" tint="-0.24994659260841701"/>
      </top>
      <bottom style="thin">
        <color theme="0" tint="-0.24994659260841701"/>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double">
        <color auto="1"/>
      </left>
      <right/>
      <top style="thin">
        <color theme="0" tint="-0.24994659260841701"/>
      </top>
      <bottom style="thin">
        <color theme="0" tint="-0.24994659260841701"/>
      </bottom>
      <diagonal/>
    </border>
    <border>
      <left/>
      <right style="thin">
        <color rgb="FF000000"/>
      </right>
      <top style="thin">
        <color rgb="FF000000"/>
      </top>
      <bottom/>
      <diagonal/>
    </border>
    <border>
      <left style="thin">
        <color rgb="FF000000"/>
      </left>
      <right style="double">
        <color indexed="64"/>
      </right>
      <top style="thin">
        <color rgb="FF000000"/>
      </top>
      <bottom style="thin">
        <color rgb="FF000000"/>
      </bottom>
      <diagonal/>
    </border>
    <border>
      <left/>
      <right style="double">
        <color indexed="64"/>
      </right>
      <top/>
      <bottom/>
      <diagonal/>
    </border>
    <border>
      <left style="double">
        <color auto="1"/>
      </left>
      <right style="double">
        <color indexed="64"/>
      </right>
      <top style="thin">
        <color rgb="FF000000"/>
      </top>
      <bottom/>
      <diagonal/>
    </border>
    <border>
      <left style="thin">
        <color theme="0" tint="-0.24994659260841701"/>
      </left>
      <right/>
      <top/>
      <bottom style="double">
        <color indexed="64"/>
      </bottom>
      <diagonal/>
    </border>
    <border>
      <left/>
      <right style="thin">
        <color theme="0" tint="-0.24994659260841701"/>
      </right>
      <top/>
      <bottom style="double">
        <color indexed="64"/>
      </bottom>
      <diagonal/>
    </border>
    <border>
      <left style="thin">
        <color rgb="FF000000"/>
      </left>
      <right style="thin">
        <color rgb="FF000000"/>
      </right>
      <top style="thin">
        <color rgb="FF000000"/>
      </top>
      <bottom style="double">
        <color indexed="64"/>
      </bottom>
      <diagonal/>
    </border>
    <border>
      <left/>
      <right/>
      <top style="double">
        <color indexed="64"/>
      </top>
      <bottom style="double">
        <color indexed="64"/>
      </bottom>
      <diagonal/>
    </border>
    <border>
      <left style="thin">
        <color rgb="FF000000"/>
      </left>
      <right style="thin">
        <color rgb="FF000000"/>
      </right>
      <top/>
      <bottom style="double">
        <color indexed="64"/>
      </bottom>
      <diagonal/>
    </border>
    <border>
      <left/>
      <right style="double">
        <color auto="1"/>
      </right>
      <top/>
      <bottom style="double">
        <color indexed="64"/>
      </bottom>
      <diagonal/>
    </border>
    <border>
      <left/>
      <right style="thin">
        <color rgb="FF000000"/>
      </right>
      <top style="thin">
        <color rgb="FF000000"/>
      </top>
      <bottom style="double">
        <color indexed="64"/>
      </bottom>
      <diagonal/>
    </border>
    <border>
      <left/>
      <right style="thin">
        <color rgb="FF000000"/>
      </right>
      <top/>
      <bottom style="double">
        <color indexed="64"/>
      </bottom>
      <diagonal/>
    </border>
    <border>
      <left style="double">
        <color indexed="64"/>
      </left>
      <right/>
      <top style="double">
        <color indexed="64"/>
      </top>
      <bottom style="double">
        <color indexed="64"/>
      </bottom>
      <diagonal/>
    </border>
    <border>
      <left style="thin">
        <color rgb="FF000000"/>
      </left>
      <right/>
      <top style="double">
        <color indexed="64"/>
      </top>
      <bottom style="double">
        <color indexed="64"/>
      </bottom>
      <diagonal/>
    </border>
    <border>
      <left/>
      <right style="thin">
        <color theme="0" tint="-0.24994659260841701"/>
      </right>
      <top/>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double">
        <color indexed="64"/>
      </top>
      <bottom style="double">
        <color indexed="64"/>
      </bottom>
      <diagonal/>
    </border>
    <border>
      <left style="thin">
        <color rgb="FF000000"/>
      </left>
      <right style="thin">
        <color rgb="FF000000"/>
      </right>
      <top style="double">
        <color indexed="64"/>
      </top>
      <bottom style="double">
        <color indexed="64"/>
      </bottom>
      <diagonal/>
    </border>
    <border>
      <left/>
      <right style="thin">
        <color rgb="FF000000"/>
      </right>
      <top style="double">
        <color indexed="64"/>
      </top>
      <bottom style="double">
        <color indexed="64"/>
      </bottom>
      <diagonal/>
    </border>
    <border>
      <left style="double">
        <color auto="1"/>
      </left>
      <right style="double">
        <color indexed="64"/>
      </right>
      <top/>
      <bottom style="double">
        <color indexed="64"/>
      </bottom>
      <diagonal/>
    </border>
    <border>
      <left style="thin">
        <color rgb="FF000000"/>
      </left>
      <right/>
      <top style="thin">
        <color rgb="FF000000"/>
      </top>
      <bottom style="double">
        <color indexed="64"/>
      </bottom>
      <diagonal/>
    </border>
    <border>
      <left/>
      <right style="double">
        <color indexed="64"/>
      </right>
      <top style="thin">
        <color rgb="FF000000"/>
      </top>
      <bottom/>
      <diagonal/>
    </border>
    <border>
      <left style="double">
        <color indexed="64"/>
      </left>
      <right/>
      <top/>
      <bottom style="thin">
        <color rgb="FF000000"/>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rgb="FF000000"/>
      </right>
      <top/>
      <bottom style="hair">
        <color auto="1"/>
      </bottom>
      <diagonal/>
    </border>
    <border>
      <left style="hair">
        <color auto="1"/>
      </left>
      <right style="hair">
        <color auto="1"/>
      </right>
      <top style="hair">
        <color auto="1"/>
      </top>
      <bottom style="hair">
        <color auto="1"/>
      </bottom>
      <diagonal/>
    </border>
    <border>
      <left style="hair">
        <color auto="1"/>
      </left>
      <right style="thin">
        <color rgb="FF000000"/>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style="double">
        <color auto="1"/>
      </right>
      <top style="thin">
        <color theme="0" tint="-0.24994659260841701"/>
      </top>
      <bottom/>
      <diagonal/>
    </border>
    <border>
      <left style="thin">
        <color theme="0" tint="-0.24994659260841701"/>
      </left>
      <right/>
      <top/>
      <bottom/>
      <diagonal/>
    </border>
    <border>
      <left style="double">
        <color auto="1"/>
      </left>
      <right/>
      <top style="double">
        <color indexed="64"/>
      </top>
      <bottom style="thin">
        <color theme="0" tint="-0.24994659260841701"/>
      </bottom>
      <diagonal/>
    </border>
    <border>
      <left style="thin">
        <color theme="0" tint="-0.24994659260841701"/>
      </left>
      <right style="double">
        <color indexed="64"/>
      </right>
      <top style="thin">
        <color theme="0" tint="-0.24994659260841701"/>
      </top>
      <bottom/>
      <diagonal/>
    </border>
    <border>
      <left style="double">
        <color indexed="64"/>
      </left>
      <right/>
      <top/>
      <bottom style="double">
        <color indexed="64"/>
      </bottom>
      <diagonal/>
    </border>
    <border>
      <left/>
      <right style="double">
        <color indexed="64"/>
      </right>
      <top style="double">
        <color indexed="64"/>
      </top>
      <bottom/>
      <diagonal/>
    </border>
    <border>
      <left style="double">
        <color rgb="FF000000"/>
      </left>
      <right/>
      <top style="double">
        <color indexed="64"/>
      </top>
      <bottom style="thin">
        <color theme="0" tint="-0.24994659260841701"/>
      </bottom>
      <diagonal/>
    </border>
    <border>
      <left/>
      <right style="thin">
        <color theme="0" tint="-0.24994659260841701"/>
      </right>
      <top style="double">
        <color rgb="FF000000"/>
      </top>
      <bottom/>
      <diagonal/>
    </border>
    <border>
      <left/>
      <right style="double">
        <color auto="1"/>
      </right>
      <top/>
      <bottom style="thin">
        <color theme="0" tint="-0.24994659260841701"/>
      </bottom>
      <diagonal/>
    </border>
    <border>
      <left style="thin">
        <color theme="0" tint="-0.24994659260841701"/>
      </left>
      <right style="double">
        <color indexed="64"/>
      </right>
      <top style="double">
        <color indexed="64"/>
      </top>
      <bottom style="double">
        <color indexed="64"/>
      </bottom>
      <diagonal/>
    </border>
    <border>
      <left style="double">
        <color indexed="64"/>
      </left>
      <right style="thin">
        <color theme="0" tint="-0.24994659260841701"/>
      </right>
      <top style="double">
        <color rgb="FF000000"/>
      </top>
      <bottom style="double">
        <color indexed="64"/>
      </bottom>
      <diagonal/>
    </border>
    <border>
      <left/>
      <right/>
      <top style="double">
        <color rgb="FF000000"/>
      </top>
      <bottom style="double">
        <color indexed="64"/>
      </bottom>
      <diagonal/>
    </border>
    <border>
      <left style="double">
        <color indexed="64"/>
      </left>
      <right style="double">
        <color indexed="64"/>
      </right>
      <top style="double">
        <color rgb="FF000000"/>
      </top>
      <bottom style="double">
        <color indexed="64"/>
      </bottom>
      <diagonal/>
    </border>
    <border>
      <left style="double">
        <color indexed="64"/>
      </left>
      <right style="thin">
        <color theme="0" tint="-0.24994659260841701"/>
      </right>
      <top style="double">
        <color indexed="64"/>
      </top>
      <bottom style="double">
        <color indexed="64"/>
      </bottom>
      <diagonal/>
    </border>
    <border>
      <left style="double">
        <color rgb="FF000000"/>
      </left>
      <right/>
      <top/>
      <bottom style="thin">
        <color theme="0" tint="-0.24994659260841701"/>
      </bottom>
      <diagonal/>
    </border>
    <border>
      <left style="thin">
        <color rgb="FF000000"/>
      </left>
      <right style="thin">
        <color rgb="FF000000"/>
      </right>
      <top/>
      <bottom/>
      <diagonal/>
    </border>
    <border>
      <left style="thin">
        <color theme="0" tint="-0.24994659260841701"/>
      </left>
      <right/>
      <top style="double">
        <color indexed="64"/>
      </top>
      <bottom style="double">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style="double">
        <color rgb="FF000000"/>
      </left>
      <right style="double">
        <color indexed="64"/>
      </right>
      <top style="thin">
        <color theme="0" tint="-0.24994659260841701"/>
      </top>
      <bottom style="thin">
        <color theme="0" tint="-0.24994659260841701"/>
      </bottom>
      <diagonal/>
    </border>
    <border>
      <left style="double">
        <color indexed="64"/>
      </left>
      <right style="thin">
        <color rgb="FF000000"/>
      </right>
      <top style="thin">
        <color indexed="64"/>
      </top>
      <bottom style="double">
        <color indexed="64"/>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style="double">
        <color indexed="64"/>
      </top>
      <bottom style="thin">
        <color rgb="FF000000"/>
      </bottom>
      <diagonal/>
    </border>
    <border>
      <left style="thin">
        <color theme="0" tint="-0.24994659260841701"/>
      </left>
      <right style="double">
        <color indexed="64"/>
      </right>
      <top style="double">
        <color rgb="FF000000"/>
      </top>
      <bottom/>
      <diagonal/>
    </border>
    <border>
      <left style="double">
        <color rgb="FF000000"/>
      </left>
      <right/>
      <top style="thin">
        <color theme="0" tint="-0.24994659260841701"/>
      </top>
      <bottom style="double">
        <color indexed="64"/>
      </bottom>
      <diagonal/>
    </border>
    <border>
      <left style="thin">
        <color theme="0" tint="-0.24994659260841701"/>
      </left>
      <right style="thin">
        <color theme="0" tint="-0.24994659260841701"/>
      </right>
      <top/>
      <bottom style="double">
        <color indexed="64"/>
      </bottom>
      <diagonal/>
    </border>
    <border>
      <left style="double">
        <color rgb="FF000000"/>
      </left>
      <right/>
      <top style="thin">
        <color theme="0" tint="-0.24994659260841701"/>
      </top>
      <bottom/>
      <diagonal/>
    </border>
    <border>
      <left/>
      <right style="thin">
        <color theme="0" tint="-0.24994659260841701"/>
      </right>
      <top style="double">
        <color indexed="64"/>
      </top>
      <bottom style="double">
        <color indexed="64"/>
      </bottom>
      <diagonal/>
    </border>
    <border>
      <left style="thin">
        <color theme="0" tint="-0.24994659260841701"/>
      </left>
      <right style="thin">
        <color theme="0" tint="-0.24994659260841701"/>
      </right>
      <top style="double">
        <color indexed="64"/>
      </top>
      <bottom style="double">
        <color indexed="64"/>
      </bottom>
      <diagonal/>
    </border>
    <border>
      <left style="double">
        <color indexed="64"/>
      </left>
      <right/>
      <top style="double">
        <color indexed="64"/>
      </top>
      <bottom/>
      <diagonal/>
    </border>
    <border>
      <left/>
      <right style="thin">
        <color theme="0" tint="-0.24994659260841701"/>
      </right>
      <top style="double">
        <color rgb="FF000000"/>
      </top>
      <bottom style="double">
        <color indexed="64"/>
      </bottom>
      <diagonal/>
    </border>
    <border>
      <left style="double">
        <color rgb="FF000000"/>
      </left>
      <right style="double">
        <color rgb="FF000000"/>
      </right>
      <top style="double">
        <color rgb="FF000000"/>
      </top>
      <bottom style="double">
        <color rgb="FF000000"/>
      </bottom>
      <diagonal/>
    </border>
    <border>
      <left style="double">
        <color auto="1"/>
      </left>
      <right style="double">
        <color indexed="64"/>
      </right>
      <top style="double">
        <color rgb="FF000000"/>
      </top>
      <bottom/>
      <diagonal/>
    </border>
    <border>
      <left style="thin">
        <color theme="0" tint="-0.24994659260841701"/>
      </left>
      <right/>
      <top style="double">
        <color rgb="FF000000"/>
      </top>
      <bottom style="double">
        <color indexed="64"/>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theme="0" tint="-0.34998626667073579"/>
      </right>
      <top/>
      <bottom style="thin">
        <color theme="0" tint="-0.34998626667073579"/>
      </bottom>
      <diagonal/>
    </border>
    <border>
      <left style="thin">
        <color rgb="FF000000"/>
      </left>
      <right/>
      <top style="double">
        <color indexed="64"/>
      </top>
      <bottom style="thin">
        <color rgb="FF000000"/>
      </bottom>
      <diagonal/>
    </border>
    <border>
      <left style="double">
        <color rgb="FF000000"/>
      </left>
      <right/>
      <top/>
      <bottom style="double">
        <color indexed="64"/>
      </bottom>
      <diagonal/>
    </border>
    <border>
      <left style="thin">
        <color rgb="FF000000"/>
      </left>
      <right style="double">
        <color auto="1"/>
      </right>
      <top/>
      <bottom/>
      <diagonal/>
    </border>
    <border>
      <left style="double">
        <color indexed="64"/>
      </left>
      <right style="thin">
        <color rgb="FF000000"/>
      </right>
      <top style="hair">
        <color indexed="64"/>
      </top>
      <bottom style="hair">
        <color indexed="64"/>
      </bottom>
      <diagonal/>
    </border>
    <border>
      <left style="thin">
        <color rgb="FF000000"/>
      </left>
      <right style="thin">
        <color rgb="FF000000"/>
      </right>
      <top style="thin">
        <color rgb="FF000000"/>
      </top>
      <bottom style="double">
        <color rgb="FF000000"/>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auto="1"/>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auto="1"/>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auto="1"/>
      </right>
      <top style="hair">
        <color indexed="64"/>
      </top>
      <bottom style="double">
        <color indexed="64"/>
      </bottom>
      <diagonal/>
    </border>
    <border>
      <left style="hair">
        <color auto="1"/>
      </left>
      <right style="hair">
        <color auto="1"/>
      </right>
      <top style="thin">
        <color rgb="FF000000"/>
      </top>
      <bottom style="hair">
        <color auto="1"/>
      </bottom>
      <diagonal/>
    </border>
    <border>
      <left style="hair">
        <color auto="1"/>
      </left>
      <right style="double">
        <color indexed="64"/>
      </right>
      <top style="thin">
        <color rgb="FF000000"/>
      </top>
      <bottom style="hair">
        <color auto="1"/>
      </bottom>
      <diagonal/>
    </border>
    <border>
      <left style="double">
        <color indexed="64"/>
      </left>
      <right style="hair">
        <color indexed="64"/>
      </right>
      <top style="double">
        <color indexed="64"/>
      </top>
      <bottom style="double">
        <color indexed="64"/>
      </bottom>
      <diagonal/>
    </border>
    <border>
      <left/>
      <right style="hair">
        <color indexed="64"/>
      </right>
      <top style="double">
        <color indexed="64"/>
      </top>
      <bottom style="hair">
        <color indexed="64"/>
      </bottom>
      <diagonal/>
    </border>
    <border>
      <left/>
      <right style="hair">
        <color indexed="64"/>
      </right>
      <top style="hair">
        <color indexed="64"/>
      </top>
      <bottom style="double">
        <color indexed="64"/>
      </bottom>
      <diagonal/>
    </border>
    <border>
      <left style="double">
        <color indexed="64"/>
      </left>
      <right style="hair">
        <color indexed="64"/>
      </right>
      <top style="hair">
        <color indexed="64"/>
      </top>
      <bottom/>
      <diagonal/>
    </border>
    <border>
      <left style="hair">
        <color indexed="64"/>
      </left>
      <right style="double">
        <color auto="1"/>
      </right>
      <top style="hair">
        <color indexed="64"/>
      </top>
      <bottom/>
      <diagonal/>
    </border>
    <border>
      <left style="double">
        <color indexed="64"/>
      </left>
      <right style="hair">
        <color indexed="64"/>
      </right>
      <top/>
      <bottom style="hair">
        <color indexed="64"/>
      </bottom>
      <diagonal/>
    </border>
    <border>
      <left style="hair">
        <color indexed="64"/>
      </left>
      <right style="double">
        <color auto="1"/>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double">
        <color indexed="64"/>
      </right>
      <top style="hair">
        <color rgb="FF000000"/>
      </top>
      <bottom style="hair">
        <color rgb="FF000000"/>
      </bottom>
      <diagonal/>
    </border>
    <border>
      <left style="hair">
        <color rgb="FF000000"/>
      </left>
      <right style="hair">
        <color rgb="FF000000"/>
      </right>
      <top style="hair">
        <color rgb="FF000000"/>
      </top>
      <bottom style="double">
        <color indexed="64"/>
      </bottom>
      <diagonal/>
    </border>
    <border>
      <left style="hair">
        <color rgb="FF000000"/>
      </left>
      <right style="double">
        <color indexed="64"/>
      </right>
      <top style="hair">
        <color rgb="FF000000"/>
      </top>
      <bottom style="double">
        <color indexed="64"/>
      </bottom>
      <diagonal/>
    </border>
    <border>
      <left style="hair">
        <color rgb="FF000000"/>
      </left>
      <right style="double">
        <color indexed="64"/>
      </right>
      <top/>
      <bottom style="hair">
        <color rgb="FF000000"/>
      </bottom>
      <diagonal/>
    </border>
    <border>
      <left style="double">
        <color indexed="64"/>
      </left>
      <right style="hair">
        <color indexed="64"/>
      </right>
      <top style="double">
        <color indexed="64"/>
      </top>
      <bottom/>
      <diagonal/>
    </border>
    <border>
      <left/>
      <right style="double">
        <color indexed="64"/>
      </right>
      <top style="hair">
        <color rgb="FF000000"/>
      </top>
      <bottom style="hair">
        <color rgb="FF000000"/>
      </bottom>
      <diagonal/>
    </border>
    <border>
      <left style="hair">
        <color auto="1"/>
      </left>
      <right style="hair">
        <color indexed="64"/>
      </right>
      <top style="hair">
        <color indexed="64"/>
      </top>
      <bottom style="hair">
        <color rgb="FF000000"/>
      </bottom>
      <diagonal/>
    </border>
    <border>
      <left style="hair">
        <color auto="1"/>
      </left>
      <right style="hair">
        <color indexed="64"/>
      </right>
      <top style="hair">
        <color rgb="FF000000"/>
      </top>
      <bottom style="hair">
        <color rgb="FF000000"/>
      </bottom>
      <diagonal/>
    </border>
    <border>
      <left style="hair">
        <color auto="1"/>
      </left>
      <right style="hair">
        <color indexed="64"/>
      </right>
      <top style="hair">
        <color rgb="FF000000"/>
      </top>
      <bottom style="double">
        <color indexed="64"/>
      </bottom>
      <diagonal/>
    </border>
    <border>
      <left style="hair">
        <color auto="1"/>
      </left>
      <right style="hair">
        <color indexed="64"/>
      </right>
      <top/>
      <bottom style="hair">
        <color rgb="FF000000"/>
      </bottom>
      <diagonal/>
    </border>
    <border>
      <left style="hair">
        <color rgb="FF000000"/>
      </left>
      <right style="hair">
        <color rgb="FF000000"/>
      </right>
      <top/>
      <bottom style="double">
        <color indexed="64"/>
      </bottom>
      <diagonal/>
    </border>
    <border>
      <left style="hair">
        <color auto="1"/>
      </left>
      <right style="hair">
        <color auto="1"/>
      </right>
      <top style="double">
        <color indexed="64"/>
      </top>
      <bottom style="double">
        <color indexed="64"/>
      </bottom>
      <diagonal/>
    </border>
    <border>
      <left style="hair">
        <color auto="1"/>
      </left>
      <right style="double">
        <color indexed="64"/>
      </right>
      <top style="double">
        <color indexed="64"/>
      </top>
      <bottom style="double">
        <color indexed="64"/>
      </bottom>
      <diagonal/>
    </border>
    <border>
      <left style="hair">
        <color rgb="FF000000"/>
      </left>
      <right style="hair">
        <color indexed="64"/>
      </right>
      <top style="hair">
        <color indexed="64"/>
      </top>
      <bottom style="hair">
        <color rgb="FF000000"/>
      </bottom>
      <diagonal/>
    </border>
    <border>
      <left/>
      <right/>
      <top style="hair">
        <color rgb="FF000000"/>
      </top>
      <bottom style="hair">
        <color rgb="FF000000"/>
      </bottom>
      <diagonal/>
    </border>
    <border>
      <left style="hair">
        <color rgb="FF000000"/>
      </left>
      <right style="hair">
        <color indexed="64"/>
      </right>
      <top style="hair">
        <color rgb="FF000000"/>
      </top>
      <bottom style="hair">
        <color rgb="FF000000"/>
      </bottom>
      <diagonal/>
    </border>
    <border>
      <left/>
      <right/>
      <top style="hair">
        <color rgb="FF000000"/>
      </top>
      <bottom style="double">
        <color indexed="64"/>
      </bottom>
      <diagonal/>
    </border>
    <border>
      <left style="hair">
        <color indexed="64"/>
      </left>
      <right style="hair">
        <color indexed="64"/>
      </right>
      <top style="thin">
        <color rgb="FF000000"/>
      </top>
      <bottom style="hair">
        <color rgb="FF000000"/>
      </bottom>
      <diagonal/>
    </border>
    <border>
      <left style="hair">
        <color indexed="64"/>
      </left>
      <right/>
      <top style="hair">
        <color indexed="64"/>
      </top>
      <bottom style="double">
        <color indexed="64"/>
      </bottom>
      <diagonal/>
    </border>
    <border>
      <left style="hair">
        <color indexed="64"/>
      </left>
      <right style="hair">
        <color indexed="64"/>
      </right>
      <top/>
      <bottom/>
      <diagonal/>
    </border>
    <border>
      <left style="hair">
        <color rgb="FF000000"/>
      </left>
      <right style="hair">
        <color rgb="FF000000"/>
      </right>
      <top style="hair">
        <color rgb="FF000000"/>
      </top>
      <bottom/>
      <diagonal/>
    </border>
    <border>
      <left style="hair">
        <color rgb="FF000000"/>
      </left>
      <right style="hair">
        <color indexed="64"/>
      </right>
      <top style="hair">
        <color rgb="FF000000"/>
      </top>
      <bottom/>
      <diagonal/>
    </border>
    <border>
      <left style="hair">
        <color auto="1"/>
      </left>
      <right style="hair">
        <color indexed="64"/>
      </right>
      <top style="hair">
        <color rgb="FF000000"/>
      </top>
      <bottom/>
      <diagonal/>
    </border>
    <border>
      <left style="hair">
        <color indexed="64"/>
      </left>
      <right/>
      <top/>
      <bottom/>
      <diagonal/>
    </border>
    <border>
      <left style="hair">
        <color indexed="64"/>
      </left>
      <right style="double">
        <color auto="1"/>
      </right>
      <top/>
      <bottom/>
      <diagonal/>
    </border>
    <border>
      <left style="hair">
        <color indexed="64"/>
      </left>
      <right style="hair">
        <color indexed="64"/>
      </right>
      <top/>
      <bottom style="double">
        <color indexed="64"/>
      </bottom>
      <diagonal/>
    </border>
    <border>
      <left style="hair">
        <color indexed="64"/>
      </left>
      <right style="double">
        <color auto="1"/>
      </right>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double">
        <color indexed="64"/>
      </left>
      <right style="hair">
        <color indexed="64"/>
      </right>
      <top/>
      <bottom style="double">
        <color indexed="64"/>
      </bottom>
      <diagonal/>
    </border>
    <border>
      <left/>
      <right style="hair">
        <color rgb="FF000000"/>
      </right>
      <top style="hair">
        <color rgb="FF000000"/>
      </top>
      <bottom/>
      <diagonal/>
    </border>
    <border>
      <left style="double">
        <color indexed="64"/>
      </left>
      <right style="hair">
        <color indexed="64"/>
      </right>
      <top/>
      <bottom/>
      <diagonal/>
    </border>
    <border>
      <left style="hair">
        <color auto="1"/>
      </left>
      <right style="hair">
        <color auto="1"/>
      </right>
      <top style="double">
        <color indexed="64"/>
      </top>
      <bottom/>
      <diagonal/>
    </border>
    <border>
      <left style="thin">
        <color rgb="FF000000"/>
      </left>
      <right/>
      <top style="double">
        <color indexed="64"/>
      </top>
      <bottom style="hair">
        <color indexed="64"/>
      </bottom>
      <diagonal/>
    </border>
    <border>
      <left/>
      <right/>
      <top style="hair">
        <color auto="1"/>
      </top>
      <bottom style="hair">
        <color auto="1"/>
      </bottom>
      <diagonal/>
    </border>
    <border>
      <left/>
      <right/>
      <top style="hair">
        <color auto="1"/>
      </top>
      <bottom/>
      <diagonal/>
    </border>
    <border>
      <left/>
      <right/>
      <top/>
      <bottom style="hair">
        <color rgb="FF000000"/>
      </bottom>
      <diagonal/>
    </border>
    <border>
      <left/>
      <right style="double">
        <color auto="1"/>
      </right>
      <top style="double">
        <color indexed="64"/>
      </top>
      <bottom style="hair">
        <color indexed="64"/>
      </bottom>
      <diagonal/>
    </border>
    <border>
      <left/>
      <right style="double">
        <color auto="1"/>
      </right>
      <top/>
      <bottom style="hair">
        <color indexed="64"/>
      </bottom>
      <diagonal/>
    </border>
    <border>
      <left/>
      <right style="double">
        <color auto="1"/>
      </right>
      <top style="hair">
        <color indexed="64"/>
      </top>
      <bottom style="hair">
        <color indexed="64"/>
      </bottom>
      <diagonal/>
    </border>
    <border>
      <left style="hair">
        <color rgb="FF000000"/>
      </left>
      <right style="hair">
        <color indexed="64"/>
      </right>
      <top style="hair">
        <color indexed="64"/>
      </top>
      <bottom style="double">
        <color indexed="64"/>
      </bottom>
      <diagonal/>
    </border>
    <border>
      <left style="hair">
        <color auto="1"/>
      </left>
      <right/>
      <top/>
      <bottom style="hair">
        <color auto="1"/>
      </bottom>
      <diagonal/>
    </border>
    <border>
      <left style="hair">
        <color rgb="FF000000"/>
      </left>
      <right style="hair">
        <color rgb="FF000000"/>
      </right>
      <top style="double">
        <color indexed="64"/>
      </top>
      <bottom style="double">
        <color indexed="64"/>
      </bottom>
      <diagonal/>
    </border>
    <border>
      <left/>
      <right/>
      <top/>
      <bottom style="hair">
        <color auto="1"/>
      </bottom>
      <diagonal/>
    </border>
    <border>
      <left/>
      <right/>
      <top style="hair">
        <color auto="1"/>
      </top>
      <bottom style="double">
        <color indexed="64"/>
      </bottom>
      <diagonal/>
    </border>
    <border>
      <left style="hair">
        <color rgb="FF000000"/>
      </left>
      <right style="hair">
        <color rgb="FF000000"/>
      </right>
      <top style="hair">
        <color rgb="FF000000"/>
      </top>
      <bottom style="hair">
        <color indexed="64"/>
      </bottom>
      <diagonal/>
    </border>
    <border>
      <left style="hair">
        <color rgb="FF000000"/>
      </left>
      <right style="hair">
        <color rgb="FF000000"/>
      </right>
      <top/>
      <bottom/>
      <diagonal/>
    </border>
    <border>
      <left/>
      <right style="hair">
        <color indexed="64"/>
      </right>
      <top style="hair">
        <color rgb="FF000000"/>
      </top>
      <bottom/>
      <diagonal/>
    </border>
    <border>
      <left style="hair">
        <color indexed="64"/>
      </left>
      <right style="hair">
        <color rgb="FF000000"/>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hair">
        <color rgb="FF000000"/>
      </left>
      <right style="hair">
        <color indexed="64"/>
      </right>
      <top style="hair">
        <color indexed="64"/>
      </top>
      <bottom style="hair">
        <color indexed="64"/>
      </bottom>
      <diagonal/>
    </border>
    <border>
      <left style="hair">
        <color indexed="64"/>
      </left>
      <right/>
      <top style="double">
        <color indexed="64"/>
      </top>
      <bottom style="hair">
        <color indexed="64"/>
      </bottom>
      <diagonal/>
    </border>
    <border>
      <left/>
      <right style="hair">
        <color indexed="64"/>
      </right>
      <top/>
      <bottom style="hair">
        <color rgb="FF000000"/>
      </bottom>
      <diagonal/>
    </border>
    <border>
      <left style="hair">
        <color indexed="64"/>
      </left>
      <right/>
      <top style="double">
        <color indexed="64"/>
      </top>
      <bottom style="hair">
        <color rgb="FF000000"/>
      </bottom>
      <diagonal/>
    </border>
    <border>
      <left style="hair">
        <color indexed="64"/>
      </left>
      <right style="hair">
        <color indexed="64"/>
      </right>
      <top style="double">
        <color indexed="64"/>
      </top>
      <bottom style="hair">
        <color rgb="FF000000"/>
      </bottom>
      <diagonal/>
    </border>
    <border>
      <left style="hair">
        <color indexed="64"/>
      </left>
      <right style="double">
        <color rgb="FF000000"/>
      </right>
      <top style="hair">
        <color indexed="64"/>
      </top>
      <bottom style="hair">
        <color indexed="64"/>
      </bottom>
      <diagonal/>
    </border>
    <border>
      <left style="double">
        <color auto="1"/>
      </left>
      <right style="double">
        <color indexed="64"/>
      </right>
      <top style="double">
        <color auto="1"/>
      </top>
      <bottom style="double">
        <color rgb="FF000000"/>
      </bottom>
      <diagonal/>
    </border>
    <border>
      <left style="hair">
        <color rgb="FF000000"/>
      </left>
      <right style="double">
        <color rgb="FF000000"/>
      </right>
      <top style="hair">
        <color rgb="FF000000"/>
      </top>
      <bottom style="hair">
        <color rgb="FF000000"/>
      </bottom>
      <diagonal/>
    </border>
    <border>
      <left style="hair">
        <color rgb="FF000000"/>
      </left>
      <right style="hair">
        <color rgb="FF000000"/>
      </right>
      <top style="hair">
        <color rgb="FF000000"/>
      </top>
      <bottom style="double">
        <color rgb="FF000000"/>
      </bottom>
      <diagonal/>
    </border>
    <border>
      <left style="hair">
        <color rgb="FF000000"/>
      </left>
      <right style="double">
        <color rgb="FF000000"/>
      </right>
      <top style="hair">
        <color rgb="FF000000"/>
      </top>
      <bottom style="double">
        <color rgb="FF000000"/>
      </bottom>
      <diagonal/>
    </border>
    <border>
      <left style="double">
        <color auto="1"/>
      </left>
      <right style="double">
        <color rgb="FF000000"/>
      </right>
      <top style="double">
        <color auto="1"/>
      </top>
      <bottom style="hair">
        <color auto="1"/>
      </bottom>
      <diagonal/>
    </border>
    <border>
      <left style="double">
        <color auto="1"/>
      </left>
      <right style="double">
        <color rgb="FF000000"/>
      </right>
      <top style="hair">
        <color auto="1"/>
      </top>
      <bottom style="hair">
        <color auto="1"/>
      </bottom>
      <diagonal/>
    </border>
    <border>
      <left style="hair">
        <color rgb="FF000000"/>
      </left>
      <right style="double">
        <color auto="1"/>
      </right>
      <top style="double">
        <color indexed="64"/>
      </top>
      <bottom style="double">
        <color indexed="64"/>
      </bottom>
      <diagonal/>
    </border>
    <border>
      <left style="double">
        <color auto="1"/>
      </left>
      <right style="double">
        <color auto="1"/>
      </right>
      <top style="double">
        <color rgb="FF000000"/>
      </top>
      <bottom style="double">
        <color rgb="FF000000"/>
      </bottom>
      <diagonal/>
    </border>
    <border>
      <left style="hair">
        <color indexed="64"/>
      </left>
      <right style="double">
        <color auto="1"/>
      </right>
      <top style="double">
        <color indexed="64"/>
      </top>
      <bottom/>
      <diagonal/>
    </border>
    <border>
      <left style="double">
        <color indexed="64"/>
      </left>
      <right/>
      <top style="double">
        <color indexed="64"/>
      </top>
      <bottom style="hair">
        <color indexed="64"/>
      </bottom>
      <diagonal/>
    </border>
    <border>
      <left style="hair">
        <color rgb="FF000000"/>
      </left>
      <right style="double">
        <color rgb="FF000000"/>
      </right>
      <top style="hair">
        <color rgb="FF000000"/>
      </top>
      <bottom style="double">
        <color indexed="64"/>
      </bottom>
      <diagonal/>
    </border>
    <border>
      <left style="double">
        <color rgb="FF000000"/>
      </left>
      <right/>
      <top/>
      <bottom/>
      <diagonal/>
    </border>
    <border>
      <left style="hair">
        <color rgb="FF000000"/>
      </left>
      <right/>
      <top/>
      <bottom/>
      <diagonal/>
    </border>
    <border>
      <left style="hair">
        <color indexed="64"/>
      </left>
      <right/>
      <top style="double">
        <color indexed="64"/>
      </top>
      <bottom/>
      <diagonal/>
    </border>
    <border>
      <left/>
      <right style="hair">
        <color indexed="64"/>
      </right>
      <top style="double">
        <color indexed="64"/>
      </top>
      <bottom style="double">
        <color indexed="64"/>
      </bottom>
      <diagonal/>
    </border>
    <border>
      <left style="hair">
        <color rgb="FF000000"/>
      </left>
      <right style="double">
        <color rgb="FF000000"/>
      </right>
      <top/>
      <bottom style="hair">
        <color rgb="FF000000"/>
      </bottom>
      <diagonal/>
    </border>
    <border>
      <left style="double">
        <color rgb="FF000000"/>
      </left>
      <right/>
      <top/>
      <bottom style="hair">
        <color rgb="FF000000"/>
      </bottom>
      <diagonal/>
    </border>
    <border>
      <left style="double">
        <color indexed="64"/>
      </left>
      <right style="hair">
        <color rgb="FF000000"/>
      </right>
      <top style="double">
        <color indexed="64"/>
      </top>
      <bottom style="double">
        <color indexed="64"/>
      </bottom>
      <diagonal/>
    </border>
    <border>
      <left/>
      <right style="double">
        <color rgb="FF000000"/>
      </right>
      <top/>
      <bottom/>
      <diagonal/>
    </border>
    <border>
      <left style="double">
        <color auto="1"/>
      </left>
      <right style="thin">
        <color theme="0" tint="-0.24994659260841701"/>
      </right>
      <top style="double">
        <color auto="1"/>
      </top>
      <bottom style="hair">
        <color auto="1"/>
      </bottom>
      <diagonal/>
    </border>
    <border>
      <left style="double">
        <color auto="1"/>
      </left>
      <right style="thin">
        <color theme="0" tint="-0.24994659260841701"/>
      </right>
      <top style="hair">
        <color auto="1"/>
      </top>
      <bottom/>
      <diagonal/>
    </border>
    <border>
      <left/>
      <right/>
      <top style="double">
        <color indexed="64"/>
      </top>
      <bottom style="hair">
        <color indexed="64"/>
      </bottom>
      <diagonal/>
    </border>
    <border>
      <left style="thin">
        <color rgb="FF000000"/>
      </left>
      <right style="thin">
        <color rgb="FF000000"/>
      </right>
      <top style="double">
        <color rgb="FF000000"/>
      </top>
      <bottom style="thin">
        <color rgb="FF000000"/>
      </bottom>
      <diagonal/>
    </border>
    <border>
      <left style="double">
        <color rgb="FF000000"/>
      </left>
      <right style="hair">
        <color rgb="FF000000"/>
      </right>
      <top style="double">
        <color indexed="64"/>
      </top>
      <bottom style="double">
        <color rgb="FF000000"/>
      </bottom>
      <diagonal/>
    </border>
    <border>
      <left style="hair">
        <color rgb="FF000000"/>
      </left>
      <right style="hair">
        <color rgb="FF000000"/>
      </right>
      <top style="double">
        <color indexed="64"/>
      </top>
      <bottom style="double">
        <color rgb="FF000000"/>
      </bottom>
      <diagonal/>
    </border>
    <border>
      <left style="hair">
        <color rgb="FF000000"/>
      </left>
      <right style="double">
        <color indexed="64"/>
      </right>
      <top style="double">
        <color indexed="64"/>
      </top>
      <bottom style="double">
        <color rgb="FF000000"/>
      </bottom>
      <diagonal/>
    </border>
    <border>
      <left style="double">
        <color rgb="FF000000"/>
      </left>
      <right style="hair">
        <color rgb="FF000000"/>
      </right>
      <top style="double">
        <color rgb="FF000000"/>
      </top>
      <bottom style="hair">
        <color rgb="FF000000"/>
      </bottom>
      <diagonal/>
    </border>
    <border>
      <left style="hair">
        <color rgb="FF000000"/>
      </left>
      <right style="hair">
        <color rgb="FF000000"/>
      </right>
      <top style="double">
        <color rgb="FF000000"/>
      </top>
      <bottom style="hair">
        <color rgb="FF000000"/>
      </bottom>
      <diagonal/>
    </border>
    <border>
      <left style="hair">
        <color rgb="FF000000"/>
      </left>
      <right style="double">
        <color indexed="64"/>
      </right>
      <top style="double">
        <color rgb="FF000000"/>
      </top>
      <bottom style="hair">
        <color rgb="FF000000"/>
      </bottom>
      <diagonal/>
    </border>
    <border>
      <left style="double">
        <color rgb="FF000000"/>
      </left>
      <right style="hair">
        <color rgb="FF000000"/>
      </right>
      <top style="hair">
        <color rgb="FF000000"/>
      </top>
      <bottom style="double">
        <color rgb="FF000000"/>
      </bottom>
      <diagonal/>
    </border>
    <border>
      <left style="hair">
        <color rgb="FF000000"/>
      </left>
      <right style="double">
        <color indexed="64"/>
      </right>
      <top style="hair">
        <color rgb="FF000000"/>
      </top>
      <bottom style="double">
        <color rgb="FF000000"/>
      </bottom>
      <diagonal/>
    </border>
    <border>
      <left style="double">
        <color rgb="FF000000"/>
      </left>
      <right style="hair">
        <color rgb="FF000000"/>
      </right>
      <top style="double">
        <color rgb="FF000000"/>
      </top>
      <bottom style="double">
        <color rgb="FF000000"/>
      </bottom>
      <diagonal/>
    </border>
    <border>
      <left style="hair">
        <color rgb="FF000000"/>
      </left>
      <right style="hair">
        <color rgb="FF000000"/>
      </right>
      <top style="double">
        <color rgb="FF000000"/>
      </top>
      <bottom style="double">
        <color rgb="FF000000"/>
      </bottom>
      <diagonal/>
    </border>
    <border>
      <left style="hair">
        <color rgb="FF000000"/>
      </left>
      <right style="double">
        <color indexed="64"/>
      </right>
      <top style="double">
        <color rgb="FF000000"/>
      </top>
      <bottom style="double">
        <color rgb="FF000000"/>
      </bottom>
      <diagonal/>
    </border>
    <border>
      <left style="hair">
        <color rgb="FF000000"/>
      </left>
      <right style="double">
        <color rgb="FF000000"/>
      </right>
      <top style="double">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double">
        <color rgb="FF000000"/>
      </top>
      <bottom style="hair">
        <color rgb="FF000000"/>
      </bottom>
      <diagonal/>
    </border>
    <border>
      <left style="hair">
        <color rgb="FF000000"/>
      </left>
      <right/>
      <top style="hair">
        <color rgb="FF000000"/>
      </top>
      <bottom style="double">
        <color rgb="FF000000"/>
      </bottom>
      <diagonal/>
    </border>
    <border>
      <left style="double">
        <color rgb="FF000000"/>
      </left>
      <right style="double">
        <color rgb="FF000000"/>
      </right>
      <top style="hair">
        <color rgb="FF000000"/>
      </top>
      <bottom style="hair">
        <color rgb="FF000000"/>
      </bottom>
      <diagonal/>
    </border>
    <border>
      <left style="double">
        <color rgb="FF000000"/>
      </left>
      <right style="double">
        <color rgb="FF000000"/>
      </right>
      <top style="hair">
        <color rgb="FF000000"/>
      </top>
      <bottom style="double">
        <color rgb="FF000000"/>
      </bottom>
      <diagonal/>
    </border>
    <border>
      <left style="hair">
        <color rgb="FF000000"/>
      </left>
      <right style="hair">
        <color rgb="FF000000"/>
      </right>
      <top style="double">
        <color indexed="64"/>
      </top>
      <bottom style="hair">
        <color rgb="FF000000"/>
      </bottom>
      <diagonal/>
    </border>
    <border>
      <left style="hair">
        <color rgb="FF000000"/>
      </left>
      <right style="double">
        <color auto="1"/>
      </right>
      <top style="double">
        <color indexed="64"/>
      </top>
      <bottom style="hair">
        <color rgb="FF000000"/>
      </bottom>
      <diagonal/>
    </border>
    <border>
      <left style="hair">
        <color rgb="FF000000"/>
      </left>
      <right style="hair">
        <color rgb="FF000000"/>
      </right>
      <top style="double">
        <color rgb="FF000000"/>
      </top>
      <bottom/>
      <diagonal/>
    </border>
    <border>
      <left style="double">
        <color indexed="64"/>
      </left>
      <right style="hair">
        <color indexed="64"/>
      </right>
      <top style="hair">
        <color indexed="64"/>
      </top>
      <bottom style="double">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style="double">
        <color rgb="FF000000"/>
      </bottom>
      <diagonal/>
    </border>
    <border>
      <left style="hair">
        <color rgb="FF000000"/>
      </left>
      <right style="double">
        <color indexed="64"/>
      </right>
      <top style="hair">
        <color rgb="FF000000"/>
      </top>
      <bottom/>
      <diagonal/>
    </border>
    <border>
      <left/>
      <right style="hair">
        <color rgb="FF000000"/>
      </right>
      <top/>
      <bottom style="double">
        <color rgb="FF000000"/>
      </bottom>
      <diagonal/>
    </border>
    <border>
      <left style="hair">
        <color rgb="FF000000"/>
      </left>
      <right style="hair">
        <color rgb="FF000000"/>
      </right>
      <top/>
      <bottom style="double">
        <color rgb="FF000000"/>
      </bottom>
      <diagonal/>
    </border>
    <border>
      <left style="hair">
        <color rgb="FF000000"/>
      </left>
      <right style="double">
        <color indexed="64"/>
      </right>
      <top/>
      <bottom style="double">
        <color rgb="FF000000"/>
      </bottom>
      <diagonal/>
    </border>
    <border>
      <left style="double">
        <color indexed="64"/>
      </left>
      <right style="hair">
        <color rgb="FF000000"/>
      </right>
      <top style="hair">
        <color rgb="FF000000"/>
      </top>
      <bottom style="hair">
        <color indexed="64"/>
      </bottom>
      <diagonal/>
    </border>
    <border>
      <left style="double">
        <color indexed="64"/>
      </left>
      <right style="hair">
        <color rgb="FF000000"/>
      </right>
      <top style="hair">
        <color indexed="64"/>
      </top>
      <bottom style="double">
        <color rgb="FF000000"/>
      </bottom>
      <diagonal/>
    </border>
    <border>
      <left style="double">
        <color rgb="FF000000"/>
      </left>
      <right style="hair">
        <color rgb="FF000000"/>
      </right>
      <top style="double">
        <color rgb="FF000000"/>
      </top>
      <bottom/>
      <diagonal/>
    </border>
    <border>
      <left/>
      <right style="hair">
        <color rgb="FF000000"/>
      </right>
      <top/>
      <bottom style="hair">
        <color rgb="FF000000"/>
      </bottom>
      <diagonal/>
    </border>
    <border>
      <left style="thin">
        <color rgb="FF000000"/>
      </left>
      <right style="hair">
        <color rgb="FF000000"/>
      </right>
      <top style="hair">
        <color indexed="64"/>
      </top>
      <bottom style="hair">
        <color indexed="64"/>
      </bottom>
      <diagonal/>
    </border>
    <border>
      <left style="hair">
        <color rgb="FF000000"/>
      </left>
      <right style="hair">
        <color rgb="FF000000"/>
      </right>
      <top/>
      <bottom style="hair">
        <color indexed="64"/>
      </bottom>
      <diagonal/>
    </border>
    <border>
      <left style="thin">
        <color rgb="FF000000"/>
      </left>
      <right/>
      <top style="hair">
        <color indexed="64"/>
      </top>
      <bottom style="thin">
        <color rgb="FF000000"/>
      </bottom>
      <diagonal/>
    </border>
    <border>
      <left style="hair">
        <color rgb="FF000000"/>
      </left>
      <right style="hair">
        <color rgb="FF000000"/>
      </right>
      <top style="hair">
        <color indexed="64"/>
      </top>
      <bottom/>
      <diagonal/>
    </border>
    <border>
      <left style="double">
        <color indexed="64"/>
      </left>
      <right style="hair">
        <color rgb="FF000000"/>
      </right>
      <top style="hair">
        <color indexed="64"/>
      </top>
      <bottom/>
      <diagonal/>
    </border>
    <border>
      <left style="double">
        <color indexed="64"/>
      </left>
      <right style="hair">
        <color rgb="FF000000"/>
      </right>
      <top style="hair">
        <color indexed="64"/>
      </top>
      <bottom style="hair">
        <color indexed="64"/>
      </bottom>
      <diagonal/>
    </border>
    <border>
      <left style="hair">
        <color rgb="FF000000"/>
      </left>
      <right/>
      <top/>
      <bottom style="double">
        <color rgb="FF000000"/>
      </bottom>
      <diagonal/>
    </border>
    <border>
      <left style="hair">
        <color rgb="FF000000"/>
      </left>
      <right/>
      <top style="hair">
        <color indexed="64"/>
      </top>
      <bottom style="hair">
        <color indexed="64"/>
      </bottom>
      <diagonal/>
    </border>
    <border>
      <left style="hair">
        <color rgb="FF000000"/>
      </left>
      <right/>
      <top style="double">
        <color rgb="FF000000"/>
      </top>
      <bottom/>
      <diagonal/>
    </border>
    <border>
      <left style="double">
        <color indexed="64"/>
      </left>
      <right style="double">
        <color indexed="64"/>
      </right>
      <top style="thin">
        <color rgb="FF000000"/>
      </top>
      <bottom style="thin">
        <color rgb="FF000000"/>
      </bottom>
      <diagonal/>
    </border>
    <border>
      <left style="double">
        <color indexed="64"/>
      </left>
      <right/>
      <top style="hair">
        <color indexed="64"/>
      </top>
      <bottom/>
      <diagonal/>
    </border>
    <border>
      <left/>
      <right style="hair">
        <color rgb="FF000000"/>
      </right>
      <top/>
      <bottom/>
      <diagonal/>
    </border>
    <border>
      <left style="hair">
        <color rgb="FF000000"/>
      </left>
      <right/>
      <top style="double">
        <color indexed="64"/>
      </top>
      <bottom style="double">
        <color indexed="64"/>
      </bottom>
      <diagonal/>
    </border>
    <border>
      <left style="double">
        <color indexed="64"/>
      </left>
      <right/>
      <top style="hair">
        <color indexed="64"/>
      </top>
      <bottom style="double">
        <color indexed="64"/>
      </bottom>
      <diagonal/>
    </border>
    <border>
      <left/>
      <right/>
      <top style="double">
        <color indexed="64"/>
      </top>
      <bottom style="double">
        <color rgb="FF000000"/>
      </bottom>
      <diagonal/>
    </border>
    <border>
      <left style="double">
        <color indexed="64"/>
      </left>
      <right/>
      <top style="hair">
        <color indexed="64"/>
      </top>
      <bottom style="hair">
        <color indexed="64"/>
      </bottom>
      <diagonal/>
    </border>
    <border>
      <left style="double">
        <color indexed="64"/>
      </left>
      <right style="double">
        <color indexed="64"/>
      </right>
      <top style="hair">
        <color auto="1"/>
      </top>
      <bottom style="hair">
        <color auto="1"/>
      </bottom>
      <diagonal/>
    </border>
    <border>
      <left style="hair">
        <color rgb="FF000000"/>
      </left>
      <right/>
      <top style="double">
        <color indexed="64"/>
      </top>
      <bottom style="double">
        <color rgb="FF000000"/>
      </bottom>
      <diagonal/>
    </border>
    <border>
      <left style="thin">
        <color theme="0" tint="-0.24994659260841701"/>
      </left>
      <right style="thin">
        <color theme="0" tint="-0.24994659260841701"/>
      </right>
      <top style="hair">
        <color indexed="64"/>
      </top>
      <bottom style="hair">
        <color indexed="64"/>
      </bottom>
      <diagonal/>
    </border>
    <border>
      <left style="double">
        <color indexed="64"/>
      </left>
      <right style="thin">
        <color theme="0" tint="-0.24994659260841701"/>
      </right>
      <top style="hair">
        <color indexed="64"/>
      </top>
      <bottom style="hair">
        <color indexed="64"/>
      </bottom>
      <diagonal/>
    </border>
    <border>
      <left style="double">
        <color indexed="64"/>
      </left>
      <right style="double">
        <color indexed="64"/>
      </right>
      <top style="hair">
        <color auto="1"/>
      </top>
      <bottom/>
      <diagonal/>
    </border>
    <border>
      <left style="double">
        <color indexed="64"/>
      </left>
      <right style="double">
        <color indexed="64"/>
      </right>
      <top/>
      <bottom style="hair">
        <color auto="1"/>
      </bottom>
      <diagonal/>
    </border>
    <border>
      <left style="double">
        <color auto="1"/>
      </left>
      <right style="double">
        <color auto="1"/>
      </right>
      <top/>
      <bottom style="double">
        <color rgb="FF000000"/>
      </bottom>
      <diagonal/>
    </border>
    <border>
      <left style="hair">
        <color rgb="FF000000"/>
      </left>
      <right/>
      <top/>
      <bottom style="hair">
        <color rgb="FF000000"/>
      </bottom>
      <diagonal/>
    </border>
    <border>
      <left style="double">
        <color indexed="64"/>
      </left>
      <right/>
      <top/>
      <bottom style="hair">
        <color auto="1"/>
      </bottom>
      <diagonal/>
    </border>
    <border>
      <left style="double">
        <color auto="1"/>
      </left>
      <right/>
      <top/>
      <bottom style="double">
        <color rgb="FF000000"/>
      </bottom>
      <diagonal/>
    </border>
    <border>
      <left/>
      <right style="hair">
        <color indexed="64"/>
      </right>
      <top style="double">
        <color indexed="64"/>
      </top>
      <bottom/>
      <diagonal/>
    </border>
    <border>
      <left/>
      <right/>
      <top style="hair">
        <color rgb="FF000000"/>
      </top>
      <bottom/>
      <diagonal/>
    </border>
    <border>
      <left style="double">
        <color rgb="FF000000"/>
      </left>
      <right/>
      <top style="hair">
        <color rgb="FF000000"/>
      </top>
      <bottom style="hair">
        <color rgb="FF000000"/>
      </bottom>
      <diagonal/>
    </border>
    <border>
      <left/>
      <right style="hair">
        <color rgb="FF000000"/>
      </right>
      <top style="hair">
        <color rgb="FF000000"/>
      </top>
      <bottom style="double">
        <color indexed="64"/>
      </bottom>
      <diagonal/>
    </border>
    <border>
      <left/>
      <right style="double">
        <color indexed="64"/>
      </right>
      <top style="hair">
        <color auto="1"/>
      </top>
      <bottom style="double">
        <color indexed="64"/>
      </bottom>
      <diagonal/>
    </border>
    <border>
      <left style="double">
        <color indexed="64"/>
      </left>
      <right style="thin">
        <color theme="0" tint="-0.24994659260841701"/>
      </right>
      <top style="double">
        <color rgb="FF000000"/>
      </top>
      <bottom/>
      <diagonal/>
    </border>
    <border>
      <left style="hair">
        <color auto="1"/>
      </left>
      <right/>
      <top style="double">
        <color indexed="64"/>
      </top>
      <bottom style="double">
        <color indexed="64"/>
      </bottom>
      <diagonal/>
    </border>
    <border>
      <left/>
      <right style="hair">
        <color rgb="FF000000"/>
      </right>
      <top style="double">
        <color indexed="64"/>
      </top>
      <bottom style="double">
        <color indexed="64"/>
      </bottom>
      <diagonal/>
    </border>
    <border>
      <left style="double">
        <color rgb="FF000000"/>
      </left>
      <right/>
      <top style="double">
        <color indexed="64"/>
      </top>
      <bottom style="double">
        <color indexed="64"/>
      </bottom>
      <diagonal/>
    </border>
    <border>
      <left style="double">
        <color rgb="FF000000"/>
      </left>
      <right style="double">
        <color auto="1"/>
      </right>
      <top style="hair">
        <color indexed="64"/>
      </top>
      <bottom/>
      <diagonal/>
    </border>
    <border>
      <left/>
      <right style="double">
        <color auto="1"/>
      </right>
      <top style="double">
        <color rgb="FF000000"/>
      </top>
      <bottom style="double">
        <color rgb="FF000000"/>
      </bottom>
      <diagonal/>
    </border>
    <border>
      <left style="double">
        <color auto="1"/>
      </left>
      <right style="double">
        <color auto="1"/>
      </right>
      <top style="hair">
        <color auto="1"/>
      </top>
      <bottom style="thin">
        <color rgb="FF000000"/>
      </bottom>
      <diagonal/>
    </border>
    <border>
      <left style="double">
        <color rgb="FF000000"/>
      </left>
      <right style="double">
        <color rgb="FF000000"/>
      </right>
      <top style="double">
        <color rgb="FF000000"/>
      </top>
      <bottom style="hair">
        <color rgb="FF000000"/>
      </bottom>
      <diagonal/>
    </border>
    <border>
      <left style="double">
        <color rgb="FF000000"/>
      </left>
      <right/>
      <top style="double">
        <color rgb="FF000000"/>
      </top>
      <bottom style="hair">
        <color rgb="FF000000"/>
      </bottom>
      <diagonal/>
    </border>
    <border>
      <left style="double">
        <color rgb="FF000000"/>
      </left>
      <right/>
      <top style="hair">
        <color rgb="FF000000"/>
      </top>
      <bottom style="double">
        <color rgb="FF000000"/>
      </bottom>
      <diagonal/>
    </border>
    <border>
      <left style="hair">
        <color rgb="FF000000"/>
      </left>
      <right/>
      <top style="double">
        <color rgb="FF000000"/>
      </top>
      <bottom style="double">
        <color rgb="FF000000"/>
      </bottom>
      <diagonal/>
    </border>
    <border>
      <left/>
      <right style="hair">
        <color rgb="FF000000"/>
      </right>
      <top style="double">
        <color rgb="FF000000"/>
      </top>
      <bottom style="double">
        <color rgb="FF000000"/>
      </bottom>
      <diagonal/>
    </border>
    <border>
      <left/>
      <right style="hair">
        <color rgb="FF000000"/>
      </right>
      <top style="double">
        <color rgb="FF000000"/>
      </top>
      <bottom style="hair">
        <color rgb="FF000000"/>
      </bottom>
      <diagonal/>
    </border>
    <border>
      <left/>
      <right style="hair">
        <color rgb="FF000000"/>
      </right>
      <top style="double">
        <color indexed="64"/>
      </top>
      <bottom style="double">
        <color rgb="FF000000"/>
      </bottom>
      <diagonal/>
    </border>
    <border>
      <left/>
      <right/>
      <top style="hair">
        <color rgb="FF000000"/>
      </top>
      <bottom style="double">
        <color rgb="FF000000"/>
      </bottom>
      <diagonal/>
    </border>
    <border>
      <left style="hair">
        <color rgb="FF000000"/>
      </left>
      <right/>
      <top style="hair">
        <color rgb="FF000000"/>
      </top>
      <bottom/>
      <diagonal/>
    </border>
    <border>
      <left style="hair">
        <color rgb="FF000000"/>
      </left>
      <right/>
      <top/>
      <bottom style="hair">
        <color indexed="64"/>
      </bottom>
      <diagonal/>
    </border>
    <border>
      <left style="hair">
        <color indexed="64"/>
      </left>
      <right/>
      <top style="hair">
        <color rgb="FF000000"/>
      </top>
      <bottom style="double">
        <color indexed="64"/>
      </bottom>
      <diagonal/>
    </border>
    <border>
      <left/>
      <right style="hair">
        <color rgb="FF000000"/>
      </right>
      <top style="double">
        <color rgb="FF000000"/>
      </top>
      <bottom/>
      <diagonal/>
    </border>
    <border>
      <left/>
      <right style="hair">
        <color rgb="FF000000"/>
      </right>
      <top style="hair">
        <color rgb="FF000000"/>
      </top>
      <bottom style="hair">
        <color indexed="64"/>
      </bottom>
      <diagonal/>
    </border>
    <border>
      <left/>
      <right style="hair">
        <color rgb="FF000000"/>
      </right>
      <top style="hair">
        <color indexed="64"/>
      </top>
      <bottom style="hair">
        <color indexed="64"/>
      </bottom>
      <diagonal/>
    </border>
    <border>
      <left/>
      <right style="hair">
        <color rgb="FF000000"/>
      </right>
      <top style="double">
        <color indexed="64"/>
      </top>
      <bottom style="hair">
        <color rgb="FF000000"/>
      </bottom>
      <diagonal/>
    </border>
    <border>
      <left/>
      <right style="hair">
        <color auto="1"/>
      </right>
      <top/>
      <bottom/>
      <diagonal/>
    </border>
    <border>
      <left style="double">
        <color rgb="FF000000"/>
      </left>
      <right style="double">
        <color indexed="64"/>
      </right>
      <top/>
      <bottom/>
      <diagonal/>
    </border>
    <border>
      <left/>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diagonal/>
    </border>
    <border>
      <left style="double">
        <color rgb="FF000000"/>
      </left>
      <right style="double">
        <color rgb="FF000000"/>
      </right>
      <top/>
      <bottom style="double">
        <color indexed="64"/>
      </bottom>
      <diagonal/>
    </border>
    <border>
      <left style="double">
        <color rgb="FF000000"/>
      </left>
      <right style="double">
        <color auto="1"/>
      </right>
      <top style="double">
        <color rgb="FF000000"/>
      </top>
      <bottom/>
      <diagonal/>
    </border>
    <border>
      <left style="double">
        <color rgb="FF000000"/>
      </left>
      <right style="double">
        <color auto="1"/>
      </right>
      <top/>
      <bottom style="double">
        <color rgb="FF000000"/>
      </bottom>
      <diagonal/>
    </border>
    <border>
      <left style="double">
        <color rgb="FF000000"/>
      </left>
      <right style="double">
        <color rgb="FF000000"/>
      </right>
      <top style="hair">
        <color rgb="FF000000"/>
      </top>
      <bottom style="double">
        <color indexed="64"/>
      </bottom>
      <diagonal/>
    </border>
    <border>
      <left style="double">
        <color rgb="FF000000"/>
      </left>
      <right style="double">
        <color auto="1"/>
      </right>
      <top style="double">
        <color indexed="64"/>
      </top>
      <bottom/>
      <diagonal/>
    </border>
    <border>
      <left style="double">
        <color indexed="64"/>
      </left>
      <right/>
      <top style="thin">
        <color rgb="FF000000"/>
      </top>
      <bottom/>
      <diagonal/>
    </border>
    <border>
      <left/>
      <right style="hair">
        <color auto="1"/>
      </right>
      <top style="hair">
        <color auto="1"/>
      </top>
      <bottom style="double">
        <color rgb="FF000000"/>
      </bottom>
      <diagonal/>
    </border>
    <border>
      <left style="double">
        <color rgb="FF000000"/>
      </left>
      <right style="double">
        <color rgb="FF000000"/>
      </right>
      <top/>
      <bottom style="double">
        <color rgb="FF000000"/>
      </bottom>
      <diagonal/>
    </border>
    <border>
      <left style="double">
        <color rgb="FF000000"/>
      </left>
      <right/>
      <top style="double">
        <color rgb="FF000000"/>
      </top>
      <bottom/>
      <diagonal/>
    </border>
    <border>
      <left style="double">
        <color rgb="FF000000"/>
      </left>
      <right/>
      <top/>
      <bottom style="double">
        <color rgb="FF000000"/>
      </bottom>
      <diagonal/>
    </border>
    <border>
      <left style="hair">
        <color rgb="FF000000"/>
      </left>
      <right/>
      <top style="double">
        <color indexed="64"/>
      </top>
      <bottom style="hair">
        <color rgb="FF000000"/>
      </bottom>
      <diagonal/>
    </border>
    <border>
      <left/>
      <right style="double">
        <color indexed="64"/>
      </right>
      <top style="double">
        <color rgb="FF000000"/>
      </top>
      <bottom/>
      <diagonal/>
    </border>
    <border>
      <left/>
      <right style="double">
        <color indexed="64"/>
      </right>
      <top style="hair">
        <color auto="1"/>
      </top>
      <bottom/>
      <diagonal/>
    </border>
    <border>
      <left style="hair">
        <color indexed="64"/>
      </left>
      <right style="double">
        <color auto="1"/>
      </right>
      <top style="double">
        <color rgb="FF000000"/>
      </top>
      <bottom style="double">
        <color rgb="FF000000"/>
      </bottom>
      <diagonal/>
    </border>
    <border>
      <left style="double">
        <color indexed="64"/>
      </left>
      <right style="hair">
        <color indexed="64"/>
      </right>
      <top style="double">
        <color rgb="FF000000"/>
      </top>
      <bottom style="double">
        <color rgb="FF000000"/>
      </bottom>
      <diagonal/>
    </border>
    <border>
      <left style="hair">
        <color auto="1"/>
      </left>
      <right style="hair">
        <color auto="1"/>
      </right>
      <top style="double">
        <color rgb="FF000000"/>
      </top>
      <bottom style="double">
        <color rgb="FF000000"/>
      </bottom>
      <diagonal/>
    </border>
    <border>
      <left style="hair">
        <color indexed="64"/>
      </left>
      <right style="double">
        <color auto="1"/>
      </right>
      <top style="double">
        <color rgb="FF000000"/>
      </top>
      <bottom style="hair">
        <color rgb="FF000000"/>
      </bottom>
      <diagonal/>
    </border>
    <border>
      <left/>
      <right style="double">
        <color indexed="64"/>
      </right>
      <top style="double">
        <color rgb="FF000000"/>
      </top>
      <bottom style="hair">
        <color rgb="FF000000"/>
      </bottom>
      <diagonal/>
    </border>
    <border>
      <left style="double">
        <color indexed="64"/>
      </left>
      <right style="hair">
        <color indexed="64"/>
      </right>
      <top style="double">
        <color rgb="FF000000"/>
      </top>
      <bottom style="hair">
        <color rgb="FF000000"/>
      </bottom>
      <diagonal/>
    </border>
    <border>
      <left style="hair">
        <color auto="1"/>
      </left>
      <right style="hair">
        <color auto="1"/>
      </right>
      <top style="double">
        <color rgb="FF000000"/>
      </top>
      <bottom style="hair">
        <color rgb="FF000000"/>
      </bottom>
      <diagonal/>
    </border>
    <border>
      <left style="double">
        <color indexed="64"/>
      </left>
      <right style="double">
        <color indexed="64"/>
      </right>
      <top style="double">
        <color rgb="FF000000"/>
      </top>
      <bottom style="hair">
        <color rgb="FF000000"/>
      </bottom>
      <diagonal/>
    </border>
    <border>
      <left style="hair">
        <color indexed="64"/>
      </left>
      <right style="double">
        <color auto="1"/>
      </right>
      <top style="hair">
        <color rgb="FF000000"/>
      </top>
      <bottom style="hair">
        <color rgb="FF000000"/>
      </bottom>
      <diagonal/>
    </border>
    <border>
      <left style="double">
        <color indexed="64"/>
      </left>
      <right style="hair">
        <color indexed="64"/>
      </right>
      <top style="hair">
        <color rgb="FF000000"/>
      </top>
      <bottom style="hair">
        <color rgb="FF000000"/>
      </bottom>
      <diagonal/>
    </border>
    <border>
      <left/>
      <right style="hair">
        <color auto="1"/>
      </right>
      <top style="hair">
        <color rgb="FF000000"/>
      </top>
      <bottom style="hair">
        <color rgb="FF000000"/>
      </bottom>
      <diagonal/>
    </border>
    <border>
      <left style="double">
        <color auto="1"/>
      </left>
      <right style="double">
        <color auto="1"/>
      </right>
      <top style="hair">
        <color rgb="FF000000"/>
      </top>
      <bottom style="hair">
        <color rgb="FF000000"/>
      </bottom>
      <diagonal/>
    </border>
    <border>
      <left style="hair">
        <color indexed="64"/>
      </left>
      <right style="double">
        <color auto="1"/>
      </right>
      <top style="hair">
        <color rgb="FF000000"/>
      </top>
      <bottom style="double">
        <color rgb="FF000000"/>
      </bottom>
      <diagonal/>
    </border>
    <border>
      <left/>
      <right style="double">
        <color indexed="64"/>
      </right>
      <top style="hair">
        <color rgb="FF000000"/>
      </top>
      <bottom style="double">
        <color rgb="FF000000"/>
      </bottom>
      <diagonal/>
    </border>
    <border>
      <left style="double">
        <color indexed="64"/>
      </left>
      <right style="hair">
        <color indexed="64"/>
      </right>
      <top style="hair">
        <color rgb="FF000000"/>
      </top>
      <bottom style="double">
        <color rgb="FF000000"/>
      </bottom>
      <diagonal/>
    </border>
    <border>
      <left/>
      <right style="hair">
        <color auto="1"/>
      </right>
      <top style="hair">
        <color rgb="FF000000"/>
      </top>
      <bottom style="double">
        <color rgb="FF000000"/>
      </bottom>
      <diagonal/>
    </border>
    <border>
      <left style="hair">
        <color auto="1"/>
      </left>
      <right style="hair">
        <color auto="1"/>
      </right>
      <top style="hair">
        <color rgb="FF000000"/>
      </top>
      <bottom style="double">
        <color rgb="FF000000"/>
      </bottom>
      <diagonal/>
    </border>
    <border>
      <left style="double">
        <color auto="1"/>
      </left>
      <right style="double">
        <color auto="1"/>
      </right>
      <top style="hair">
        <color rgb="FF000000"/>
      </top>
      <bottom style="double">
        <color rgb="FF000000"/>
      </bottom>
      <diagonal/>
    </border>
    <border>
      <left style="hair">
        <color indexed="64"/>
      </left>
      <right style="double">
        <color auto="1"/>
      </right>
      <top style="double">
        <color rgb="FF000000"/>
      </top>
      <bottom style="hair">
        <color indexed="64"/>
      </bottom>
      <diagonal/>
    </border>
    <border>
      <left style="double">
        <color indexed="64"/>
      </left>
      <right style="hair">
        <color indexed="64"/>
      </right>
      <top style="double">
        <color rgb="FF000000"/>
      </top>
      <bottom style="hair">
        <color indexed="64"/>
      </bottom>
      <diagonal/>
    </border>
    <border>
      <left style="hair">
        <color auto="1"/>
      </left>
      <right style="hair">
        <color auto="1"/>
      </right>
      <top style="double">
        <color rgb="FF000000"/>
      </top>
      <bottom style="hair">
        <color auto="1"/>
      </bottom>
      <diagonal/>
    </border>
    <border>
      <left/>
      <right style="hair">
        <color auto="1"/>
      </right>
      <top style="double">
        <color rgb="FF000000"/>
      </top>
      <bottom style="double">
        <color rgb="FF000000"/>
      </bottom>
      <diagonal/>
    </border>
    <border>
      <left style="double">
        <color indexed="64"/>
      </left>
      <right style="double">
        <color rgb="FF000000"/>
      </right>
      <top style="hair">
        <color indexed="64"/>
      </top>
      <bottom style="double">
        <color indexed="64"/>
      </bottom>
      <diagonal/>
    </border>
    <border>
      <left/>
      <right style="double">
        <color rgb="FF000000"/>
      </right>
      <top style="double">
        <color auto="1"/>
      </top>
      <bottom style="hair">
        <color auto="1"/>
      </bottom>
      <diagonal/>
    </border>
    <border>
      <left/>
      <right style="double">
        <color rgb="FF000000"/>
      </right>
      <top style="hair">
        <color auto="1"/>
      </top>
      <bottom style="hair">
        <color auto="1"/>
      </bottom>
      <diagonal/>
    </border>
    <border>
      <left/>
      <right style="double">
        <color rgb="FF000000"/>
      </right>
      <top style="hair">
        <color indexed="64"/>
      </top>
      <bottom style="double">
        <color indexed="64"/>
      </bottom>
      <diagonal/>
    </border>
    <border>
      <left style="double">
        <color rgb="FF000000"/>
      </left>
      <right style="hair">
        <color rgb="FF000000"/>
      </right>
      <top style="double">
        <color indexed="64"/>
      </top>
      <bottom style="hair">
        <color rgb="FF000000"/>
      </bottom>
      <diagonal/>
    </border>
    <border>
      <left style="hair">
        <color indexed="64"/>
      </left>
      <right style="hair">
        <color indexed="64"/>
      </right>
      <top style="hair">
        <color indexed="64"/>
      </top>
      <bottom style="double">
        <color rgb="FF000000"/>
      </bottom>
      <diagonal/>
    </border>
    <border>
      <left style="hair">
        <color indexed="64"/>
      </left>
      <right style="double">
        <color auto="1"/>
      </right>
      <top style="hair">
        <color indexed="64"/>
      </top>
      <bottom style="double">
        <color rgb="FF000000"/>
      </bottom>
      <diagonal/>
    </border>
    <border>
      <left/>
      <right style="hair">
        <color rgb="FF000000"/>
      </right>
      <top style="hair">
        <color indexed="64"/>
      </top>
      <bottom style="double">
        <color indexed="64"/>
      </bottom>
      <diagonal/>
    </border>
    <border>
      <left style="hair">
        <color rgb="FF000000"/>
      </left>
      <right style="hair">
        <color rgb="FF000000"/>
      </right>
      <top style="hair">
        <color indexed="64"/>
      </top>
      <bottom style="double">
        <color indexed="64"/>
      </bottom>
      <diagonal/>
    </border>
    <border>
      <left style="double">
        <color rgb="FF000000"/>
      </left>
      <right style="double">
        <color auto="1"/>
      </right>
      <top/>
      <bottom style="double">
        <color indexed="64"/>
      </bottom>
      <diagonal/>
    </border>
    <border>
      <left/>
      <right style="hair">
        <color rgb="FF000000"/>
      </right>
      <top style="double">
        <color indexed="64"/>
      </top>
      <bottom/>
      <diagonal/>
    </border>
    <border>
      <left style="double">
        <color auto="1"/>
      </left>
      <right/>
      <top style="double">
        <color rgb="FF000000"/>
      </top>
      <bottom/>
      <diagonal/>
    </border>
    <border>
      <left/>
      <right style="hair">
        <color indexed="64"/>
      </right>
      <top style="double">
        <color rgb="FF000000"/>
      </top>
      <bottom style="hair">
        <color indexed="64"/>
      </bottom>
      <diagonal/>
    </border>
    <border>
      <left/>
      <right style="hair">
        <color indexed="64"/>
      </right>
      <top style="double">
        <color rgb="FF000000"/>
      </top>
      <bottom style="hair">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style="double">
        <color indexed="64"/>
      </top>
      <bottom/>
      <diagonal/>
    </border>
    <border>
      <left style="double">
        <color rgb="FF000000"/>
      </left>
      <right style="hair">
        <color rgb="FF000000"/>
      </right>
      <top style="hair">
        <color rgb="FF000000"/>
      </top>
      <bottom style="double">
        <color indexed="64"/>
      </bottom>
      <diagonal/>
    </border>
    <border>
      <left style="hair">
        <color rgb="FF000000"/>
      </left>
      <right/>
      <top style="hair">
        <color rgb="FF000000"/>
      </top>
      <bottom style="double">
        <color indexed="64"/>
      </bottom>
      <diagonal/>
    </border>
    <border>
      <left style="double">
        <color rgb="FF000000"/>
      </left>
      <right/>
      <top style="hair">
        <color rgb="FF000000"/>
      </top>
      <bottom/>
      <diagonal/>
    </border>
    <border>
      <left/>
      <right style="hair">
        <color rgb="FF000000"/>
      </right>
      <top/>
      <bottom style="double">
        <color indexed="64"/>
      </bottom>
      <diagonal/>
    </border>
    <border>
      <left style="double">
        <color indexed="64"/>
      </left>
      <right style="double">
        <color indexed="64"/>
      </right>
      <top/>
      <bottom style="hair">
        <color rgb="FF000000"/>
      </bottom>
      <diagonal/>
    </border>
    <border>
      <left style="double">
        <color indexed="64"/>
      </left>
      <right style="double">
        <color indexed="64"/>
      </right>
      <top style="double">
        <color indexed="64"/>
      </top>
      <bottom style="hair">
        <color rgb="FF000000"/>
      </bottom>
      <diagonal/>
    </border>
    <border>
      <left style="double">
        <color indexed="64"/>
      </left>
      <right/>
      <top style="double">
        <color rgb="FF000000"/>
      </top>
      <bottom style="hair">
        <color indexed="64"/>
      </bottom>
      <diagonal/>
    </border>
    <border>
      <left style="hair">
        <color auto="1"/>
      </left>
      <right style="double">
        <color rgb="FF000000"/>
      </right>
      <top style="double">
        <color indexed="64"/>
      </top>
      <bottom style="double">
        <color indexed="64"/>
      </bottom>
      <diagonal/>
    </border>
    <border>
      <left style="hair">
        <color auto="1"/>
      </left>
      <right style="double">
        <color rgb="FF000000"/>
      </right>
      <top/>
      <bottom style="double">
        <color indexed="64"/>
      </bottom>
      <diagonal/>
    </border>
    <border>
      <left style="hair">
        <color indexed="64"/>
      </left>
      <right/>
      <top style="double">
        <color indexed="64"/>
      </top>
      <bottom style="double">
        <color rgb="FF000000"/>
      </bottom>
      <diagonal/>
    </border>
    <border>
      <left style="double">
        <color indexed="64"/>
      </left>
      <right style="hair">
        <color indexed="64"/>
      </right>
      <top style="double">
        <color indexed="64"/>
      </top>
      <bottom style="double">
        <color rgb="FF000000"/>
      </bottom>
      <diagonal/>
    </border>
    <border>
      <left style="hair">
        <color indexed="64"/>
      </left>
      <right style="hair">
        <color indexed="64"/>
      </right>
      <top style="double">
        <color indexed="64"/>
      </top>
      <bottom style="double">
        <color rgb="FF000000"/>
      </bottom>
      <diagonal/>
    </border>
    <border>
      <left style="hair">
        <color indexed="64"/>
      </left>
      <right style="double">
        <color indexed="64"/>
      </right>
      <top style="double">
        <color indexed="64"/>
      </top>
      <bottom style="double">
        <color rgb="FF000000"/>
      </bottom>
      <diagonal/>
    </border>
    <border>
      <left style="hair">
        <color rgb="FF000000"/>
      </left>
      <right style="hair">
        <color rgb="FF000000"/>
      </right>
      <top style="double">
        <color indexed="64"/>
      </top>
      <bottom/>
      <diagonal/>
    </border>
    <border>
      <left style="hair">
        <color rgb="FF000000"/>
      </left>
      <right style="double">
        <color auto="1"/>
      </right>
      <top style="double">
        <color indexed="64"/>
      </top>
      <bottom/>
      <diagonal/>
    </border>
    <border>
      <left style="double">
        <color indexed="64"/>
      </left>
      <right style="hair">
        <color rgb="FF000000"/>
      </right>
      <top style="double">
        <color indexed="64"/>
      </top>
      <bottom style="hair">
        <color rgb="FF000000"/>
      </bottom>
      <diagonal/>
    </border>
    <border>
      <left style="hair">
        <color rgb="FF000000"/>
      </left>
      <right style="double">
        <color rgb="FF000000"/>
      </right>
      <top style="double">
        <color indexed="64"/>
      </top>
      <bottom/>
      <diagonal/>
    </border>
    <border>
      <left style="hair">
        <color rgb="FF000000"/>
      </left>
      <right style="double">
        <color indexed="64"/>
      </right>
      <top style="double">
        <color rgb="FF000000"/>
      </top>
      <bottom/>
      <diagonal/>
    </border>
    <border>
      <left style="double">
        <color rgb="FF000000"/>
      </left>
      <right style="hair">
        <color rgb="FF000000"/>
      </right>
      <top/>
      <bottom/>
      <diagonal/>
    </border>
    <border>
      <left style="hair">
        <color rgb="FF000000"/>
      </left>
      <right style="double">
        <color indexed="64"/>
      </right>
      <top/>
      <bottom/>
      <diagonal/>
    </border>
    <border>
      <left style="double">
        <color rgb="FF000000"/>
      </left>
      <right style="hair">
        <color rgb="FF000000"/>
      </right>
      <top/>
      <bottom style="double">
        <color rgb="FF000000"/>
      </bottom>
      <diagonal/>
    </border>
    <border>
      <left style="thin">
        <color theme="0" tint="-0.24994659260841701"/>
      </left>
      <right style="hair">
        <color indexed="64"/>
      </right>
      <top style="double">
        <color indexed="64"/>
      </top>
      <bottom style="double">
        <color indexed="64"/>
      </bottom>
      <diagonal/>
    </border>
    <border>
      <left style="hair">
        <color rgb="FF000000"/>
      </left>
      <right style="hair">
        <color auto="1"/>
      </right>
      <top style="double">
        <color indexed="64"/>
      </top>
      <bottom style="double">
        <color rgb="FF000000"/>
      </bottom>
      <diagonal/>
    </border>
    <border>
      <left style="hair">
        <color rgb="FF000000"/>
      </left>
      <right style="hair">
        <color auto="1"/>
      </right>
      <top style="double">
        <color rgb="FF000000"/>
      </top>
      <bottom style="double">
        <color rgb="FF000000"/>
      </bottom>
      <diagonal/>
    </border>
    <border>
      <left style="double">
        <color rgb="FF000000"/>
      </left>
      <right style="hair">
        <color rgb="FF000000"/>
      </right>
      <top style="hair">
        <color rgb="FF000000"/>
      </top>
      <bottom/>
      <diagonal/>
    </border>
    <border>
      <left style="hair">
        <color rgb="FF000000"/>
      </left>
      <right style="double">
        <color rgb="FF000000"/>
      </right>
      <top style="hair">
        <color rgb="FF000000"/>
      </top>
      <bottom/>
      <diagonal/>
    </border>
    <border>
      <left style="double">
        <color indexed="64"/>
      </left>
      <right style="hair">
        <color indexed="64"/>
      </right>
      <top/>
      <bottom style="double">
        <color rgb="FF000000"/>
      </bottom>
      <diagonal/>
    </border>
    <border>
      <left style="double">
        <color indexed="64"/>
      </left>
      <right style="double">
        <color indexed="64"/>
      </right>
      <top style="hair">
        <color indexed="64"/>
      </top>
      <bottom style="double">
        <color rgb="FF000000"/>
      </bottom>
      <diagonal/>
    </border>
    <border>
      <left style="hair">
        <color rgb="FF000000"/>
      </left>
      <right style="hair">
        <color rgb="FF000000"/>
      </right>
      <top style="double">
        <color rgb="FF000000"/>
      </top>
      <bottom style="double">
        <color indexed="64"/>
      </bottom>
      <diagonal/>
    </border>
    <border>
      <left style="double">
        <color auto="1"/>
      </left>
      <right style="hair">
        <color auto="1"/>
      </right>
      <top style="double">
        <color rgb="FF000000"/>
      </top>
      <bottom style="double">
        <color auto="1"/>
      </bottom>
      <diagonal/>
    </border>
    <border>
      <left style="hair">
        <color auto="1"/>
      </left>
      <right style="double">
        <color indexed="64"/>
      </right>
      <top style="double">
        <color rgb="FF000000"/>
      </top>
      <bottom style="double">
        <color auto="1"/>
      </bottom>
      <diagonal/>
    </border>
    <border>
      <left style="hair">
        <color auto="1"/>
      </left>
      <right style="hair">
        <color auto="1"/>
      </right>
      <top style="double">
        <color rgb="FF000000"/>
      </top>
      <bottom style="double">
        <color indexed="64"/>
      </bottom>
      <diagonal/>
    </border>
    <border>
      <left style="hair">
        <color auto="1"/>
      </left>
      <right/>
      <top style="double">
        <color rgb="FF000000"/>
      </top>
      <bottom style="double">
        <color indexed="64"/>
      </bottom>
      <diagonal/>
    </border>
    <border>
      <left style="hair">
        <color rgb="FF000000"/>
      </left>
      <right style="double">
        <color rgb="FF000000"/>
      </right>
      <top style="double">
        <color rgb="FF000000"/>
      </top>
      <bottom style="double">
        <color indexed="64"/>
      </bottom>
      <diagonal/>
    </border>
    <border>
      <left style="double">
        <color indexed="64"/>
      </left>
      <right style="hair">
        <color indexed="64"/>
      </right>
      <top style="double">
        <color rgb="FF000000"/>
      </top>
      <bottom/>
      <diagonal/>
    </border>
    <border>
      <left style="hair">
        <color indexed="64"/>
      </left>
      <right style="double">
        <color auto="1"/>
      </right>
      <top/>
      <bottom style="hair">
        <color rgb="FF000000"/>
      </bottom>
      <diagonal/>
    </border>
    <border>
      <left style="double">
        <color rgb="FF000000"/>
      </left>
      <right style="hair">
        <color rgb="FF000000"/>
      </right>
      <top style="double">
        <color indexed="64"/>
      </top>
      <bottom style="hair">
        <color indexed="64"/>
      </bottom>
      <diagonal/>
    </border>
    <border>
      <left style="double">
        <color rgb="FF000000"/>
      </left>
      <right style="hair">
        <color rgb="FF000000"/>
      </right>
      <top style="hair">
        <color indexed="64"/>
      </top>
      <bottom style="hair">
        <color indexed="64"/>
      </bottom>
      <diagonal/>
    </border>
    <border>
      <left style="double">
        <color rgb="FF000000"/>
      </left>
      <right style="hair">
        <color rgb="FF000000"/>
      </right>
      <top style="hair">
        <color indexed="64"/>
      </top>
      <bottom style="double">
        <color indexed="64"/>
      </bottom>
      <diagonal/>
    </border>
    <border>
      <left/>
      <right style="hair">
        <color rgb="FF000000"/>
      </right>
      <top style="double">
        <color indexed="64"/>
      </top>
      <bottom style="hair">
        <color indexed="64"/>
      </bottom>
      <diagonal/>
    </border>
    <border>
      <left/>
      <right style="hair">
        <color indexed="64"/>
      </right>
      <top style="double">
        <color rgb="FF000000"/>
      </top>
      <bottom/>
      <diagonal/>
    </border>
    <border>
      <left style="hair">
        <color indexed="64"/>
      </left>
      <right style="hair">
        <color indexed="64"/>
      </right>
      <top style="double">
        <color rgb="FF000000"/>
      </top>
      <bottom/>
      <diagonal/>
    </border>
    <border>
      <left/>
      <right style="hair">
        <color indexed="64"/>
      </right>
      <top/>
      <bottom style="double">
        <color rgb="FF000000"/>
      </bottom>
      <diagonal/>
    </border>
    <border>
      <left style="hair">
        <color indexed="64"/>
      </left>
      <right/>
      <top style="double">
        <color rgb="FF000000"/>
      </top>
      <bottom/>
      <diagonal/>
    </border>
    <border>
      <left/>
      <right/>
      <top style="hair">
        <color auto="1"/>
      </top>
      <bottom style="double">
        <color rgb="FF000000"/>
      </bottom>
      <diagonal/>
    </border>
    <border>
      <left style="hair">
        <color indexed="64"/>
      </left>
      <right/>
      <top style="hair">
        <color indexed="64"/>
      </top>
      <bottom style="double">
        <color rgb="FF000000"/>
      </bottom>
      <diagonal/>
    </border>
    <border>
      <left style="hair">
        <color rgb="FF000000"/>
      </left>
      <right style="double">
        <color indexed="64"/>
      </right>
      <top style="hair">
        <color indexed="64"/>
      </top>
      <bottom style="double">
        <color indexed="64"/>
      </bottom>
      <diagonal/>
    </border>
    <border>
      <left style="hair">
        <color rgb="FF000000"/>
      </left>
      <right style="hair">
        <color indexed="64"/>
      </right>
      <top style="double">
        <color indexed="64"/>
      </top>
      <bottom style="hair">
        <color indexed="64"/>
      </bottom>
      <diagonal/>
    </border>
    <border>
      <left style="double">
        <color rgb="FF000000"/>
      </left>
      <right style="double">
        <color auto="1"/>
      </right>
      <top style="hair">
        <color indexed="64"/>
      </top>
      <bottom style="double">
        <color indexed="64"/>
      </bottom>
      <diagonal/>
    </border>
    <border>
      <left/>
      <right style="hair">
        <color indexed="64"/>
      </right>
      <top style="double">
        <color indexed="64"/>
      </top>
      <bottom style="double">
        <color rgb="FF000000"/>
      </bottom>
      <diagonal/>
    </border>
    <border>
      <left style="double">
        <color rgb="FF000000"/>
      </left>
      <right/>
      <top style="double">
        <color theme="1"/>
      </top>
      <bottom style="double">
        <color indexed="64"/>
      </bottom>
      <diagonal/>
    </border>
    <border>
      <left style="double">
        <color rgb="FF000000"/>
      </left>
      <right/>
      <top style="thin">
        <color theme="0" tint="-0.24994659260841701"/>
      </top>
      <bottom style="double">
        <color rgb="FF000000"/>
      </bottom>
      <diagonal/>
    </border>
    <border>
      <left style="double">
        <color rgb="FF000000"/>
      </left>
      <right/>
      <top style="thin">
        <color theme="0" tint="-0.24994659260841701"/>
      </top>
      <bottom style="double">
        <color theme="1"/>
      </bottom>
      <diagonal/>
    </border>
    <border>
      <left style="double">
        <color rgb="FF000000"/>
      </left>
      <right style="hair">
        <color rgb="FF000000"/>
      </right>
      <top style="double">
        <color indexed="64"/>
      </top>
      <bottom/>
      <diagonal/>
    </border>
    <border>
      <left style="hair">
        <color rgb="FF000000"/>
      </left>
      <right/>
      <top style="double">
        <color indexed="64"/>
      </top>
      <bottom/>
      <diagonal/>
    </border>
    <border>
      <left style="thin">
        <color rgb="FF000000"/>
      </left>
      <right style="thin">
        <color rgb="FF000000"/>
      </right>
      <top style="double">
        <color rgb="FF000000"/>
      </top>
      <bottom style="double">
        <color rgb="FF000000"/>
      </bottom>
      <diagonal/>
    </border>
    <border>
      <left style="hair">
        <color auto="1"/>
      </left>
      <right/>
      <top style="hair">
        <color rgb="FF000000"/>
      </top>
      <bottom style="hair">
        <color rgb="FF000000"/>
      </bottom>
      <diagonal/>
    </border>
    <border>
      <left style="hair">
        <color indexed="64"/>
      </left>
      <right/>
      <top style="hair">
        <color rgb="FF000000"/>
      </top>
      <bottom style="double">
        <color rgb="FF000000"/>
      </bottom>
      <diagonal/>
    </border>
    <border>
      <left style="double">
        <color rgb="FF000000"/>
      </left>
      <right style="hair">
        <color rgb="FF000000"/>
      </right>
      <top style="double">
        <color auto="1"/>
      </top>
      <bottom style="double">
        <color indexed="64"/>
      </bottom>
      <diagonal/>
    </border>
    <border>
      <left style="thin">
        <color theme="0" tint="-0.24994659260841701"/>
      </left>
      <right style="hair">
        <color theme="0" tint="-0.24994659260841701"/>
      </right>
      <top style="double">
        <color rgb="FF000000"/>
      </top>
      <bottom style="double">
        <color rgb="FF000000"/>
      </bottom>
      <diagonal/>
    </border>
    <border>
      <left style="hair">
        <color theme="0" tint="-0.24994659260841701"/>
      </left>
      <right style="double">
        <color rgb="FF000000"/>
      </right>
      <top style="double">
        <color rgb="FF000000"/>
      </top>
      <bottom style="double">
        <color rgb="FF000000"/>
      </bottom>
      <diagonal/>
    </border>
    <border>
      <left/>
      <right style="double">
        <color indexed="64"/>
      </right>
      <top style="double">
        <color auto="1"/>
      </top>
      <bottom style="double">
        <color rgb="FF000000"/>
      </bottom>
      <diagonal/>
    </border>
    <border>
      <left style="double">
        <color rgb="FF000000"/>
      </left>
      <right style="double">
        <color rgb="FF000000"/>
      </right>
      <top style="double">
        <color indexed="64"/>
      </top>
      <bottom style="double">
        <color indexed="64"/>
      </bottom>
      <diagonal/>
    </border>
    <border>
      <left style="double">
        <color indexed="64"/>
      </left>
      <right style="thin">
        <color rgb="FF000000"/>
      </right>
      <top style="hair">
        <color indexed="64"/>
      </top>
      <bottom/>
      <diagonal/>
    </border>
    <border>
      <left style="hair">
        <color indexed="64"/>
      </left>
      <right style="double">
        <color indexed="64"/>
      </right>
      <top style="double">
        <color rgb="FF000000"/>
      </top>
      <bottom/>
      <diagonal/>
    </border>
    <border>
      <left style="hair">
        <color indexed="64"/>
      </left>
      <right style="double">
        <color indexed="64"/>
      </right>
      <top/>
      <bottom style="double">
        <color rgb="FF000000"/>
      </bottom>
      <diagonal/>
    </border>
    <border>
      <left style="double">
        <color indexed="64"/>
      </left>
      <right/>
      <top style="double">
        <color rgb="FF000000"/>
      </top>
      <bottom style="double">
        <color rgb="FF000000"/>
      </bottom>
      <diagonal/>
    </border>
    <border>
      <left style="hair">
        <color indexed="64"/>
      </left>
      <right/>
      <top style="double">
        <color rgb="FF000000"/>
      </top>
      <bottom style="double">
        <color rgb="FF000000"/>
      </bottom>
      <diagonal/>
    </border>
    <border>
      <left style="double">
        <color rgb="FF000000"/>
      </left>
      <right style="double">
        <color rgb="FF000000"/>
      </right>
      <top style="double">
        <color indexed="64"/>
      </top>
      <bottom style="double">
        <color rgb="FF000000"/>
      </bottom>
      <diagonal/>
    </border>
    <border>
      <left style="double">
        <color auto="1"/>
      </left>
      <right style="double">
        <color auto="1"/>
      </right>
      <top style="hair">
        <color rgb="FF000000"/>
      </top>
      <bottom style="double">
        <color auto="1"/>
      </bottom>
      <diagonal/>
    </border>
    <border>
      <left style="double">
        <color indexed="64"/>
      </left>
      <right style="double">
        <color indexed="64"/>
      </right>
      <top style="hair">
        <color rgb="FF000000"/>
      </top>
      <bottom/>
      <diagonal/>
    </border>
    <border>
      <left style="double">
        <color indexed="64"/>
      </left>
      <right style="double">
        <color indexed="64"/>
      </right>
      <top style="double">
        <color indexed="64"/>
      </top>
      <bottom style="thin">
        <color rgb="FF000000"/>
      </bottom>
      <diagonal/>
    </border>
    <border>
      <left style="double">
        <color auto="1"/>
      </left>
      <right style="double">
        <color rgb="FF000000"/>
      </right>
      <top style="double">
        <color auto="1"/>
      </top>
      <bottom/>
      <diagonal/>
    </border>
    <border>
      <left style="double">
        <color indexed="64"/>
      </left>
      <right style="double">
        <color indexed="64"/>
      </right>
      <top/>
      <bottom style="thin">
        <color indexed="64"/>
      </bottom>
      <diagonal/>
    </border>
    <border>
      <left style="hair">
        <color indexed="64"/>
      </left>
      <right style="double">
        <color rgb="FF000000"/>
      </right>
      <top style="double">
        <color indexed="64"/>
      </top>
      <bottom style="hair">
        <color indexed="64"/>
      </bottom>
      <diagonal/>
    </border>
    <border>
      <left/>
      <right/>
      <top style="thin">
        <color rgb="FF000000"/>
      </top>
      <bottom style="double">
        <color indexed="64"/>
      </bottom>
      <diagonal/>
    </border>
    <border>
      <left style="double">
        <color indexed="64"/>
      </left>
      <right style="double">
        <color indexed="64"/>
      </right>
      <top/>
      <bottom style="thin">
        <color rgb="FF000000"/>
      </bottom>
      <diagonal/>
    </border>
    <border>
      <left style="double">
        <color indexed="64"/>
      </left>
      <right style="double">
        <color indexed="64"/>
      </right>
      <top style="thin">
        <color rgb="FF000000"/>
      </top>
      <bottom style="hair">
        <color indexed="64"/>
      </bottom>
      <diagonal/>
    </border>
    <border>
      <left/>
      <right style="double">
        <color rgb="FF000000"/>
      </right>
      <top style="double">
        <color rgb="FF000000"/>
      </top>
      <bottom/>
      <diagonal/>
    </border>
    <border>
      <left/>
      <right style="double">
        <color rgb="FF000000"/>
      </right>
      <top/>
      <bottom style="double">
        <color indexed="64"/>
      </bottom>
      <diagonal/>
    </border>
    <border>
      <left style="thin">
        <color rgb="FF000000"/>
      </left>
      <right style="hair">
        <color rgb="FF000000"/>
      </right>
      <top style="hair">
        <color rgb="FF000000"/>
      </top>
      <bottom style="double">
        <color indexed="64"/>
      </bottom>
      <diagonal/>
    </border>
    <border>
      <left style="thin">
        <color rgb="FF000000"/>
      </left>
      <right style="thin">
        <color rgb="FF000000"/>
      </right>
      <top style="double">
        <color indexed="64"/>
      </top>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indexed="64"/>
      </right>
      <top style="hair">
        <color rgb="FF000000"/>
      </top>
      <bottom style="double">
        <color indexed="64"/>
      </bottom>
      <diagonal/>
    </border>
    <border>
      <left style="hair">
        <color indexed="64"/>
      </left>
      <right style="hair">
        <color rgb="FF000000"/>
      </right>
      <top style="hair">
        <color indexed="64"/>
      </top>
      <bottom/>
      <diagonal/>
    </border>
    <border>
      <left style="hair">
        <color rgb="FF000000"/>
      </left>
      <right style="hair">
        <color indexed="64"/>
      </right>
      <top style="hair">
        <color indexed="64"/>
      </top>
      <bottom/>
      <diagonal/>
    </border>
    <border>
      <left style="double">
        <color rgb="FF000000"/>
      </left>
      <right style="double">
        <color indexed="64"/>
      </right>
      <top style="double">
        <color rgb="FF000000"/>
      </top>
      <bottom style="double">
        <color indexed="64"/>
      </bottom>
      <diagonal/>
    </border>
    <border>
      <left style="double">
        <color rgb="FF000000"/>
      </left>
      <right style="double">
        <color rgb="FF000000"/>
      </right>
      <top style="double">
        <color rgb="FF000000"/>
      </top>
      <bottom style="double">
        <color indexed="64"/>
      </bottom>
      <diagonal/>
    </border>
    <border>
      <left style="thin">
        <color rgb="FF000000"/>
      </left>
      <right/>
      <top/>
      <bottom style="double">
        <color rgb="FF000000"/>
      </bottom>
      <diagonal/>
    </border>
    <border>
      <left style="double">
        <color rgb="FF000000"/>
      </left>
      <right style="double">
        <color indexed="64"/>
      </right>
      <top style="double">
        <color rgb="FF000000"/>
      </top>
      <bottom style="double">
        <color rgb="FF000000"/>
      </bottom>
      <diagonal/>
    </border>
    <border>
      <left style="hair">
        <color indexed="64"/>
      </left>
      <right style="thin">
        <color rgb="FF000000"/>
      </right>
      <top style="double">
        <color indexed="64"/>
      </top>
      <bottom style="double">
        <color indexed="64"/>
      </bottom>
      <diagonal/>
    </border>
    <border>
      <left style="double">
        <color auto="1"/>
      </left>
      <right style="double">
        <color rgb="FF000000"/>
      </right>
      <top style="double">
        <color indexed="64"/>
      </top>
      <bottom style="double">
        <color indexed="64"/>
      </bottom>
      <diagonal/>
    </border>
    <border>
      <left style="hair">
        <color auto="1"/>
      </left>
      <right/>
      <top style="hair">
        <color indexed="64"/>
      </top>
      <bottom style="hair">
        <color rgb="FF000000"/>
      </bottom>
      <diagonal/>
    </border>
    <border>
      <left style="hair">
        <color indexed="64"/>
      </left>
      <right style="hair">
        <color auto="1"/>
      </right>
      <top style="double">
        <color indexed="64"/>
      </top>
      <bottom style="thin">
        <color rgb="FF000000"/>
      </bottom>
      <diagonal/>
    </border>
    <border>
      <left style="hair">
        <color indexed="64"/>
      </left>
      <right style="double">
        <color indexed="64"/>
      </right>
      <top style="thin">
        <color theme="0" tint="-0.14996795556505021"/>
      </top>
      <bottom style="thin">
        <color theme="0" tint="-0.14996795556505021"/>
      </bottom>
      <diagonal/>
    </border>
    <border>
      <left style="thin">
        <color theme="0" tint="-0.24994659260841701"/>
      </left>
      <right style="double">
        <color indexed="64"/>
      </right>
      <top style="hair">
        <color indexed="64"/>
      </top>
      <bottom style="hair">
        <color indexed="64"/>
      </bottom>
      <diagonal/>
    </border>
    <border>
      <left style="thin">
        <color theme="0" tint="-0.24994659260841701"/>
      </left>
      <right style="double">
        <color indexed="64"/>
      </right>
      <top style="hair">
        <color indexed="64"/>
      </top>
      <bottom style="double">
        <color indexed="64"/>
      </bottom>
      <diagonal/>
    </border>
    <border>
      <left style="thin">
        <color theme="0" tint="-0.24994659260841701"/>
      </left>
      <right style="double">
        <color indexed="64"/>
      </right>
      <top style="hair">
        <color indexed="64"/>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hair">
        <color auto="1"/>
      </left>
      <right style="hair">
        <color rgb="FF000000"/>
      </right>
      <top style="double">
        <color auto="1"/>
      </top>
      <bottom style="hair">
        <color rgb="FF000000"/>
      </bottom>
      <diagonal/>
    </border>
    <border>
      <left style="double">
        <color rgb="FF000000"/>
      </left>
      <right style="double">
        <color rgb="FF000000"/>
      </right>
      <top style="hair">
        <color rgb="FF000000"/>
      </top>
      <bottom/>
      <diagonal/>
    </border>
    <border>
      <left style="hair">
        <color indexed="64"/>
      </left>
      <right style="double">
        <color rgb="FF000000"/>
      </right>
      <top style="hair">
        <color rgb="FF000000"/>
      </top>
      <bottom/>
      <diagonal/>
    </border>
    <border>
      <left style="hair">
        <color indexed="64"/>
      </left>
      <right/>
      <top style="double">
        <color indexed="64"/>
      </top>
      <bottom style="thin">
        <color rgb="FF000000"/>
      </bottom>
      <diagonal/>
    </border>
    <border>
      <left/>
      <right style="thin">
        <color rgb="FF000000"/>
      </right>
      <top style="double">
        <color indexed="64"/>
      </top>
      <bottom style="thin">
        <color rgb="FF000000"/>
      </bottom>
      <diagonal/>
    </border>
    <border>
      <left style="hair">
        <color indexed="64"/>
      </left>
      <right style="double">
        <color indexed="64"/>
      </right>
      <top/>
      <bottom style="thin">
        <color rgb="FF000000"/>
      </bottom>
      <diagonal/>
    </border>
    <border>
      <left style="hair">
        <color indexed="64"/>
      </left>
      <right style="double">
        <color indexed="64"/>
      </right>
      <top style="hair">
        <color rgb="FF000000"/>
      </top>
      <bottom/>
      <diagonal/>
    </border>
    <border>
      <left/>
      <right style="thin">
        <color rgb="FF000000"/>
      </right>
      <top style="double">
        <color auto="1"/>
      </top>
      <bottom style="thin">
        <color indexed="64"/>
      </bottom>
      <diagonal/>
    </border>
    <border>
      <left style="hair">
        <color indexed="64"/>
      </left>
      <right/>
      <top style="hair">
        <color rgb="FF000000"/>
      </top>
      <bottom/>
      <diagonal/>
    </border>
    <border>
      <left/>
      <right style="double">
        <color indexed="64"/>
      </right>
      <top style="double">
        <color rgb="FF000000"/>
      </top>
      <bottom style="double">
        <color indexed="64"/>
      </bottom>
      <diagonal/>
    </border>
    <border>
      <left style="double">
        <color indexed="64"/>
      </left>
      <right/>
      <top style="double">
        <color rgb="FF000000"/>
      </top>
      <bottom style="double">
        <color indexed="64"/>
      </bottom>
      <diagonal/>
    </border>
    <border>
      <left style="thin">
        <color indexed="64"/>
      </left>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indexed="64"/>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thin">
        <color rgb="FF000000"/>
      </left>
      <right style="hair">
        <color rgb="FF000000"/>
      </right>
      <top/>
      <bottom style="hair">
        <color rgb="FF000000"/>
      </bottom>
      <diagonal/>
    </border>
    <border>
      <left style="thin">
        <color rgb="FF000000"/>
      </left>
      <right style="thin">
        <color rgb="FF000000"/>
      </right>
      <top style="double">
        <color indexed="64"/>
      </top>
      <bottom style="thin">
        <color indexed="64"/>
      </bottom>
      <diagonal/>
    </border>
    <border>
      <left style="thin">
        <color rgb="FF000000"/>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rgb="FF000000"/>
      </left>
      <right style="thin">
        <color rgb="FF000000"/>
      </right>
      <top style="double">
        <color rgb="FF000000"/>
      </top>
      <bottom style="thin">
        <color indexed="64"/>
      </bottom>
      <diagonal/>
    </border>
    <border>
      <left style="thin">
        <color rgb="FF000000"/>
      </left>
      <right/>
      <top style="double">
        <color rgb="FF000000"/>
      </top>
      <bottom style="thin">
        <color indexed="64"/>
      </bottom>
      <diagonal/>
    </border>
    <border>
      <left style="hair">
        <color indexed="64"/>
      </left>
      <right style="double">
        <color auto="1"/>
      </right>
      <top style="double">
        <color rgb="FF000000"/>
      </top>
      <bottom style="thin">
        <color indexed="64"/>
      </bottom>
      <diagonal/>
    </border>
    <border>
      <left style="hair">
        <color auto="1"/>
      </left>
      <right/>
      <top/>
      <bottom style="hair">
        <color rgb="FF000000"/>
      </bottom>
      <diagonal/>
    </border>
    <border>
      <left style="hair">
        <color auto="1"/>
      </left>
      <right style="hair">
        <color auto="1"/>
      </right>
      <top style="thin">
        <color indexed="64"/>
      </top>
      <bottom style="hair">
        <color auto="1"/>
      </bottom>
      <diagonal/>
    </border>
    <border>
      <left style="hair">
        <color auto="1"/>
      </left>
      <right style="double">
        <color indexed="64"/>
      </right>
      <top style="thin">
        <color indexed="64"/>
      </top>
      <bottom style="hair">
        <color auto="1"/>
      </bottom>
      <diagonal/>
    </border>
    <border>
      <left style="double">
        <color indexed="64"/>
      </left>
      <right style="double">
        <color indexed="64"/>
      </right>
      <top style="thin">
        <color indexed="64"/>
      </top>
      <bottom style="hair">
        <color auto="1"/>
      </bottom>
      <diagonal/>
    </border>
    <border>
      <left style="hair">
        <color indexed="64"/>
      </left>
      <right style="double">
        <color indexed="64"/>
      </right>
      <top style="thin">
        <color indexed="64"/>
      </top>
      <bottom style="hair">
        <color rgb="FF000000"/>
      </bottom>
      <diagonal/>
    </border>
    <border>
      <left style="hair">
        <color indexed="64"/>
      </left>
      <right style="double">
        <color indexed="64"/>
      </right>
      <top/>
      <bottom style="thin">
        <color indexed="64"/>
      </bottom>
      <diagonal/>
    </border>
    <border>
      <left style="hair">
        <color indexed="64"/>
      </left>
      <right style="double">
        <color auto="1"/>
      </right>
      <top style="hair">
        <color indexed="64"/>
      </top>
      <bottom style="thin">
        <color indexed="64"/>
      </bottom>
      <diagonal/>
    </border>
    <border>
      <left style="hair">
        <color rgb="FF000000"/>
      </left>
      <right style="double">
        <color indexed="64"/>
      </right>
      <top style="thin">
        <color indexed="64"/>
      </top>
      <bottom style="hair">
        <color rgb="FF000000"/>
      </bottom>
      <diagonal/>
    </border>
    <border>
      <left style="thin">
        <color rgb="FF000000"/>
      </left>
      <right style="double">
        <color auto="1"/>
      </right>
      <top style="double">
        <color auto="1"/>
      </top>
      <bottom/>
      <diagonal/>
    </border>
    <border>
      <left style="double">
        <color indexed="64"/>
      </left>
      <right style="thin">
        <color rgb="FF000000"/>
      </right>
      <top/>
      <bottom style="double">
        <color indexed="64"/>
      </bottom>
      <diagonal/>
    </border>
    <border>
      <left style="hair">
        <color rgb="FF000000"/>
      </left>
      <right style="double">
        <color indexed="64"/>
      </right>
      <top style="double">
        <color rgb="FF000000"/>
      </top>
      <bottom style="double">
        <color indexed="64"/>
      </bottom>
      <diagonal/>
    </border>
    <border>
      <left style="hair">
        <color indexed="64"/>
      </left>
      <right style="double">
        <color rgb="FF000000"/>
      </right>
      <top style="double">
        <color indexed="64"/>
      </top>
      <bottom/>
      <diagonal/>
    </border>
    <border>
      <left style="hair">
        <color indexed="64"/>
      </left>
      <right style="double">
        <color rgb="FF000000"/>
      </right>
      <top style="thin">
        <color indexed="64"/>
      </top>
      <bottom style="hair">
        <color indexed="64"/>
      </bottom>
      <diagonal/>
    </border>
    <border>
      <left style="double">
        <color indexed="64"/>
      </left>
      <right style="hair">
        <color auto="1"/>
      </right>
      <top style="double">
        <color indexed="64"/>
      </top>
      <bottom style="thin">
        <color indexed="64"/>
      </bottom>
      <diagonal/>
    </border>
    <border>
      <left/>
      <right style="hair">
        <color auto="1"/>
      </right>
      <top style="double">
        <color indexed="64"/>
      </top>
      <bottom style="thin">
        <color indexed="64"/>
      </bottom>
      <diagonal/>
    </border>
    <border>
      <left style="hair">
        <color indexed="64"/>
      </left>
      <right style="double">
        <color rgb="FF000000"/>
      </right>
      <top style="double">
        <color indexed="64"/>
      </top>
      <bottom style="thin">
        <color indexed="64"/>
      </bottom>
      <diagonal/>
    </border>
    <border>
      <left style="hair">
        <color auto="1"/>
      </left>
      <right style="hair">
        <color auto="1"/>
      </right>
      <top/>
      <bottom style="thin">
        <color indexed="64"/>
      </bottom>
      <diagonal/>
    </border>
    <border>
      <left style="hair">
        <color auto="1"/>
      </left>
      <right style="hair">
        <color auto="1"/>
      </right>
      <top style="hair">
        <color auto="1"/>
      </top>
      <bottom style="thin">
        <color indexed="64"/>
      </bottom>
      <diagonal/>
    </border>
    <border>
      <left/>
      <right style="double">
        <color indexed="64"/>
      </right>
      <top style="double">
        <color indexed="64"/>
      </top>
      <bottom style="thin">
        <color indexed="64"/>
      </bottom>
      <diagonal/>
    </border>
    <border>
      <left/>
      <right style="double">
        <color rgb="FF000000"/>
      </right>
      <top style="thin">
        <color indexed="64"/>
      </top>
      <bottom style="hair">
        <color auto="1"/>
      </bottom>
      <diagonal/>
    </border>
    <border>
      <left style="double">
        <color indexed="64"/>
      </left>
      <right style="thin">
        <color indexed="64"/>
      </right>
      <top style="thin">
        <color indexed="64"/>
      </top>
      <bottom/>
      <diagonal/>
    </border>
    <border>
      <left style="double">
        <color indexed="64"/>
      </left>
      <right style="hair">
        <color auto="1"/>
      </right>
      <top style="thin">
        <color indexed="64"/>
      </top>
      <bottom style="hair">
        <color auto="1"/>
      </bottom>
      <diagonal/>
    </border>
    <border>
      <left style="double">
        <color rgb="FF000000"/>
      </left>
      <right style="hair">
        <color rgb="FF000000"/>
      </right>
      <top style="double">
        <color rgb="FF000000"/>
      </top>
      <bottom style="double">
        <color indexed="64"/>
      </bottom>
      <diagonal/>
    </border>
    <border>
      <left style="hair">
        <color rgb="FF000000"/>
      </left>
      <right/>
      <top style="double">
        <color rgb="FF000000"/>
      </top>
      <bottom style="double">
        <color indexed="64"/>
      </bottom>
      <diagonal/>
    </border>
    <border>
      <left style="hair">
        <color rgb="FF000000"/>
      </left>
      <right style="double">
        <color rgb="FF000000"/>
      </right>
      <top style="double">
        <color rgb="FF000000"/>
      </top>
      <bottom/>
      <diagonal/>
    </border>
    <border>
      <left style="double">
        <color rgb="FF000000"/>
      </left>
      <right style="double">
        <color auto="1"/>
      </right>
      <top style="double">
        <color indexed="64"/>
      </top>
      <bottom style="hair">
        <color rgb="FF000000"/>
      </bottom>
      <diagonal/>
    </border>
    <border>
      <left style="double">
        <color rgb="FF000000"/>
      </left>
      <right style="double">
        <color indexed="64"/>
      </right>
      <top style="double">
        <color indexed="64"/>
      </top>
      <bottom style="double">
        <color rgb="FF000000"/>
      </bottom>
      <diagonal/>
    </border>
    <border>
      <left style="hair">
        <color indexed="64"/>
      </left>
      <right style="hair">
        <color indexed="64"/>
      </right>
      <top style="double">
        <color rgb="FF000000"/>
      </top>
      <bottom style="thin">
        <color indexed="64"/>
      </bottom>
      <diagonal/>
    </border>
    <border>
      <left style="hair">
        <color auto="1"/>
      </left>
      <right/>
      <top style="hair">
        <color auto="1"/>
      </top>
      <bottom style="thin">
        <color indexed="64"/>
      </bottom>
      <diagonal/>
    </border>
    <border>
      <left style="hair">
        <color auto="1"/>
      </left>
      <right/>
      <top/>
      <bottom style="thin">
        <color indexed="64"/>
      </bottom>
      <diagonal/>
    </border>
    <border>
      <left style="double">
        <color auto="1"/>
      </left>
      <right style="double">
        <color indexed="64"/>
      </right>
      <top style="double">
        <color rgb="FF000000"/>
      </top>
      <bottom style="thin">
        <color indexed="64"/>
      </bottom>
      <diagonal/>
    </border>
    <border>
      <left style="double">
        <color indexed="64"/>
      </left>
      <right style="double">
        <color rgb="FF000000"/>
      </right>
      <top style="double">
        <color indexed="64"/>
      </top>
      <bottom style="thin">
        <color indexed="64"/>
      </bottom>
      <diagonal/>
    </border>
    <border>
      <left style="double">
        <color indexed="64"/>
      </left>
      <right style="double">
        <color rgb="FF000000"/>
      </right>
      <top/>
      <bottom style="double">
        <color indexed="64"/>
      </bottom>
      <diagonal/>
    </border>
    <border>
      <left style="double">
        <color rgb="FF000000"/>
      </left>
      <right style="hair">
        <color rgb="FF000000"/>
      </right>
      <top/>
      <bottom style="double">
        <color indexed="64"/>
      </bottom>
      <diagonal/>
    </border>
    <border>
      <left style="double">
        <color indexed="64"/>
      </left>
      <right style="double">
        <color indexed="64"/>
      </right>
      <top style="thin">
        <color indexed="64"/>
      </top>
      <bottom style="thin">
        <color rgb="FF000000"/>
      </bottom>
      <diagonal/>
    </border>
    <border>
      <left style="hair">
        <color auto="1"/>
      </left>
      <right style="double">
        <color auto="1"/>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double">
        <color auto="1"/>
      </left>
      <right style="double">
        <color rgb="FF000000"/>
      </right>
      <top/>
      <bottom/>
      <diagonal/>
    </border>
    <border>
      <left style="hair">
        <color auto="1"/>
      </left>
      <right style="double">
        <color indexed="64"/>
      </right>
      <top style="double">
        <color indexed="64"/>
      </top>
      <bottom style="thin">
        <color theme="0" tint="-0.24994659260841701"/>
      </bottom>
      <diagonal/>
    </border>
    <border>
      <left style="hair">
        <color auto="1"/>
      </left>
      <right/>
      <top style="thin">
        <color indexed="64"/>
      </top>
      <bottom style="hair">
        <color auto="1"/>
      </bottom>
      <diagonal/>
    </border>
    <border>
      <left style="hair">
        <color rgb="FF000000"/>
      </left>
      <right style="double">
        <color indexed="64"/>
      </right>
      <top style="double">
        <color rgb="FF000000"/>
      </top>
      <bottom style="thin">
        <color indexed="64"/>
      </bottom>
      <diagonal/>
    </border>
    <border>
      <left style="hair">
        <color auto="1"/>
      </left>
      <right style="hair">
        <color indexed="64"/>
      </right>
      <top style="thin">
        <color indexed="64"/>
      </top>
      <bottom style="hair">
        <color rgb="FF000000"/>
      </bottom>
      <diagonal/>
    </border>
    <border>
      <left style="thin">
        <color rgb="FF000000"/>
      </left>
      <right style="thin">
        <color auto="1"/>
      </right>
      <top style="double">
        <color indexed="64"/>
      </top>
      <bottom style="double">
        <color indexed="64"/>
      </bottom>
      <diagonal/>
    </border>
    <border>
      <left style="thin">
        <color rgb="FF000000"/>
      </left>
      <right style="hair">
        <color auto="1"/>
      </right>
      <top style="double">
        <color indexed="64"/>
      </top>
      <bottom style="thin">
        <color rgb="FF000000"/>
      </bottom>
      <diagonal/>
    </border>
    <border>
      <left style="thin">
        <color theme="0" tint="-0.34998626667073579"/>
      </left>
      <right/>
      <top style="double">
        <color rgb="FF000000"/>
      </top>
      <bottom/>
      <diagonal/>
    </border>
    <border>
      <left style="thin">
        <color indexed="64"/>
      </left>
      <right style="thin">
        <color indexed="64"/>
      </right>
      <top/>
      <bottom style="double">
        <color indexed="64"/>
      </bottom>
      <diagonal/>
    </border>
    <border>
      <left style="hair">
        <color indexed="64"/>
      </left>
      <right/>
      <top style="thin">
        <color rgb="FF000000"/>
      </top>
      <bottom style="double">
        <color indexed="64"/>
      </bottom>
      <diagonal/>
    </border>
    <border>
      <left style="thin">
        <color rgb="FF000000"/>
      </left>
      <right style="hair">
        <color auto="1"/>
      </right>
      <top style="thin">
        <color rgb="FF000000"/>
      </top>
      <bottom style="double">
        <color indexed="64"/>
      </bottom>
      <diagonal/>
    </border>
    <border>
      <left style="thin">
        <color indexed="64"/>
      </left>
      <right/>
      <top/>
      <bottom style="double">
        <color indexed="64"/>
      </bottom>
      <diagonal/>
    </border>
    <border>
      <left style="thin">
        <color indexed="64"/>
      </left>
      <right style="hair">
        <color indexed="64"/>
      </right>
      <top style="thin">
        <color indexed="64"/>
      </top>
      <bottom style="thin">
        <color indexed="64"/>
      </bottom>
      <diagonal/>
    </border>
    <border>
      <left style="double">
        <color rgb="FF000000"/>
      </left>
      <right/>
      <top style="double">
        <color rgb="FF000000"/>
      </top>
      <bottom style="double">
        <color indexed="64"/>
      </bottom>
      <diagonal/>
    </border>
    <border>
      <left style="hair">
        <color rgb="FF000000"/>
      </left>
      <right style="double">
        <color indexed="64"/>
      </right>
      <top/>
      <bottom style="double">
        <color indexed="64"/>
      </bottom>
      <diagonal/>
    </border>
    <border>
      <left style="hair">
        <color indexed="64"/>
      </left>
      <right style="double">
        <color auto="1"/>
      </right>
      <top style="double">
        <color indexed="64"/>
      </top>
      <bottom style="hair">
        <color rgb="FF000000"/>
      </bottom>
      <diagonal/>
    </border>
    <border>
      <left style="hair">
        <color rgb="FF000000"/>
      </left>
      <right style="double">
        <color auto="1"/>
      </right>
      <top/>
      <bottom style="thin">
        <color indexed="64"/>
      </bottom>
      <diagonal/>
    </border>
    <border>
      <left style="hair">
        <color rgb="FF000000"/>
      </left>
      <right style="hair">
        <color rgb="FF000000"/>
      </right>
      <top style="double">
        <color indexed="64"/>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hair">
        <color rgb="FF000000"/>
      </right>
      <top/>
      <bottom style="thin">
        <color indexed="64"/>
      </bottom>
      <diagonal/>
    </border>
    <border>
      <left style="hair">
        <color indexed="64"/>
      </left>
      <right/>
      <top style="double">
        <color rgb="FF000000"/>
      </top>
      <bottom style="thin">
        <color indexed="64"/>
      </bottom>
      <diagonal/>
    </border>
    <border>
      <left style="hair">
        <color rgb="FF000000"/>
      </left>
      <right style="hair">
        <color rgb="FF000000"/>
      </right>
      <top style="double">
        <color rgb="FF000000"/>
      </top>
      <bottom style="thin">
        <color indexed="64"/>
      </bottom>
      <diagonal/>
    </border>
    <border>
      <left style="hair">
        <color indexed="64"/>
      </left>
      <right style="hair">
        <color rgb="FF000000"/>
      </right>
      <top style="double">
        <color auto="1"/>
      </top>
      <bottom style="thin">
        <color indexed="64"/>
      </bottom>
      <diagonal/>
    </border>
    <border>
      <left style="hair">
        <color indexed="64"/>
      </left>
      <right style="hair">
        <color rgb="FF000000"/>
      </right>
      <top style="double">
        <color rgb="FF000000"/>
      </top>
      <bottom style="double">
        <color indexed="64"/>
      </bottom>
      <diagonal/>
    </border>
    <border>
      <left/>
      <right style="hair">
        <color auto="1"/>
      </right>
      <top style="hair">
        <color auto="1"/>
      </top>
      <bottom style="thin">
        <color indexed="64"/>
      </bottom>
      <diagonal/>
    </border>
    <border>
      <left style="double">
        <color rgb="FF000000"/>
      </left>
      <right style="hair">
        <color rgb="FF000000"/>
      </right>
      <top style="hair">
        <color indexed="64"/>
      </top>
      <bottom style="hair">
        <color rgb="FF000000"/>
      </bottom>
      <diagonal/>
    </border>
    <border>
      <left style="hair">
        <color rgb="FF000000"/>
      </left>
      <right/>
      <top style="double">
        <color rgb="FF000000"/>
      </top>
      <bottom style="thin">
        <color indexed="64"/>
      </bottom>
      <diagonal/>
    </border>
    <border>
      <left style="hair">
        <color rgb="FF000000"/>
      </left>
      <right style="double">
        <color indexed="64"/>
      </right>
      <top style="double">
        <color indexed="64"/>
      </top>
      <bottom style="thin">
        <color indexed="64"/>
      </bottom>
      <diagonal/>
    </border>
    <border>
      <left style="hair">
        <color rgb="FF000000"/>
      </left>
      <right style="double">
        <color indexed="64"/>
      </right>
      <top style="hair">
        <color rgb="FF000000"/>
      </top>
      <bottom style="thin">
        <color indexed="64"/>
      </bottom>
      <diagonal/>
    </border>
    <border>
      <left/>
      <right style="hair">
        <color rgb="FF000000"/>
      </right>
      <top style="double">
        <color rgb="FF000000"/>
      </top>
      <bottom style="thin">
        <color indexed="64"/>
      </bottom>
      <diagonal/>
    </border>
    <border>
      <left style="hair">
        <color rgb="FF000000"/>
      </left>
      <right style="hair">
        <color rgb="FF000000"/>
      </right>
      <top style="thin">
        <color indexed="64"/>
      </top>
      <bottom style="hair">
        <color rgb="FF000000"/>
      </bottom>
      <diagonal/>
    </border>
    <border>
      <left style="thin">
        <color theme="0" tint="-0.24994659260841701"/>
      </left>
      <right style="double">
        <color indexed="64"/>
      </right>
      <top/>
      <bottom style="hair">
        <color indexed="64"/>
      </bottom>
      <diagonal/>
    </border>
    <border>
      <left/>
      <right style="double">
        <color rgb="FF000000"/>
      </right>
      <top style="double">
        <color auto="1"/>
      </top>
      <bottom/>
      <diagonal/>
    </border>
    <border>
      <left/>
      <right style="hair">
        <color auto="1"/>
      </right>
      <top style="thin">
        <color indexed="64"/>
      </top>
      <bottom style="hair">
        <color auto="1"/>
      </bottom>
      <diagonal/>
    </border>
    <border>
      <left/>
      <right style="hair">
        <color auto="1"/>
      </right>
      <top/>
      <bottom style="thin">
        <color indexed="64"/>
      </bottom>
      <diagonal/>
    </border>
    <border>
      <left/>
      <right style="double">
        <color indexed="64"/>
      </right>
      <top/>
      <bottom style="thin">
        <color indexed="64"/>
      </bottom>
      <diagonal/>
    </border>
    <border>
      <left style="hair">
        <color auto="1"/>
      </left>
      <right style="thin">
        <color indexed="64"/>
      </right>
      <top style="double">
        <color indexed="64"/>
      </top>
      <bottom style="thin">
        <color indexed="64"/>
      </bottom>
      <diagonal/>
    </border>
    <border>
      <left style="hair">
        <color rgb="FF000000"/>
      </left>
      <right style="hair">
        <color indexed="64"/>
      </right>
      <top/>
      <bottom style="hair">
        <color indexed="64"/>
      </bottom>
      <diagonal/>
    </border>
    <border>
      <left style="hair">
        <color indexed="64"/>
      </left>
      <right style="double">
        <color indexed="64"/>
      </right>
      <top style="double">
        <color indexed="64"/>
      </top>
      <bottom style="thin">
        <color theme="0" tint="-0.14996795556505021"/>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thin">
        <color rgb="FF000000"/>
      </left>
      <right style="double">
        <color indexed="64"/>
      </right>
      <top/>
      <bottom style="double">
        <color indexed="64"/>
      </bottom>
      <diagonal/>
    </border>
    <border>
      <left style="double">
        <color indexed="64"/>
      </left>
      <right style="hair">
        <color rgb="FF000000"/>
      </right>
      <top style="hair">
        <color rgb="FF000000"/>
      </top>
      <bottom style="hair">
        <color rgb="FF000000"/>
      </bottom>
      <diagonal/>
    </border>
    <border>
      <left style="double">
        <color indexed="64"/>
      </left>
      <right style="hair">
        <color rgb="FF000000"/>
      </right>
      <top style="hair">
        <color rgb="FF000000"/>
      </top>
      <bottom style="double">
        <color rgb="FF000000"/>
      </bottom>
      <diagonal/>
    </border>
    <border>
      <left style="double">
        <color auto="1"/>
      </left>
      <right style="double">
        <color indexed="64"/>
      </right>
      <top style="thin">
        <color indexed="64"/>
      </top>
      <bottom style="double">
        <color rgb="FF000000"/>
      </bottom>
      <diagonal/>
    </border>
    <border>
      <left style="double">
        <color rgb="FF000000"/>
      </left>
      <right/>
      <top style="double">
        <color indexed="64"/>
      </top>
      <bottom style="thin">
        <color indexed="64"/>
      </bottom>
      <diagonal/>
    </border>
    <border>
      <left/>
      <right style="hair">
        <color rgb="FF000000"/>
      </right>
      <top style="double">
        <color indexed="64"/>
      </top>
      <bottom style="thin">
        <color indexed="64"/>
      </bottom>
      <diagonal/>
    </border>
    <border>
      <left style="hair">
        <color rgb="FF000000"/>
      </left>
      <right style="hair">
        <color indexed="64"/>
      </right>
      <top style="double">
        <color indexed="64"/>
      </top>
      <bottom style="thin">
        <color indexed="64"/>
      </bottom>
      <diagonal/>
    </border>
    <border>
      <left style="double">
        <color rgb="FF000000"/>
      </left>
      <right/>
      <top style="double">
        <color rgb="FF000000"/>
      </top>
      <bottom style="thin">
        <color indexed="64"/>
      </bottom>
      <diagonal/>
    </border>
    <border>
      <left style="double">
        <color rgb="FF000000"/>
      </left>
      <right style="double">
        <color indexed="64"/>
      </right>
      <top style="thin">
        <color indexed="64"/>
      </top>
      <bottom style="hair">
        <color rgb="FF000000"/>
      </bottom>
      <diagonal/>
    </border>
    <border>
      <left style="hair">
        <color rgb="FF000000"/>
      </left>
      <right style="hair">
        <color indexed="64"/>
      </right>
      <top style="double">
        <color rgb="FF000000"/>
      </top>
      <bottom style="thin">
        <color indexed="64"/>
      </bottom>
      <diagonal/>
    </border>
    <border>
      <left style="double">
        <color auto="1"/>
      </left>
      <right style="double">
        <color indexed="64"/>
      </right>
      <top style="thin">
        <color indexed="64"/>
      </top>
      <bottom style="hair">
        <color rgb="FF000000"/>
      </bottom>
      <diagonal/>
    </border>
    <border>
      <left style="double">
        <color indexed="64"/>
      </left>
      <right style="hair">
        <color indexed="64"/>
      </right>
      <top style="thin">
        <color rgb="FF000000"/>
      </top>
      <bottom style="double">
        <color indexed="64"/>
      </bottom>
      <diagonal/>
    </border>
    <border>
      <left/>
      <right style="double">
        <color rgb="FF000000"/>
      </right>
      <top style="double">
        <color indexed="64"/>
      </top>
      <bottom style="double">
        <color indexed="64"/>
      </bottom>
      <diagonal/>
    </border>
    <border>
      <left style="hair">
        <color rgb="FF000000"/>
      </left>
      <right/>
      <top/>
      <bottom style="double">
        <color indexed="64"/>
      </bottom>
      <diagonal/>
    </border>
    <border>
      <left style="double">
        <color indexed="64"/>
      </left>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rgb="FF000000"/>
      </left>
      <right/>
      <top style="hair">
        <color indexed="64"/>
      </top>
      <bottom/>
      <diagonal/>
    </border>
    <border>
      <left style="hair">
        <color indexed="64"/>
      </left>
      <right style="double">
        <color rgb="FF000000"/>
      </right>
      <top/>
      <bottom style="hair">
        <color indexed="64"/>
      </bottom>
      <diagonal/>
    </border>
    <border>
      <left style="hair">
        <color auto="1"/>
      </left>
      <right style="hair">
        <color rgb="FF000000"/>
      </right>
      <top style="hair">
        <color auto="1"/>
      </top>
      <bottom style="double">
        <color indexed="64"/>
      </bottom>
      <diagonal/>
    </border>
  </borders>
  <cellStyleXfs count="4">
    <xf numFmtId="0" fontId="0" fillId="0" borderId="0"/>
    <xf numFmtId="0" fontId="5" fillId="0" borderId="0"/>
    <xf numFmtId="0" fontId="6" fillId="0" borderId="0" applyNumberFormat="0" applyFill="0" applyBorder="0" applyAlignment="0" applyProtection="0">
      <alignment vertical="top"/>
      <protection locked="0"/>
    </xf>
    <xf numFmtId="0" fontId="7" fillId="0" borderId="0"/>
  </cellStyleXfs>
  <cellXfs count="4972">
    <xf numFmtId="0" fontId="0" fillId="0" borderId="0" xfId="0" applyAlignment="1">
      <alignment horizontal="left" vertical="top"/>
    </xf>
    <xf numFmtId="0" fontId="0" fillId="0" borderId="0" xfId="0" applyAlignment="1">
      <alignment horizontal="left" vertical="top" wrapText="1"/>
    </xf>
    <xf numFmtId="0" fontId="7" fillId="0" borderId="0" xfId="0" applyFont="1" applyAlignment="1">
      <alignment horizontal="left" vertical="top"/>
    </xf>
    <xf numFmtId="0" fontId="8" fillId="0" borderId="1" xfId="0" applyFont="1" applyBorder="1" applyAlignment="1">
      <alignment horizontal="center" vertical="center" wrapText="1"/>
    </xf>
    <xf numFmtId="0" fontId="1" fillId="0" borderId="1" xfId="0" applyFont="1" applyBorder="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center"/>
    </xf>
    <xf numFmtId="0" fontId="12" fillId="4" borderId="10" xfId="0" applyFont="1" applyFill="1" applyBorder="1" applyAlignment="1">
      <alignment horizontal="center" vertical="top" wrapText="1"/>
    </xf>
    <xf numFmtId="0" fontId="12" fillId="4" borderId="14" xfId="0" applyFont="1" applyFill="1" applyBorder="1" applyAlignment="1">
      <alignment horizontal="center" vertical="top" wrapText="1"/>
    </xf>
    <xf numFmtId="0" fontId="8" fillId="0" borderId="1" xfId="0" applyFont="1" applyBorder="1" applyAlignment="1">
      <alignment horizontal="left" vertical="top"/>
    </xf>
    <xf numFmtId="0" fontId="8" fillId="0" borderId="1" xfId="0" applyFont="1" applyBorder="1" applyAlignment="1">
      <alignment horizontal="left" vertical="center"/>
    </xf>
    <xf numFmtId="0" fontId="8" fillId="0" borderId="0" xfId="0" applyFont="1" applyAlignment="1">
      <alignment horizontal="left" vertical="center"/>
    </xf>
    <xf numFmtId="0" fontId="1" fillId="0" borderId="0" xfId="0" applyFont="1" applyAlignment="1">
      <alignment horizontal="left" vertical="top"/>
    </xf>
    <xf numFmtId="0" fontId="8" fillId="0" borderId="0" xfId="0" applyFont="1" applyAlignment="1">
      <alignment horizontal="left" vertical="top"/>
    </xf>
    <xf numFmtId="0" fontId="18" fillId="0" borderId="0" xfId="0" applyFont="1" applyAlignment="1">
      <alignment horizontal="left" vertical="top" wrapText="1"/>
    </xf>
    <xf numFmtId="0" fontId="1" fillId="0" borderId="0" xfId="0" applyFont="1" applyAlignment="1">
      <alignment horizontal="left" vertical="top" wrapText="1"/>
    </xf>
    <xf numFmtId="0" fontId="22" fillId="0" borderId="0" xfId="0" applyFont="1" applyAlignment="1">
      <alignment horizontal="left" vertical="top" wrapText="1"/>
    </xf>
    <xf numFmtId="0" fontId="18" fillId="0" borderId="0" xfId="0" applyFont="1" applyAlignment="1">
      <alignment horizontal="left" vertical="top"/>
    </xf>
    <xf numFmtId="0" fontId="17" fillId="0" borderId="0" xfId="0" applyFont="1" applyAlignment="1">
      <alignment horizontal="left" vertical="top" wrapText="1"/>
    </xf>
    <xf numFmtId="49" fontId="18" fillId="0" borderId="0" xfId="0" applyNumberFormat="1" applyFont="1" applyAlignment="1">
      <alignment horizontal="left" vertical="top" wrapText="1"/>
    </xf>
    <xf numFmtId="0" fontId="27" fillId="0" borderId="0" xfId="0" applyFont="1" applyAlignment="1">
      <alignment horizontal="left" vertical="top"/>
    </xf>
    <xf numFmtId="0" fontId="7" fillId="0" borderId="0" xfId="0" applyFont="1" applyAlignment="1">
      <alignment horizontal="left" vertical="top" wrapText="1"/>
    </xf>
    <xf numFmtId="0" fontId="29" fillId="0" borderId="0" xfId="0" applyFont="1" applyAlignment="1">
      <alignment horizontal="left" vertical="top" wrapText="1"/>
    </xf>
    <xf numFmtId="0" fontId="33" fillId="0" borderId="0" xfId="0" applyFont="1" applyAlignment="1">
      <alignment horizontal="left" vertical="top" wrapText="1"/>
    </xf>
    <xf numFmtId="0" fontId="1" fillId="0" borderId="68" xfId="0" applyFont="1" applyBorder="1" applyAlignment="1">
      <alignment horizontal="left" vertical="top"/>
    </xf>
    <xf numFmtId="0" fontId="17" fillId="0" borderId="75" xfId="0" applyFont="1" applyBorder="1" applyAlignment="1">
      <alignment horizontal="left" vertical="top" wrapText="1"/>
    </xf>
    <xf numFmtId="0" fontId="7" fillId="6" borderId="0" xfId="0" applyFont="1" applyFill="1" applyAlignment="1">
      <alignment horizontal="left" vertical="center"/>
    </xf>
    <xf numFmtId="0" fontId="1" fillId="0" borderId="1"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7" fillId="0" borderId="23" xfId="0" applyFont="1" applyBorder="1" applyAlignment="1">
      <alignment horizontal="left" vertical="top" wrapText="1"/>
    </xf>
    <xf numFmtId="0" fontId="0" fillId="0" borderId="23" xfId="0" applyBorder="1" applyAlignment="1">
      <alignment horizontal="left" vertical="top"/>
    </xf>
    <xf numFmtId="0" fontId="17" fillId="0" borderId="88" xfId="0" applyFont="1" applyBorder="1" applyAlignment="1">
      <alignment horizontal="left" vertical="top" wrapText="1"/>
    </xf>
    <xf numFmtId="0" fontId="3" fillId="0" borderId="62" xfId="0" applyFont="1" applyBorder="1" applyAlignment="1">
      <alignment horizontal="left" vertical="top" wrapText="1"/>
    </xf>
    <xf numFmtId="0" fontId="3" fillId="0" borderId="64" xfId="0" applyFont="1" applyBorder="1" applyAlignment="1">
      <alignment horizontal="left" vertical="top" wrapText="1"/>
    </xf>
    <xf numFmtId="0" fontId="3" fillId="6" borderId="62" xfId="0" applyFont="1" applyFill="1" applyBorder="1" applyAlignment="1">
      <alignment horizontal="left" vertical="top" wrapText="1"/>
    </xf>
    <xf numFmtId="0" fontId="1" fillId="0" borderId="91" xfId="0" applyFont="1" applyBorder="1" applyAlignment="1" applyProtection="1">
      <alignment horizontal="left" vertical="top" wrapText="1"/>
      <protection locked="0"/>
    </xf>
    <xf numFmtId="0" fontId="1" fillId="0" borderId="23" xfId="0" applyFont="1" applyBorder="1" applyAlignment="1" applyProtection="1">
      <alignment horizontal="left" vertical="top" wrapText="1"/>
      <protection locked="0"/>
    </xf>
    <xf numFmtId="0" fontId="1" fillId="0" borderId="30" xfId="0" applyFont="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15" xfId="0" applyFont="1" applyBorder="1" applyAlignment="1" applyProtection="1">
      <alignment horizontal="left" vertical="top" wrapText="1"/>
      <protection locked="0"/>
    </xf>
    <xf numFmtId="0" fontId="1" fillId="0" borderId="31" xfId="0" applyFont="1" applyBorder="1" applyAlignment="1" applyProtection="1">
      <alignment horizontal="left" vertical="top" wrapText="1"/>
      <protection locked="0"/>
    </xf>
    <xf numFmtId="0" fontId="1" fillId="0" borderId="107" xfId="0" applyFont="1" applyBorder="1" applyAlignment="1" applyProtection="1">
      <alignment horizontal="left" vertical="top" wrapText="1"/>
      <protection locked="0"/>
    </xf>
    <xf numFmtId="0" fontId="1" fillId="0" borderId="108" xfId="0" applyFont="1" applyBorder="1" applyAlignment="1" applyProtection="1">
      <alignment horizontal="left" vertical="top" wrapText="1"/>
      <protection locked="0"/>
    </xf>
    <xf numFmtId="0" fontId="1" fillId="0" borderId="109" xfId="0" applyFont="1" applyBorder="1" applyAlignment="1" applyProtection="1">
      <alignment horizontal="left" vertical="top" wrapText="1"/>
      <protection locked="0"/>
    </xf>
    <xf numFmtId="0" fontId="1" fillId="0" borderId="110" xfId="0" applyFont="1" applyBorder="1" applyAlignment="1" applyProtection="1">
      <alignment horizontal="left" vertical="top" wrapText="1"/>
      <protection locked="0"/>
    </xf>
    <xf numFmtId="0" fontId="1" fillId="0" borderId="111" xfId="0" applyFont="1" applyBorder="1" applyAlignment="1" applyProtection="1">
      <alignment horizontal="left" vertical="top" wrapText="1"/>
      <protection locked="0"/>
    </xf>
    <xf numFmtId="0" fontId="7" fillId="0" borderId="112" xfId="0" applyFont="1" applyBorder="1" applyAlignment="1">
      <alignment horizontal="left" vertical="top"/>
    </xf>
    <xf numFmtId="0" fontId="7" fillId="0" borderId="110" xfId="0" applyFont="1" applyBorder="1" applyAlignment="1">
      <alignment horizontal="left" vertical="top"/>
    </xf>
    <xf numFmtId="0" fontId="7" fillId="0" borderId="113" xfId="0" applyFont="1" applyBorder="1" applyAlignment="1">
      <alignment horizontal="left" vertical="top"/>
    </xf>
    <xf numFmtId="0" fontId="0" fillId="0" borderId="112" xfId="0" applyBorder="1" applyAlignment="1">
      <alignment horizontal="left" vertical="top"/>
    </xf>
    <xf numFmtId="0" fontId="0" fillId="0" borderId="110" xfId="0" applyBorder="1" applyAlignment="1">
      <alignment horizontal="left" vertical="top"/>
    </xf>
    <xf numFmtId="0" fontId="0" fillId="0" borderId="113" xfId="0" applyBorder="1" applyAlignment="1">
      <alignment horizontal="left" vertical="top"/>
    </xf>
    <xf numFmtId="0" fontId="3" fillId="0" borderId="118" xfId="0" applyFont="1" applyBorder="1" applyAlignment="1">
      <alignment horizontal="left" vertical="top" wrapText="1"/>
    </xf>
    <xf numFmtId="0" fontId="16" fillId="0" borderId="0" xfId="0" applyFont="1" applyAlignment="1">
      <alignment horizontal="left" vertical="top" wrapText="1"/>
    </xf>
    <xf numFmtId="0" fontId="17" fillId="0" borderId="0" xfId="0" applyFont="1" applyAlignment="1" applyProtection="1">
      <alignment horizontal="center" vertical="center" wrapText="1"/>
      <protection locked="0"/>
    </xf>
    <xf numFmtId="0" fontId="16" fillId="0" borderId="0" xfId="0" applyFont="1" applyAlignment="1">
      <alignment horizontal="left" vertical="center" wrapText="1"/>
    </xf>
    <xf numFmtId="0" fontId="1" fillId="0" borderId="0" xfId="0" applyFont="1" applyAlignment="1" applyProtection="1">
      <alignment horizontal="center" vertical="center" wrapText="1"/>
      <protection locked="0"/>
    </xf>
    <xf numFmtId="0" fontId="17" fillId="0" borderId="0" xfId="0" applyFont="1" applyAlignment="1" applyProtection="1">
      <alignment horizontal="left" vertical="top" wrapText="1"/>
      <protection locked="0"/>
    </xf>
    <xf numFmtId="0" fontId="1" fillId="0" borderId="85" xfId="0" applyFont="1" applyBorder="1" applyAlignment="1" applyProtection="1">
      <alignment horizontal="left" vertical="top" wrapText="1"/>
      <protection locked="0"/>
    </xf>
    <xf numFmtId="0" fontId="1" fillId="0" borderId="5" xfId="0" applyFont="1" applyBorder="1" applyAlignment="1" applyProtection="1">
      <alignment horizontal="left" vertical="top" wrapText="1"/>
      <protection locked="0"/>
    </xf>
    <xf numFmtId="0" fontId="1" fillId="0" borderId="3" xfId="0" applyFont="1" applyBorder="1" applyAlignment="1" applyProtection="1">
      <alignment horizontal="left" vertical="top" wrapText="1"/>
      <protection locked="0"/>
    </xf>
    <xf numFmtId="0" fontId="17" fillId="0" borderId="61" xfId="0" applyFont="1" applyBorder="1" applyAlignment="1">
      <alignment horizontal="left" vertical="top" wrapText="1"/>
    </xf>
    <xf numFmtId="0" fontId="16" fillId="0" borderId="70" xfId="0" applyFont="1" applyBorder="1" applyAlignment="1">
      <alignment horizontal="center" vertical="center" wrapText="1"/>
    </xf>
    <xf numFmtId="0" fontId="17" fillId="0" borderId="3" xfId="0" applyFont="1" applyBorder="1" applyAlignment="1" applyProtection="1">
      <alignment horizontal="left" vertical="top" wrapText="1"/>
      <protection locked="0"/>
    </xf>
    <xf numFmtId="0" fontId="1" fillId="0" borderId="92" xfId="0" applyFont="1" applyBorder="1" applyAlignment="1" applyProtection="1">
      <alignment horizontal="left" vertical="top" wrapText="1"/>
      <protection locked="0"/>
    </xf>
    <xf numFmtId="0" fontId="1" fillId="0" borderId="68" xfId="0" applyFont="1" applyBorder="1" applyAlignment="1" applyProtection="1">
      <alignment horizontal="left" vertical="top" wrapText="1"/>
      <protection locked="0"/>
    </xf>
    <xf numFmtId="0" fontId="1" fillId="0" borderId="29" xfId="0" applyFont="1" applyBorder="1" applyAlignment="1" applyProtection="1">
      <alignment horizontal="left" vertical="top" wrapText="1"/>
      <protection locked="0"/>
    </xf>
    <xf numFmtId="0" fontId="1" fillId="0" borderId="112" xfId="0" applyFont="1" applyBorder="1" applyAlignment="1" applyProtection="1">
      <alignment horizontal="left" vertical="top" wrapText="1"/>
      <protection locked="0"/>
    </xf>
    <xf numFmtId="0" fontId="1" fillId="0" borderId="113" xfId="0" applyFont="1" applyBorder="1" applyAlignment="1" applyProtection="1">
      <alignment horizontal="left" vertical="top" wrapText="1"/>
      <protection locked="0"/>
    </xf>
    <xf numFmtId="0" fontId="39" fillId="0" borderId="0" xfId="0" applyFont="1" applyAlignment="1">
      <alignment horizontal="left" vertical="top" wrapText="1"/>
    </xf>
    <xf numFmtId="0" fontId="39" fillId="0" borderId="0" xfId="0" applyFont="1" applyAlignment="1">
      <alignment horizontal="left" vertical="top"/>
    </xf>
    <xf numFmtId="0" fontId="27" fillId="0" borderId="23" xfId="0" applyFont="1" applyBorder="1" applyAlignment="1">
      <alignment horizontal="left" vertical="top"/>
    </xf>
    <xf numFmtId="0" fontId="1" fillId="0" borderId="76" xfId="0" applyFont="1" applyBorder="1" applyAlignment="1" applyProtection="1">
      <alignment horizontal="left" vertical="top" wrapText="1"/>
      <protection locked="0"/>
    </xf>
    <xf numFmtId="0" fontId="3" fillId="0" borderId="50" xfId="0" applyFont="1" applyBorder="1" applyAlignment="1">
      <alignment horizontal="left" vertical="top" wrapText="1"/>
    </xf>
    <xf numFmtId="0" fontId="1" fillId="0" borderId="54" xfId="0" applyFont="1" applyBorder="1" applyAlignment="1" applyProtection="1">
      <alignment horizontal="left" vertical="top" wrapText="1"/>
      <protection locked="0"/>
    </xf>
    <xf numFmtId="0" fontId="45" fillId="0" borderId="0" xfId="0" applyFont="1" applyAlignment="1">
      <alignment horizontal="left" vertical="center"/>
    </xf>
    <xf numFmtId="0" fontId="46" fillId="0" borderId="0" xfId="0" applyFont="1" applyAlignment="1">
      <alignment horizontal="left" vertical="center" indent="5"/>
    </xf>
    <xf numFmtId="0" fontId="46" fillId="0" borderId="0" xfId="0" applyFont="1" applyAlignment="1">
      <alignment horizontal="left" vertical="center" indent="8"/>
    </xf>
    <xf numFmtId="0" fontId="1" fillId="0" borderId="114" xfId="0" applyFont="1" applyBorder="1" applyAlignment="1" applyProtection="1">
      <alignment horizontal="left" vertical="top" wrapText="1"/>
      <protection locked="0"/>
    </xf>
    <xf numFmtId="0" fontId="1" fillId="0" borderId="115" xfId="0" applyFont="1" applyBorder="1" applyAlignment="1" applyProtection="1">
      <alignment horizontal="left" vertical="top" wrapText="1"/>
      <protection locked="0"/>
    </xf>
    <xf numFmtId="0" fontId="3" fillId="0" borderId="0" xfId="0" applyFont="1" applyAlignment="1">
      <alignment horizontal="left" vertical="top" wrapText="1"/>
    </xf>
    <xf numFmtId="0" fontId="1" fillId="0" borderId="86" xfId="0" applyFont="1" applyBorder="1" applyAlignment="1" applyProtection="1">
      <alignment horizontal="left" vertical="top" wrapText="1"/>
      <protection locked="0"/>
    </xf>
    <xf numFmtId="0" fontId="1" fillId="0" borderId="71" xfId="0" applyFont="1" applyBorder="1" applyAlignment="1" applyProtection="1">
      <alignment horizontal="left" vertical="top" wrapText="1"/>
      <protection locked="0"/>
    </xf>
    <xf numFmtId="0" fontId="1" fillId="0" borderId="90" xfId="0" applyFont="1" applyBorder="1" applyAlignment="1" applyProtection="1">
      <alignment horizontal="left" vertical="top" wrapText="1"/>
      <protection locked="0"/>
    </xf>
    <xf numFmtId="0" fontId="36" fillId="0" borderId="40" xfId="0" applyFont="1" applyBorder="1" applyAlignment="1">
      <alignment horizontal="left" vertical="top" wrapText="1"/>
    </xf>
    <xf numFmtId="0" fontId="3" fillId="0" borderId="63" xfId="0" applyFont="1" applyBorder="1" applyAlignment="1">
      <alignment horizontal="left" vertical="top" wrapText="1"/>
    </xf>
    <xf numFmtId="0" fontId="3" fillId="6" borderId="40" xfId="0" applyFont="1" applyFill="1" applyBorder="1" applyAlignment="1">
      <alignment horizontal="left" vertical="top" wrapText="1"/>
    </xf>
    <xf numFmtId="0" fontId="3" fillId="6" borderId="63" xfId="0" applyFont="1" applyFill="1" applyBorder="1" applyAlignment="1">
      <alignment horizontal="left" vertical="top" wrapText="1"/>
    </xf>
    <xf numFmtId="0" fontId="1" fillId="0" borderId="96" xfId="0" applyFont="1" applyBorder="1" applyAlignment="1" applyProtection="1">
      <alignment horizontal="left" vertical="top" wrapText="1"/>
      <protection locked="0"/>
    </xf>
    <xf numFmtId="0" fontId="17" fillId="0" borderId="73" xfId="0" applyFont="1" applyBorder="1" applyAlignment="1">
      <alignment horizontal="left" vertical="top" wrapText="1"/>
    </xf>
    <xf numFmtId="0" fontId="17" fillId="0" borderId="118" xfId="0" applyFont="1" applyBorder="1" applyAlignment="1">
      <alignment horizontal="left" vertical="top" wrapText="1"/>
    </xf>
    <xf numFmtId="0" fontId="16" fillId="0" borderId="91" xfId="0" applyFont="1" applyBorder="1" applyAlignment="1">
      <alignment horizontal="left" vertical="top" wrapText="1"/>
    </xf>
    <xf numFmtId="0" fontId="1" fillId="0" borderId="10" xfId="0" applyFont="1" applyBorder="1" applyAlignment="1" applyProtection="1">
      <alignment horizontal="left" vertical="top" wrapText="1"/>
      <protection locked="0"/>
    </xf>
    <xf numFmtId="0" fontId="1" fillId="0" borderId="99" xfId="0" applyFont="1" applyBorder="1" applyAlignment="1" applyProtection="1">
      <alignment horizontal="left" vertical="top" wrapText="1"/>
      <protection locked="0"/>
    </xf>
    <xf numFmtId="0" fontId="1" fillId="0" borderId="65" xfId="0" applyFont="1" applyBorder="1" applyAlignment="1" applyProtection="1">
      <alignment horizontal="left" vertical="top" wrapText="1"/>
      <protection locked="0"/>
    </xf>
    <xf numFmtId="0" fontId="1" fillId="0" borderId="17" xfId="0" applyFont="1" applyBorder="1" applyAlignment="1" applyProtection="1">
      <alignment horizontal="left" vertical="top" wrapText="1"/>
      <protection locked="0"/>
    </xf>
    <xf numFmtId="0" fontId="1" fillId="0" borderId="94" xfId="0" applyFont="1" applyBorder="1" applyAlignment="1" applyProtection="1">
      <alignment horizontal="left" vertical="top" wrapText="1"/>
      <protection locked="0"/>
    </xf>
    <xf numFmtId="0" fontId="1" fillId="0" borderId="97" xfId="0" applyFont="1" applyBorder="1" applyAlignment="1" applyProtection="1">
      <alignment horizontal="left" vertical="top" wrapText="1"/>
      <protection locked="0"/>
    </xf>
    <xf numFmtId="0" fontId="1" fillId="0" borderId="18" xfId="0" applyFont="1" applyBorder="1" applyAlignment="1" applyProtection="1">
      <alignment horizontal="left" vertical="top" wrapText="1"/>
      <protection locked="0"/>
    </xf>
    <xf numFmtId="0" fontId="1" fillId="0" borderId="69" xfId="0" applyFont="1" applyBorder="1" applyAlignment="1" applyProtection="1">
      <alignment horizontal="left" vertical="top" wrapText="1"/>
      <protection locked="0"/>
    </xf>
    <xf numFmtId="0" fontId="1" fillId="0" borderId="101" xfId="0" applyFont="1" applyBorder="1" applyAlignment="1" applyProtection="1">
      <alignment horizontal="left" vertical="top" wrapText="1"/>
      <protection locked="0"/>
    </xf>
    <xf numFmtId="0" fontId="1" fillId="0" borderId="100" xfId="0" applyFont="1" applyBorder="1" applyAlignment="1" applyProtection="1">
      <alignment horizontal="left" vertical="top" wrapText="1"/>
      <protection locked="0"/>
    </xf>
    <xf numFmtId="0" fontId="1" fillId="0" borderId="70" xfId="0" applyFont="1" applyBorder="1" applyAlignment="1" applyProtection="1">
      <alignment horizontal="left" vertical="top" wrapText="1"/>
      <protection locked="0"/>
    </xf>
    <xf numFmtId="0" fontId="48" fillId="0" borderId="0" xfId="0" applyFont="1" applyAlignment="1">
      <alignment horizontal="left" vertical="top"/>
    </xf>
    <xf numFmtId="0" fontId="1" fillId="0" borderId="7" xfId="0" applyFont="1" applyBorder="1" applyAlignment="1" applyProtection="1">
      <alignment horizontal="left" vertical="top" wrapText="1"/>
      <protection locked="0"/>
    </xf>
    <xf numFmtId="0" fontId="3" fillId="0" borderId="55" xfId="0" applyFont="1" applyBorder="1" applyAlignment="1">
      <alignment horizontal="left" vertical="top" wrapText="1"/>
    </xf>
    <xf numFmtId="0" fontId="1" fillId="0" borderId="139"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3" fillId="0" borderId="98" xfId="0" applyFont="1" applyBorder="1" applyAlignment="1">
      <alignment horizontal="left" vertical="top" wrapText="1"/>
    </xf>
    <xf numFmtId="0" fontId="1" fillId="0" borderId="41" xfId="0" applyFont="1" applyBorder="1" applyAlignment="1" applyProtection="1">
      <alignment horizontal="left" vertical="top" wrapText="1"/>
      <protection locked="0"/>
    </xf>
    <xf numFmtId="0" fontId="1" fillId="0" borderId="132" xfId="0" applyFont="1" applyBorder="1" applyAlignment="1" applyProtection="1">
      <alignment horizontal="left" vertical="top" wrapText="1"/>
      <protection locked="0"/>
    </xf>
    <xf numFmtId="0" fontId="1" fillId="0" borderId="159" xfId="0" applyFont="1" applyBorder="1" applyAlignment="1" applyProtection="1">
      <alignment horizontal="left" vertical="top" wrapText="1"/>
      <protection locked="0"/>
    </xf>
    <xf numFmtId="0" fontId="1" fillId="3" borderId="110" xfId="0" applyFont="1" applyFill="1" applyBorder="1" applyAlignment="1" applyProtection="1">
      <alignment horizontal="left" vertical="top" wrapText="1"/>
      <protection locked="0"/>
    </xf>
    <xf numFmtId="0" fontId="3" fillId="0" borderId="110" xfId="0" applyFont="1" applyBorder="1" applyAlignment="1">
      <alignment horizontal="left" vertical="top" wrapText="1"/>
    </xf>
    <xf numFmtId="0" fontId="3" fillId="0" borderId="162" xfId="0" applyFont="1" applyBorder="1" applyAlignment="1">
      <alignment horizontal="left" vertical="top" wrapText="1"/>
    </xf>
    <xf numFmtId="0" fontId="16" fillId="0" borderId="110" xfId="0" applyFont="1" applyBorder="1" applyAlignment="1">
      <alignment horizontal="left" vertical="top" wrapText="1"/>
    </xf>
    <xf numFmtId="0" fontId="16" fillId="0" borderId="162" xfId="0" applyFont="1" applyBorder="1" applyAlignment="1">
      <alignment horizontal="left" vertical="top" wrapText="1"/>
    </xf>
    <xf numFmtId="0" fontId="16" fillId="0" borderId="164" xfId="0" applyFont="1" applyBorder="1" applyAlignment="1">
      <alignment horizontal="left" vertical="top" wrapText="1"/>
    </xf>
    <xf numFmtId="0" fontId="16" fillId="0" borderId="165" xfId="0" applyFont="1" applyBorder="1" applyAlignment="1">
      <alignment horizontal="left" vertical="top" wrapText="1"/>
    </xf>
    <xf numFmtId="0" fontId="1" fillId="0" borderId="158" xfId="0" applyFont="1" applyBorder="1" applyAlignment="1" applyProtection="1">
      <alignment horizontal="left" vertical="top" wrapText="1"/>
      <protection locked="0"/>
    </xf>
    <xf numFmtId="0" fontId="1" fillId="0" borderId="160" xfId="0" applyFont="1" applyBorder="1" applyAlignment="1" applyProtection="1">
      <alignment horizontal="left" vertical="top" wrapText="1"/>
      <protection locked="0"/>
    </xf>
    <xf numFmtId="0" fontId="1" fillId="0" borderId="161" xfId="0" applyFont="1" applyBorder="1" applyAlignment="1" applyProtection="1">
      <alignment horizontal="left" vertical="top" wrapText="1"/>
      <protection locked="0"/>
    </xf>
    <xf numFmtId="0" fontId="1" fillId="0" borderId="162" xfId="0" applyFont="1" applyBorder="1" applyAlignment="1" applyProtection="1">
      <alignment horizontal="left" vertical="top" wrapText="1"/>
      <protection locked="0"/>
    </xf>
    <xf numFmtId="0" fontId="1" fillId="0" borderId="163" xfId="0" applyFont="1" applyBorder="1" applyAlignment="1" applyProtection="1">
      <alignment horizontal="left" vertical="top" wrapText="1"/>
      <protection locked="0"/>
    </xf>
    <xf numFmtId="0" fontId="1" fillId="0" borderId="164" xfId="0" applyFont="1" applyBorder="1" applyAlignment="1" applyProtection="1">
      <alignment horizontal="left" vertical="top" wrapText="1"/>
      <protection locked="0"/>
    </xf>
    <xf numFmtId="0" fontId="1" fillId="0" borderId="165" xfId="0" applyFont="1" applyBorder="1" applyAlignment="1" applyProtection="1">
      <alignment horizontal="left" vertical="top" wrapText="1"/>
      <protection locked="0"/>
    </xf>
    <xf numFmtId="0" fontId="7" fillId="0" borderId="64" xfId="0" applyFont="1" applyBorder="1" applyAlignment="1">
      <alignment horizontal="left" vertical="center"/>
    </xf>
    <xf numFmtId="0" fontId="1" fillId="0" borderId="172" xfId="0" applyFont="1" applyBorder="1" applyAlignment="1" applyProtection="1">
      <alignment horizontal="left" vertical="top" wrapText="1"/>
      <protection locked="0"/>
    </xf>
    <xf numFmtId="0" fontId="1" fillId="0" borderId="174" xfId="0" applyFont="1" applyBorder="1" applyAlignment="1" applyProtection="1">
      <alignment horizontal="left" vertical="top" wrapText="1"/>
      <protection locked="0"/>
    </xf>
    <xf numFmtId="0" fontId="1" fillId="3" borderId="163" xfId="0" applyFont="1" applyFill="1" applyBorder="1" applyAlignment="1" applyProtection="1">
      <alignment horizontal="left" vertical="top" wrapText="1"/>
      <protection locked="0"/>
    </xf>
    <xf numFmtId="0" fontId="17" fillId="0" borderId="159" xfId="0" applyFont="1" applyBorder="1" applyAlignment="1" applyProtection="1">
      <alignment horizontal="center" vertical="center" wrapText="1"/>
      <protection locked="0"/>
    </xf>
    <xf numFmtId="0" fontId="29" fillId="0" borderId="0" xfId="0" applyFont="1" applyAlignment="1">
      <alignment horizontal="left" vertical="top"/>
    </xf>
    <xf numFmtId="0" fontId="1" fillId="0" borderId="168" xfId="0" applyFont="1" applyBorder="1" applyAlignment="1" applyProtection="1">
      <alignment horizontal="left" vertical="top" wrapText="1"/>
      <protection locked="0"/>
    </xf>
    <xf numFmtId="0" fontId="1" fillId="0" borderId="191" xfId="0" applyFont="1" applyBorder="1" applyAlignment="1" applyProtection="1">
      <alignment horizontal="left" vertical="top" wrapText="1"/>
      <protection locked="0"/>
    </xf>
    <xf numFmtId="0" fontId="1" fillId="0" borderId="192" xfId="0" applyFont="1" applyBorder="1" applyAlignment="1" applyProtection="1">
      <alignment horizontal="left" vertical="top" wrapText="1"/>
      <protection locked="0"/>
    </xf>
    <xf numFmtId="0" fontId="1" fillId="0" borderId="206" xfId="0" applyFont="1" applyBorder="1" applyAlignment="1" applyProtection="1">
      <alignment horizontal="left" vertical="top" wrapText="1"/>
      <protection locked="0"/>
    </xf>
    <xf numFmtId="0" fontId="1" fillId="0" borderId="204" xfId="0" applyFont="1" applyBorder="1" applyAlignment="1" applyProtection="1">
      <alignment horizontal="left" vertical="top" wrapText="1"/>
      <protection locked="0"/>
    </xf>
    <xf numFmtId="0" fontId="55" fillId="0" borderId="159" xfId="0" applyFont="1" applyBorder="1" applyAlignment="1" applyProtection="1">
      <alignment horizontal="center" vertical="center" wrapText="1"/>
      <protection locked="0"/>
    </xf>
    <xf numFmtId="0" fontId="1" fillId="0" borderId="169" xfId="0" applyFont="1" applyBorder="1" applyAlignment="1" applyProtection="1">
      <alignment horizontal="left" vertical="top" wrapText="1"/>
      <protection locked="0"/>
    </xf>
    <xf numFmtId="0" fontId="1" fillId="0" borderId="217" xfId="0" applyFont="1" applyBorder="1" applyAlignment="1" applyProtection="1">
      <alignment horizontal="left" vertical="top" wrapText="1"/>
      <protection locked="0"/>
    </xf>
    <xf numFmtId="0" fontId="1" fillId="0" borderId="218" xfId="0" applyFont="1" applyBorder="1" applyAlignment="1" applyProtection="1">
      <alignment horizontal="left" vertical="top" wrapText="1"/>
      <protection locked="0"/>
    </xf>
    <xf numFmtId="0" fontId="1" fillId="0" borderId="219" xfId="0" applyFont="1" applyBorder="1" applyAlignment="1" applyProtection="1">
      <alignment horizontal="left" vertical="top" wrapText="1"/>
      <protection locked="0"/>
    </xf>
    <xf numFmtId="0" fontId="3" fillId="0" borderId="73" xfId="0" applyFont="1" applyBorder="1" applyAlignment="1">
      <alignment horizontal="left" vertical="top" wrapText="1"/>
    </xf>
    <xf numFmtId="0" fontId="1" fillId="0" borderId="116" xfId="0" applyFont="1" applyBorder="1" applyAlignment="1" applyProtection="1">
      <alignment horizontal="left" vertical="top" wrapText="1"/>
      <protection locked="0"/>
    </xf>
    <xf numFmtId="0" fontId="1" fillId="0" borderId="221" xfId="0" applyFont="1" applyBorder="1" applyAlignment="1" applyProtection="1">
      <alignment horizontal="left" vertical="top" wrapText="1"/>
      <protection locked="0"/>
    </xf>
    <xf numFmtId="0" fontId="3" fillId="7" borderId="47" xfId="0" applyFont="1" applyFill="1" applyBorder="1" applyAlignment="1">
      <alignment horizontal="left" vertical="top" wrapText="1"/>
    </xf>
    <xf numFmtId="0" fontId="3" fillId="7" borderId="26" xfId="0" applyFont="1" applyFill="1" applyBorder="1" applyAlignment="1">
      <alignment horizontal="left" vertical="top" wrapText="1"/>
    </xf>
    <xf numFmtId="0" fontId="3" fillId="7" borderId="50" xfId="0" applyFont="1" applyFill="1" applyBorder="1" applyAlignment="1">
      <alignment horizontal="left" vertical="top" wrapText="1"/>
    </xf>
    <xf numFmtId="0" fontId="1" fillId="0" borderId="23" xfId="0" applyFont="1" applyBorder="1" applyAlignment="1">
      <alignment horizontal="left" vertical="top" wrapText="1"/>
    </xf>
    <xf numFmtId="49" fontId="32" fillId="0" borderId="0" xfId="0" applyNumberFormat="1" applyFont="1" applyAlignment="1">
      <alignment horizontal="left" vertical="top" wrapText="1"/>
    </xf>
    <xf numFmtId="0" fontId="32" fillId="0" borderId="0" xfId="0" applyFont="1" applyAlignment="1">
      <alignment horizontal="left" vertical="top" wrapText="1"/>
    </xf>
    <xf numFmtId="0" fontId="18" fillId="7" borderId="54" xfId="0" applyFont="1" applyFill="1" applyBorder="1" applyAlignment="1">
      <alignment horizontal="center" vertical="center" wrapText="1"/>
    </xf>
    <xf numFmtId="0" fontId="17" fillId="3" borderId="110" xfId="0" applyFont="1" applyFill="1" applyBorder="1" applyAlignment="1" applyProtection="1">
      <alignment horizontal="left" vertical="top" wrapText="1"/>
      <protection locked="0"/>
    </xf>
    <xf numFmtId="0" fontId="0" fillId="0" borderId="161" xfId="0" applyBorder="1" applyAlignment="1">
      <alignment horizontal="left" vertical="top"/>
    </xf>
    <xf numFmtId="0" fontId="0" fillId="0" borderId="162" xfId="0" applyBorder="1" applyAlignment="1">
      <alignment horizontal="left" vertical="top"/>
    </xf>
    <xf numFmtId="0" fontId="0" fillId="0" borderId="164" xfId="0" applyBorder="1" applyAlignment="1">
      <alignment horizontal="left" vertical="top"/>
    </xf>
    <xf numFmtId="0" fontId="0" fillId="0" borderId="165" xfId="0" applyBorder="1" applyAlignment="1">
      <alignment horizontal="left" vertical="top"/>
    </xf>
    <xf numFmtId="0" fontId="17" fillId="0" borderId="110" xfId="0" applyFont="1" applyBorder="1" applyAlignment="1">
      <alignment horizontal="left" vertical="top" wrapText="1"/>
    </xf>
    <xf numFmtId="0" fontId="17" fillId="0" borderId="159" xfId="0" applyFont="1" applyBorder="1" applyAlignment="1">
      <alignment horizontal="left" vertical="top" wrapText="1"/>
    </xf>
    <xf numFmtId="0" fontId="17" fillId="0" borderId="164" xfId="0" applyFont="1" applyBorder="1" applyAlignment="1">
      <alignment horizontal="left" vertical="top" wrapText="1"/>
    </xf>
    <xf numFmtId="0" fontId="1" fillId="0" borderId="205" xfId="0" applyFont="1" applyBorder="1" applyAlignment="1" applyProtection="1">
      <alignment horizontal="left" vertical="top" wrapText="1"/>
      <protection locked="0"/>
    </xf>
    <xf numFmtId="0" fontId="1" fillId="0" borderId="170" xfId="0" applyFont="1" applyBorder="1" applyAlignment="1" applyProtection="1">
      <alignment horizontal="left" vertical="top" wrapText="1"/>
      <protection locked="0"/>
    </xf>
    <xf numFmtId="0" fontId="1" fillId="0" borderId="177" xfId="0" applyFont="1" applyBorder="1" applyAlignment="1" applyProtection="1">
      <alignment horizontal="left" vertical="top" wrapText="1"/>
      <protection locked="0"/>
    </xf>
    <xf numFmtId="0" fontId="1" fillId="3" borderId="113" xfId="0" applyFont="1" applyFill="1" applyBorder="1" applyAlignment="1" applyProtection="1">
      <alignment horizontal="left" vertical="top" wrapText="1"/>
      <protection locked="0"/>
    </xf>
    <xf numFmtId="0" fontId="1" fillId="0" borderId="159" xfId="3" applyFont="1" applyBorder="1" applyAlignment="1" applyProtection="1">
      <alignment horizontal="left" vertical="top" wrapText="1"/>
      <protection locked="0"/>
    </xf>
    <xf numFmtId="0" fontId="1" fillId="0" borderId="110" xfId="3" applyFont="1" applyBorder="1" applyAlignment="1" applyProtection="1">
      <alignment horizontal="left" vertical="top" wrapText="1"/>
      <protection locked="0"/>
    </xf>
    <xf numFmtId="0" fontId="1" fillId="0" borderId="161" xfId="3" applyFont="1" applyBorder="1" applyAlignment="1" applyProtection="1">
      <alignment horizontal="left" vertical="top" wrapText="1"/>
      <protection locked="0"/>
    </xf>
    <xf numFmtId="0" fontId="1" fillId="0" borderId="163" xfId="3" applyFont="1" applyBorder="1" applyAlignment="1" applyProtection="1">
      <alignment horizontal="left" vertical="top" wrapText="1"/>
      <protection locked="0"/>
    </xf>
    <xf numFmtId="0" fontId="1" fillId="0" borderId="164" xfId="3" applyFont="1" applyBorder="1" applyAlignment="1" applyProtection="1">
      <alignment horizontal="left" vertical="top" wrapText="1"/>
      <protection locked="0"/>
    </xf>
    <xf numFmtId="0" fontId="1" fillId="0" borderId="0" xfId="3" applyFont="1" applyAlignment="1" applyProtection="1">
      <alignment horizontal="left" vertical="top" wrapText="1"/>
      <protection locked="0"/>
    </xf>
    <xf numFmtId="0" fontId="1" fillId="0" borderId="158" xfId="3" applyFont="1" applyBorder="1" applyAlignment="1" applyProtection="1">
      <alignment horizontal="left" vertical="top" wrapText="1"/>
      <protection locked="0"/>
    </xf>
    <xf numFmtId="0" fontId="1" fillId="0" borderId="160" xfId="3" applyFont="1" applyBorder="1" applyAlignment="1" applyProtection="1">
      <alignment horizontal="left" vertical="top" wrapText="1"/>
      <protection locked="0"/>
    </xf>
    <xf numFmtId="0" fontId="1" fillId="0" borderId="68" xfId="3" applyFont="1" applyBorder="1" applyAlignment="1" applyProtection="1">
      <alignment horizontal="left" vertical="top" wrapText="1"/>
      <protection locked="0"/>
    </xf>
    <xf numFmtId="0" fontId="1" fillId="0" borderId="31" xfId="3" applyFont="1" applyBorder="1" applyAlignment="1" applyProtection="1">
      <alignment horizontal="left" vertical="top" wrapText="1"/>
      <protection locked="0"/>
    </xf>
    <xf numFmtId="0" fontId="1" fillId="0" borderId="1" xfId="3" applyFont="1" applyBorder="1" applyAlignment="1" applyProtection="1">
      <alignment horizontal="left" vertical="top" wrapText="1"/>
      <protection locked="0"/>
    </xf>
    <xf numFmtId="0" fontId="1" fillId="0" borderId="162" xfId="3" applyFont="1" applyBorder="1" applyAlignment="1" applyProtection="1">
      <alignment horizontal="left" vertical="top" wrapText="1"/>
      <protection locked="0"/>
    </xf>
    <xf numFmtId="16" fontId="1" fillId="0" borderId="0" xfId="3" applyNumberFormat="1" applyFont="1" applyAlignment="1" applyProtection="1">
      <alignment horizontal="left" vertical="top" wrapText="1"/>
      <protection locked="0"/>
    </xf>
    <xf numFmtId="0" fontId="1" fillId="0" borderId="165" xfId="3" applyFont="1" applyBorder="1" applyAlignment="1" applyProtection="1">
      <alignment horizontal="left" vertical="top" wrapText="1"/>
      <protection locked="0"/>
    </xf>
    <xf numFmtId="0" fontId="1" fillId="0" borderId="115" xfId="3" applyFont="1" applyBorder="1" applyAlignment="1" applyProtection="1">
      <alignment horizontal="left" vertical="top" wrapText="1"/>
      <protection locked="0"/>
    </xf>
    <xf numFmtId="0" fontId="1" fillId="0" borderId="172" xfId="3" applyFont="1" applyBorder="1" applyAlignment="1" applyProtection="1">
      <alignment horizontal="left" vertical="top" wrapText="1"/>
      <protection locked="0"/>
    </xf>
    <xf numFmtId="0" fontId="1" fillId="0" borderId="166" xfId="3" applyFont="1" applyBorder="1" applyAlignment="1" applyProtection="1">
      <alignment horizontal="left" vertical="top" wrapText="1"/>
      <protection locked="0"/>
    </xf>
    <xf numFmtId="0" fontId="1" fillId="0" borderId="167" xfId="3" applyFont="1" applyBorder="1" applyAlignment="1" applyProtection="1">
      <alignment horizontal="left" vertical="top" wrapText="1"/>
      <protection locked="0"/>
    </xf>
    <xf numFmtId="0" fontId="1" fillId="0" borderId="197" xfId="0" applyFont="1" applyBorder="1" applyAlignment="1" applyProtection="1">
      <alignment horizontal="left" vertical="top" wrapText="1"/>
      <protection locked="0"/>
    </xf>
    <xf numFmtId="0" fontId="1" fillId="0" borderId="187" xfId="0" applyFont="1" applyBorder="1" applyAlignment="1" applyProtection="1">
      <alignment horizontal="left" vertical="top" wrapText="1"/>
      <protection locked="0"/>
    </xf>
    <xf numFmtId="0" fontId="1" fillId="0" borderId="196" xfId="0" applyFont="1" applyBorder="1" applyAlignment="1" applyProtection="1">
      <alignment horizontal="left" vertical="top" wrapText="1"/>
      <protection locked="0"/>
    </xf>
    <xf numFmtId="0" fontId="17" fillId="0" borderId="159" xfId="0" applyFont="1" applyBorder="1" applyAlignment="1">
      <alignment horizontal="center" vertical="center" wrapText="1"/>
    </xf>
    <xf numFmtId="0" fontId="8" fillId="0" borderId="159" xfId="0" applyFont="1" applyBorder="1" applyAlignment="1" applyProtection="1">
      <alignment horizontal="left" vertical="top" wrapText="1"/>
      <protection locked="0"/>
    </xf>
    <xf numFmtId="49" fontId="18" fillId="0" borderId="0" xfId="0" applyNumberFormat="1" applyFont="1" applyAlignment="1">
      <alignment vertical="top" wrapText="1"/>
    </xf>
    <xf numFmtId="0" fontId="1" fillId="0" borderId="207" xfId="0" applyFont="1" applyBorder="1" applyAlignment="1" applyProtection="1">
      <alignment horizontal="left" vertical="top" wrapText="1"/>
      <protection locked="0"/>
    </xf>
    <xf numFmtId="0" fontId="0" fillId="0" borderId="110" xfId="0" applyBorder="1" applyAlignment="1">
      <alignment horizontal="left" vertical="top" wrapText="1"/>
    </xf>
    <xf numFmtId="0" fontId="0" fillId="0" borderId="164" xfId="0" applyBorder="1" applyAlignment="1">
      <alignment horizontal="left" vertical="top" wrapText="1"/>
    </xf>
    <xf numFmtId="0" fontId="1" fillId="0" borderId="210" xfId="0" applyFont="1" applyBorder="1" applyAlignment="1" applyProtection="1">
      <alignment horizontal="left" vertical="top" wrapText="1"/>
      <protection locked="0"/>
    </xf>
    <xf numFmtId="0" fontId="1" fillId="0" borderId="201" xfId="0" applyFont="1" applyBorder="1" applyAlignment="1" applyProtection="1">
      <alignment horizontal="left" vertical="top" wrapText="1"/>
      <protection locked="0"/>
    </xf>
    <xf numFmtId="0" fontId="1" fillId="0" borderId="202" xfId="0" applyFont="1" applyBorder="1" applyAlignment="1" applyProtection="1">
      <alignment horizontal="left" vertical="top" wrapText="1"/>
      <protection locked="0"/>
    </xf>
    <xf numFmtId="0" fontId="17" fillId="0" borderId="163" xfId="0" applyFont="1" applyBorder="1" applyAlignment="1" applyProtection="1">
      <alignment horizontal="left" vertical="top" wrapText="1"/>
      <protection locked="0"/>
    </xf>
    <xf numFmtId="0" fontId="1" fillId="0" borderId="188" xfId="0" applyFont="1" applyBorder="1" applyAlignment="1" applyProtection="1">
      <alignment horizontal="left" vertical="top" wrapText="1"/>
      <protection locked="0"/>
    </xf>
    <xf numFmtId="0" fontId="1" fillId="0" borderId="93" xfId="0" applyFont="1" applyBorder="1" applyAlignment="1" applyProtection="1">
      <alignment horizontal="left" vertical="top" wrapText="1"/>
      <protection locked="0"/>
    </xf>
    <xf numFmtId="0" fontId="1" fillId="0" borderId="110" xfId="0" applyFont="1" applyBorder="1" applyAlignment="1">
      <alignment horizontal="left" vertical="top" wrapText="1"/>
    </xf>
    <xf numFmtId="0" fontId="1" fillId="0" borderId="0" xfId="0" applyFont="1" applyAlignment="1" applyProtection="1">
      <alignment vertical="top" wrapText="1"/>
      <protection locked="0"/>
    </xf>
    <xf numFmtId="0" fontId="1" fillId="0" borderId="160" xfId="0" applyFont="1" applyBorder="1" applyAlignment="1">
      <alignment horizontal="left" vertical="top" wrapText="1"/>
    </xf>
    <xf numFmtId="0" fontId="1" fillId="0" borderId="162" xfId="0" applyFont="1" applyBorder="1" applyAlignment="1">
      <alignment horizontal="left" vertical="top" wrapText="1"/>
    </xf>
    <xf numFmtId="0" fontId="0" fillId="0" borderId="115" xfId="0" applyBorder="1" applyAlignment="1">
      <alignment horizontal="left" vertical="top"/>
    </xf>
    <xf numFmtId="0" fontId="17" fillId="0" borderId="212" xfId="0" applyFont="1" applyBorder="1" applyAlignment="1" applyProtection="1">
      <alignment horizontal="center" vertical="center" wrapText="1"/>
      <protection locked="0"/>
    </xf>
    <xf numFmtId="0" fontId="1" fillId="0" borderId="213"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1" fillId="0" borderId="214" xfId="0" applyFont="1" applyBorder="1" applyAlignment="1" applyProtection="1">
      <alignment horizontal="left" vertical="top" wrapText="1"/>
      <protection locked="0"/>
    </xf>
    <xf numFmtId="0" fontId="1" fillId="0" borderId="215" xfId="0" applyFont="1" applyBorder="1" applyAlignment="1" applyProtection="1">
      <alignment horizontal="left" vertical="top" wrapText="1"/>
      <protection locked="0"/>
    </xf>
    <xf numFmtId="0" fontId="1" fillId="0" borderId="159" xfId="0" applyFont="1" applyBorder="1" applyAlignment="1">
      <alignment horizontal="left" vertical="top" wrapText="1"/>
    </xf>
    <xf numFmtId="0" fontId="17" fillId="0" borderId="114" xfId="0" applyFont="1" applyBorder="1" applyAlignment="1" applyProtection="1">
      <alignment horizontal="left" vertical="top" wrapText="1"/>
      <protection locked="0"/>
    </xf>
    <xf numFmtId="0" fontId="1" fillId="0" borderId="216" xfId="0" applyFont="1" applyBorder="1" applyAlignment="1" applyProtection="1">
      <alignment horizontal="left" vertical="top" wrapText="1"/>
      <protection locked="0"/>
    </xf>
    <xf numFmtId="0" fontId="1" fillId="0" borderId="186" xfId="0" applyFont="1" applyBorder="1" applyAlignment="1" applyProtection="1">
      <alignment horizontal="left" vertical="top" wrapText="1"/>
      <protection locked="0"/>
    </xf>
    <xf numFmtId="0" fontId="1" fillId="0" borderId="231" xfId="0" applyFont="1" applyBorder="1" applyAlignment="1" applyProtection="1">
      <alignment horizontal="left" vertical="top" wrapText="1"/>
      <protection locked="0"/>
    </xf>
    <xf numFmtId="0" fontId="1" fillId="0" borderId="195" xfId="0" applyFont="1" applyBorder="1" applyAlignment="1" applyProtection="1">
      <alignment horizontal="left" vertical="top" wrapText="1"/>
      <protection locked="0"/>
    </xf>
    <xf numFmtId="0" fontId="1" fillId="0" borderId="227" xfId="0" applyFont="1" applyBorder="1" applyAlignment="1" applyProtection="1">
      <alignment horizontal="left" vertical="top" wrapText="1"/>
      <protection locked="0"/>
    </xf>
    <xf numFmtId="0" fontId="41" fillId="0" borderId="0" xfId="0" applyFont="1" applyAlignment="1">
      <alignment horizontal="left" vertical="top" wrapText="1"/>
    </xf>
    <xf numFmtId="0" fontId="1" fillId="0" borderId="222" xfId="0" applyFont="1" applyBorder="1" applyAlignment="1" applyProtection="1">
      <alignment horizontal="left" vertical="top" wrapText="1"/>
      <protection locked="0"/>
    </xf>
    <xf numFmtId="0" fontId="41" fillId="0" borderId="110" xfId="0" applyFont="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1" fillId="0" borderId="164" xfId="0" applyFont="1" applyBorder="1" applyAlignment="1" applyProtection="1">
      <alignment horizontal="left" vertical="top" wrapText="1"/>
      <protection locked="0"/>
    </xf>
    <xf numFmtId="0" fontId="41" fillId="0" borderId="23" xfId="0" applyFont="1" applyBorder="1" applyAlignment="1" applyProtection="1">
      <alignment horizontal="left" vertical="top" wrapText="1"/>
      <protection locked="0"/>
    </xf>
    <xf numFmtId="0" fontId="41" fillId="0" borderId="159" xfId="0" applyFont="1" applyBorder="1" applyAlignment="1" applyProtection="1">
      <alignment horizontal="left" vertical="top" wrapText="1"/>
      <protection locked="0"/>
    </xf>
    <xf numFmtId="0" fontId="39" fillId="0" borderId="110" xfId="0" applyFont="1" applyBorder="1" applyAlignment="1">
      <alignment horizontal="left" vertical="top"/>
    </xf>
    <xf numFmtId="0" fontId="53" fillId="0" borderId="0" xfId="0" applyFont="1" applyAlignment="1">
      <alignment horizontal="left" vertical="top" wrapText="1"/>
    </xf>
    <xf numFmtId="0" fontId="22" fillId="0" borderId="164" xfId="0" applyFont="1" applyBorder="1" applyAlignment="1">
      <alignment horizontal="left" vertical="top" wrapText="1"/>
    </xf>
    <xf numFmtId="0" fontId="27" fillId="0" borderId="110" xfId="0" applyFont="1" applyBorder="1" applyAlignment="1">
      <alignment horizontal="left" vertical="top"/>
    </xf>
    <xf numFmtId="0" fontId="58" fillId="0" borderId="0" xfId="0" applyFont="1" applyAlignment="1">
      <alignment horizontal="left" vertical="top"/>
    </xf>
    <xf numFmtId="0" fontId="36" fillId="7" borderId="47" xfId="0" applyFont="1" applyFill="1" applyBorder="1" applyAlignment="1">
      <alignment horizontal="left" vertical="top" wrapText="1"/>
    </xf>
    <xf numFmtId="0" fontId="36" fillId="7" borderId="26" xfId="0" applyFont="1" applyFill="1" applyBorder="1" applyAlignment="1">
      <alignment horizontal="left" vertical="top" wrapText="1"/>
    </xf>
    <xf numFmtId="0" fontId="36" fillId="7" borderId="50" xfId="0" applyFont="1" applyFill="1" applyBorder="1" applyAlignment="1">
      <alignment horizontal="left" vertical="top" wrapText="1"/>
    </xf>
    <xf numFmtId="0" fontId="1" fillId="0" borderId="175" xfId="0" applyFont="1" applyBorder="1" applyAlignment="1" applyProtection="1">
      <alignment horizontal="left" vertical="top" wrapText="1"/>
      <protection locked="0"/>
    </xf>
    <xf numFmtId="0" fontId="1" fillId="0" borderId="176" xfId="0" applyFont="1" applyBorder="1" applyAlignment="1" applyProtection="1">
      <alignment horizontal="left" vertical="top" wrapText="1"/>
      <protection locked="0"/>
    </xf>
    <xf numFmtId="0" fontId="1" fillId="0" borderId="250" xfId="0" applyFont="1" applyBorder="1" applyAlignment="1" applyProtection="1">
      <alignment horizontal="left" vertical="top" wrapText="1"/>
      <protection locked="0"/>
    </xf>
    <xf numFmtId="0" fontId="1" fillId="0" borderId="104" xfId="0" applyFont="1" applyBorder="1" applyAlignment="1" applyProtection="1">
      <alignment horizontal="left" vertical="top" wrapText="1"/>
      <protection locked="0"/>
    </xf>
    <xf numFmtId="0" fontId="32" fillId="0" borderId="0" xfId="0" applyFont="1" applyAlignment="1">
      <alignment horizontal="left" vertical="top"/>
    </xf>
    <xf numFmtId="0" fontId="17" fillId="0" borderId="15" xfId="0" applyFont="1" applyBorder="1" applyAlignment="1" applyProtection="1">
      <alignment horizontal="left" vertical="top" wrapText="1"/>
      <protection locked="0"/>
    </xf>
    <xf numFmtId="0" fontId="17" fillId="0" borderId="104" xfId="0" applyFont="1" applyBorder="1" applyAlignment="1" applyProtection="1">
      <alignment horizontal="left" vertical="top" wrapText="1"/>
      <protection locked="0"/>
    </xf>
    <xf numFmtId="0" fontId="16" fillId="0" borderId="73" xfId="0" applyFont="1" applyBorder="1" applyAlignment="1">
      <alignment horizontal="left" vertical="top" wrapText="1"/>
    </xf>
    <xf numFmtId="0" fontId="8" fillId="0" borderId="0" xfId="0" applyFont="1" applyAlignment="1">
      <alignment horizontal="left" vertical="top" wrapText="1"/>
    </xf>
    <xf numFmtId="0" fontId="1" fillId="0" borderId="95" xfId="0" applyFont="1" applyBorder="1" applyAlignment="1" applyProtection="1">
      <alignment horizontal="left" vertical="top" wrapText="1"/>
      <protection locked="0"/>
    </xf>
    <xf numFmtId="0" fontId="1" fillId="0" borderId="153" xfId="0" applyFont="1" applyBorder="1" applyAlignment="1" applyProtection="1">
      <alignment horizontal="left" vertical="top" wrapText="1"/>
      <protection locked="0"/>
    </xf>
    <xf numFmtId="0" fontId="1" fillId="0" borderId="91" xfId="0" applyFont="1" applyBorder="1" applyAlignment="1">
      <alignment horizontal="left" vertical="top" wrapText="1"/>
    </xf>
    <xf numFmtId="0" fontId="1" fillId="0" borderId="136" xfId="0" applyFont="1" applyBorder="1" applyAlignment="1">
      <alignment horizontal="left" vertical="top" wrapText="1"/>
    </xf>
    <xf numFmtId="0" fontId="3" fillId="7" borderId="0" xfId="0" applyFont="1" applyFill="1" applyAlignment="1">
      <alignment horizontal="left" vertical="top" wrapText="1"/>
    </xf>
    <xf numFmtId="0" fontId="0" fillId="0" borderId="32" xfId="0" applyBorder="1" applyAlignment="1">
      <alignment horizontal="left" vertical="top"/>
    </xf>
    <xf numFmtId="0" fontId="0" fillId="0" borderId="89" xfId="0" applyBorder="1" applyAlignment="1">
      <alignment horizontal="left" vertical="top"/>
    </xf>
    <xf numFmtId="0" fontId="17" fillId="0" borderId="23" xfId="0" applyFont="1" applyBorder="1" applyAlignment="1" applyProtection="1">
      <alignment horizontal="left" vertical="top" wrapText="1"/>
      <protection locked="0"/>
    </xf>
    <xf numFmtId="0" fontId="1" fillId="0" borderId="198" xfId="0" applyFont="1" applyBorder="1" applyAlignment="1" applyProtection="1">
      <alignment horizontal="left" vertical="top" wrapText="1"/>
      <protection locked="0"/>
    </xf>
    <xf numFmtId="0" fontId="16" fillId="7" borderId="47" xfId="0" applyFont="1" applyFill="1" applyBorder="1" applyAlignment="1">
      <alignment horizontal="left" vertical="top" wrapText="1"/>
    </xf>
    <xf numFmtId="0" fontId="16" fillId="7" borderId="26" xfId="0" applyFont="1" applyFill="1" applyBorder="1" applyAlignment="1">
      <alignment horizontal="left" vertical="top" wrapText="1"/>
    </xf>
    <xf numFmtId="0" fontId="16" fillId="7" borderId="50" xfId="0" applyFont="1" applyFill="1" applyBorder="1" applyAlignment="1">
      <alignment horizontal="left" vertical="top" wrapText="1"/>
    </xf>
    <xf numFmtId="0" fontId="18" fillId="7" borderId="146" xfId="0" applyFont="1" applyFill="1" applyBorder="1" applyAlignment="1">
      <alignment horizontal="left" vertical="top" wrapText="1"/>
    </xf>
    <xf numFmtId="0" fontId="18" fillId="7" borderId="121" xfId="0" applyFont="1" applyFill="1" applyBorder="1" applyAlignment="1">
      <alignment horizontal="left" vertical="top" wrapText="1"/>
    </xf>
    <xf numFmtId="0" fontId="18" fillId="0" borderId="161" xfId="0" applyFont="1" applyBorder="1" applyAlignment="1">
      <alignment horizontal="left" vertical="top" wrapText="1"/>
    </xf>
    <xf numFmtId="0" fontId="48" fillId="0" borderId="110" xfId="0" applyFont="1" applyBorder="1" applyAlignment="1">
      <alignment horizontal="left" vertical="top"/>
    </xf>
    <xf numFmtId="0" fontId="17" fillId="0" borderId="161" xfId="0" applyFont="1" applyBorder="1" applyAlignment="1">
      <alignment horizontal="left" vertical="top" wrapText="1"/>
    </xf>
    <xf numFmtId="0" fontId="36" fillId="7" borderId="159" xfId="0" applyFont="1" applyFill="1" applyBorder="1" applyAlignment="1">
      <alignment horizontal="left" vertical="top" wrapText="1"/>
    </xf>
    <xf numFmtId="0" fontId="36" fillId="7" borderId="160" xfId="0" applyFont="1" applyFill="1" applyBorder="1" applyAlignment="1">
      <alignment horizontal="left" vertical="top" wrapText="1"/>
    </xf>
    <xf numFmtId="0" fontId="39" fillId="0" borderId="161" xfId="0" applyFont="1" applyBorder="1" applyAlignment="1">
      <alignment horizontal="left" vertical="top"/>
    </xf>
    <xf numFmtId="0" fontId="17" fillId="0" borderId="164" xfId="0" applyFont="1" applyBorder="1" applyAlignment="1" applyProtection="1">
      <alignment horizontal="left" vertical="top" wrapText="1"/>
      <protection locked="0"/>
    </xf>
    <xf numFmtId="0" fontId="3" fillId="7" borderId="159" xfId="0" applyFont="1" applyFill="1" applyBorder="1" applyAlignment="1">
      <alignment horizontal="left" vertical="top" wrapText="1"/>
    </xf>
    <xf numFmtId="0" fontId="3" fillId="7" borderId="160" xfId="0" applyFont="1" applyFill="1" applyBorder="1" applyAlignment="1">
      <alignment horizontal="left" vertical="top" wrapText="1"/>
    </xf>
    <xf numFmtId="0" fontId="8" fillId="0" borderId="110" xfId="0" applyFont="1" applyBorder="1" applyAlignment="1" applyProtection="1">
      <alignment horizontal="left" vertical="top" wrapText="1"/>
      <protection locked="0"/>
    </xf>
    <xf numFmtId="49" fontId="18" fillId="0" borderId="163" xfId="0" applyNumberFormat="1" applyFont="1" applyBorder="1" applyAlignment="1">
      <alignment horizontal="left" vertical="top" wrapText="1"/>
    </xf>
    <xf numFmtId="0" fontId="1" fillId="0" borderId="161" xfId="0" applyFont="1" applyBorder="1" applyAlignment="1">
      <alignment horizontal="left" vertical="top" wrapText="1"/>
    </xf>
    <xf numFmtId="0" fontId="22" fillId="0" borderId="163" xfId="0" applyFont="1" applyBorder="1" applyAlignment="1">
      <alignment horizontal="left" vertical="top" wrapText="1"/>
    </xf>
    <xf numFmtId="0" fontId="0" fillId="8" borderId="110" xfId="0" applyFill="1" applyBorder="1" applyAlignment="1">
      <alignment horizontal="left" vertical="top"/>
    </xf>
    <xf numFmtId="0" fontId="32" fillId="0" borderId="164" xfId="0" applyFont="1" applyBorder="1" applyAlignment="1">
      <alignment horizontal="left" vertical="top" wrapText="1"/>
    </xf>
    <xf numFmtId="0" fontId="27" fillId="0" borderId="112" xfId="0" applyFont="1" applyBorder="1" applyAlignment="1">
      <alignment horizontal="left" vertical="top"/>
    </xf>
    <xf numFmtId="0" fontId="27" fillId="0" borderId="113" xfId="0" applyFont="1" applyBorder="1" applyAlignment="1">
      <alignment horizontal="left" vertical="top"/>
    </xf>
    <xf numFmtId="0" fontId="14" fillId="6" borderId="0" xfId="0" applyFont="1" applyFill="1" applyAlignment="1">
      <alignment horizontal="left" vertical="top" wrapText="1"/>
    </xf>
    <xf numFmtId="0" fontId="8" fillId="0" borderId="159" xfId="0" applyFont="1" applyBorder="1" applyAlignment="1">
      <alignment horizontal="left" vertical="top" wrapText="1"/>
    </xf>
    <xf numFmtId="0" fontId="8" fillId="0" borderId="98" xfId="0" applyFont="1" applyBorder="1" applyAlignment="1">
      <alignment horizontal="left" vertical="top" wrapText="1"/>
    </xf>
    <xf numFmtId="0" fontId="8" fillId="6" borderId="73" xfId="0" applyFont="1" applyFill="1" applyBorder="1" applyAlignment="1">
      <alignment horizontal="left" vertical="top" wrapText="1"/>
    </xf>
    <xf numFmtId="0" fontId="8" fillId="6" borderId="118" xfId="0" applyFont="1" applyFill="1" applyBorder="1" applyAlignment="1">
      <alignment horizontal="left" vertical="top" wrapText="1"/>
    </xf>
    <xf numFmtId="0" fontId="8" fillId="0" borderId="168" xfId="0" applyFont="1" applyBorder="1" applyAlignment="1">
      <alignment horizontal="left" vertical="top" wrapText="1"/>
    </xf>
    <xf numFmtId="0" fontId="1" fillId="0" borderId="75" xfId="0" applyFont="1" applyBorder="1" applyAlignment="1">
      <alignment horizontal="left" vertical="top" wrapText="1"/>
    </xf>
    <xf numFmtId="0" fontId="32" fillId="0" borderId="91" xfId="0" applyFont="1" applyBorder="1" applyAlignment="1">
      <alignment horizontal="left" vertical="top"/>
    </xf>
    <xf numFmtId="0" fontId="32" fillId="0" borderId="23" xfId="0" applyFont="1" applyBorder="1" applyAlignment="1">
      <alignment horizontal="left" vertical="top"/>
    </xf>
    <xf numFmtId="0" fontId="0" fillId="0" borderId="88" xfId="0" applyBorder="1" applyAlignment="1">
      <alignment horizontal="left" vertical="top"/>
    </xf>
    <xf numFmtId="0" fontId="1" fillId="0" borderId="261" xfId="0" applyFont="1" applyBorder="1" applyAlignment="1" applyProtection="1">
      <alignment horizontal="left" vertical="top" wrapText="1"/>
      <protection locked="0"/>
    </xf>
    <xf numFmtId="0" fontId="1" fillId="0" borderId="264" xfId="0" applyFont="1" applyBorder="1" applyAlignment="1" applyProtection="1">
      <alignment horizontal="left" vertical="top" wrapText="1"/>
      <protection locked="0"/>
    </xf>
    <xf numFmtId="0" fontId="1" fillId="0" borderId="178" xfId="0" applyFont="1" applyBorder="1" applyAlignment="1" applyProtection="1">
      <alignment horizontal="left" vertical="top" wrapText="1"/>
      <protection locked="0"/>
    </xf>
    <xf numFmtId="0" fontId="1" fillId="0" borderId="180" xfId="0" applyFont="1" applyBorder="1" applyAlignment="1" applyProtection="1">
      <alignment horizontal="left" vertical="top" wrapText="1"/>
      <protection locked="0"/>
    </xf>
    <xf numFmtId="0" fontId="1" fillId="0" borderId="238" xfId="0" applyFont="1" applyBorder="1" applyAlignment="1" applyProtection="1">
      <alignment horizontal="left" vertical="top" wrapText="1"/>
      <protection locked="0"/>
    </xf>
    <xf numFmtId="0" fontId="1" fillId="0" borderId="266" xfId="0" applyFont="1" applyBorder="1" applyAlignment="1" applyProtection="1">
      <alignment horizontal="left" vertical="top" wrapText="1"/>
      <protection locked="0"/>
    </xf>
    <xf numFmtId="0" fontId="1" fillId="0" borderId="268" xfId="0" applyFont="1" applyBorder="1" applyAlignment="1" applyProtection="1">
      <alignment horizontal="left" vertical="top" wrapText="1"/>
      <protection locked="0"/>
    </xf>
    <xf numFmtId="0" fontId="1" fillId="0" borderId="269" xfId="0" applyFont="1" applyBorder="1" applyAlignment="1" applyProtection="1">
      <alignment horizontal="left" vertical="top" wrapText="1"/>
      <protection locked="0"/>
    </xf>
    <xf numFmtId="0" fontId="1" fillId="0" borderId="271" xfId="0" applyFont="1" applyBorder="1" applyAlignment="1" applyProtection="1">
      <alignment horizontal="left" vertical="top" wrapText="1"/>
      <protection locked="0"/>
    </xf>
    <xf numFmtId="0" fontId="1" fillId="0" borderId="272" xfId="0" applyFont="1" applyBorder="1" applyAlignment="1" applyProtection="1">
      <alignment horizontal="left" vertical="top" wrapText="1"/>
      <protection locked="0"/>
    </xf>
    <xf numFmtId="0" fontId="1" fillId="0" borderId="273" xfId="0" applyFont="1" applyBorder="1" applyAlignment="1" applyProtection="1">
      <alignment horizontal="left" vertical="top" wrapText="1"/>
      <protection locked="0"/>
    </xf>
    <xf numFmtId="0" fontId="1" fillId="0" borderId="277" xfId="0" applyFont="1" applyBorder="1" applyAlignment="1" applyProtection="1">
      <alignment horizontal="left" vertical="top" wrapText="1"/>
      <protection locked="0"/>
    </xf>
    <xf numFmtId="0" fontId="1" fillId="0" borderId="260" xfId="0" applyFont="1" applyBorder="1" applyAlignment="1" applyProtection="1">
      <alignment horizontal="left" vertical="top" wrapText="1"/>
      <protection locked="0"/>
    </xf>
    <xf numFmtId="0" fontId="1" fillId="0" borderId="278" xfId="0" applyFont="1" applyBorder="1" applyAlignment="1" applyProtection="1">
      <alignment horizontal="left" vertical="top" wrapText="1"/>
      <protection locked="0"/>
    </xf>
    <xf numFmtId="0" fontId="32" fillId="0" borderId="110" xfId="0" applyFont="1" applyBorder="1" applyAlignment="1">
      <alignment horizontal="left" vertical="top" wrapText="1"/>
    </xf>
    <xf numFmtId="0" fontId="1" fillId="0" borderId="280" xfId="0" applyFont="1" applyBorder="1" applyAlignment="1" applyProtection="1">
      <alignment horizontal="left" vertical="top" wrapText="1"/>
      <protection locked="0"/>
    </xf>
    <xf numFmtId="0" fontId="1" fillId="0" borderId="281" xfId="0" applyFont="1" applyBorder="1" applyAlignment="1" applyProtection="1">
      <alignment horizontal="left" vertical="top" wrapText="1"/>
      <protection locked="0"/>
    </xf>
    <xf numFmtId="0" fontId="1" fillId="0" borderId="200" xfId="0" applyFont="1" applyBorder="1" applyAlignment="1" applyProtection="1">
      <alignment horizontal="left" vertical="top" wrapText="1"/>
      <protection locked="0"/>
    </xf>
    <xf numFmtId="0" fontId="1" fillId="0" borderId="282" xfId="0" applyFont="1" applyBorder="1" applyAlignment="1" applyProtection="1">
      <alignment horizontal="left" vertical="top" wrapText="1"/>
      <protection locked="0"/>
    </xf>
    <xf numFmtId="0" fontId="1" fillId="0" borderId="183" xfId="0" applyFont="1" applyBorder="1" applyAlignment="1" applyProtection="1">
      <alignment horizontal="left" vertical="top" wrapText="1"/>
      <protection locked="0"/>
    </xf>
    <xf numFmtId="0" fontId="1" fillId="0" borderId="284" xfId="0" applyFont="1" applyBorder="1" applyAlignment="1" applyProtection="1">
      <alignment horizontal="left" vertical="top" wrapText="1"/>
      <protection locked="0"/>
    </xf>
    <xf numFmtId="0" fontId="1" fillId="0" borderId="285" xfId="0" applyFont="1" applyBorder="1" applyAlignment="1" applyProtection="1">
      <alignment horizontal="left" vertical="top" wrapText="1"/>
      <protection locked="0"/>
    </xf>
    <xf numFmtId="0" fontId="1" fillId="0" borderId="179" xfId="0" applyFont="1" applyBorder="1" applyAlignment="1" applyProtection="1">
      <alignment horizontal="left" vertical="top" wrapText="1"/>
      <protection locked="0"/>
    </xf>
    <xf numFmtId="0" fontId="1" fillId="0" borderId="225" xfId="0" applyFont="1" applyBorder="1" applyAlignment="1" applyProtection="1">
      <alignment horizontal="left" vertical="top" wrapText="1"/>
      <protection locked="0"/>
    </xf>
    <xf numFmtId="0" fontId="1" fillId="0" borderId="229" xfId="0" applyFont="1" applyBorder="1" applyAlignment="1" applyProtection="1">
      <alignment horizontal="left" vertical="top" wrapText="1"/>
      <protection locked="0"/>
    </xf>
    <xf numFmtId="0" fontId="52" fillId="0" borderId="0" xfId="0" applyFont="1" applyAlignment="1">
      <alignment horizontal="left" vertical="top"/>
    </xf>
    <xf numFmtId="0" fontId="1" fillId="0" borderId="297" xfId="0" applyFont="1" applyBorder="1" applyAlignment="1" applyProtection="1">
      <alignment horizontal="left" vertical="top" wrapText="1"/>
      <protection locked="0"/>
    </xf>
    <xf numFmtId="0" fontId="8" fillId="0" borderId="160" xfId="0" applyFont="1" applyBorder="1" applyAlignment="1" applyProtection="1">
      <alignment horizontal="left" vertical="top" wrapText="1"/>
      <protection locked="0"/>
    </xf>
    <xf numFmtId="0" fontId="8" fillId="0" borderId="158" xfId="0" applyFont="1" applyBorder="1" applyAlignment="1" applyProtection="1">
      <alignment horizontal="left" vertical="top" wrapText="1"/>
      <protection locked="0"/>
    </xf>
    <xf numFmtId="0" fontId="8" fillId="0" borderId="68" xfId="0" applyFont="1" applyBorder="1" applyAlignment="1" applyProtection="1">
      <alignment horizontal="left" vertical="top" wrapText="1"/>
      <protection locked="0"/>
    </xf>
    <xf numFmtId="0" fontId="8" fillId="0" borderId="31"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1" fillId="0" borderId="290" xfId="0" applyFont="1" applyBorder="1" applyAlignment="1" applyProtection="1">
      <alignment horizontal="left" vertical="top" wrapText="1"/>
      <protection locked="0"/>
    </xf>
    <xf numFmtId="0" fontId="1" fillId="0" borderId="292" xfId="0" applyFont="1" applyBorder="1" applyAlignment="1" applyProtection="1">
      <alignment horizontal="left" vertical="top" wrapText="1"/>
      <protection locked="0"/>
    </xf>
    <xf numFmtId="0" fontId="1" fillId="0" borderId="253" xfId="0" applyFont="1" applyBorder="1" applyAlignment="1" applyProtection="1">
      <alignment horizontal="left" vertical="top" wrapText="1"/>
      <protection locked="0"/>
    </xf>
    <xf numFmtId="0" fontId="1" fillId="0" borderId="301" xfId="0" applyFont="1" applyBorder="1" applyAlignment="1" applyProtection="1">
      <alignment horizontal="left" vertical="top" wrapText="1"/>
      <protection locked="0"/>
    </xf>
    <xf numFmtId="0" fontId="1" fillId="0" borderId="289" xfId="0" applyFont="1" applyBorder="1" applyAlignment="1" applyProtection="1">
      <alignment horizontal="left" vertical="top" wrapText="1"/>
      <protection locked="0"/>
    </xf>
    <xf numFmtId="0" fontId="1" fillId="0" borderId="305" xfId="0" applyFont="1" applyBorder="1" applyAlignment="1" applyProtection="1">
      <alignment horizontal="left" vertical="top" wrapText="1"/>
      <protection locked="0"/>
    </xf>
    <xf numFmtId="0" fontId="1" fillId="0" borderId="303" xfId="0" applyFont="1" applyBorder="1" applyAlignment="1" applyProtection="1">
      <alignment horizontal="left" vertical="top" wrapText="1"/>
      <protection locked="0"/>
    </xf>
    <xf numFmtId="0" fontId="8" fillId="0" borderId="175" xfId="0" applyFont="1" applyBorder="1" applyAlignment="1" applyProtection="1">
      <alignment horizontal="left" vertical="top" wrapText="1"/>
      <protection locked="0"/>
    </xf>
    <xf numFmtId="0" fontId="1" fillId="0" borderId="306" xfId="0" applyFont="1" applyBorder="1" applyAlignment="1" applyProtection="1">
      <alignment horizontal="left" vertical="top" wrapText="1"/>
      <protection locked="0"/>
    </xf>
    <xf numFmtId="0" fontId="17" fillId="0" borderId="143" xfId="0" applyFont="1" applyBorder="1" applyAlignment="1">
      <alignment horizontal="left" vertical="top" wrapText="1"/>
    </xf>
    <xf numFmtId="0" fontId="17" fillId="0" borderId="131" xfId="0" applyFont="1" applyBorder="1" applyAlignment="1">
      <alignment horizontal="left" vertical="top" wrapText="1"/>
    </xf>
    <xf numFmtId="0" fontId="32" fillId="0" borderId="108" xfId="0" applyFont="1" applyBorder="1" applyAlignment="1">
      <alignment horizontal="left" vertical="top" wrapText="1"/>
    </xf>
    <xf numFmtId="0" fontId="32" fillId="0" borderId="159" xfId="0" applyFont="1" applyBorder="1" applyAlignment="1">
      <alignment horizontal="left" vertical="top"/>
    </xf>
    <xf numFmtId="0" fontId="32" fillId="0" borderId="110" xfId="0" applyFont="1" applyBorder="1" applyAlignment="1">
      <alignment horizontal="left" vertical="top"/>
    </xf>
    <xf numFmtId="0" fontId="32" fillId="0" borderId="162" xfId="0" applyFont="1" applyBorder="1" applyAlignment="1">
      <alignment horizontal="left" vertical="top"/>
    </xf>
    <xf numFmtId="0" fontId="32" fillId="0" borderId="164" xfId="0" applyFont="1" applyBorder="1" applyAlignment="1">
      <alignment horizontal="left" vertical="top"/>
    </xf>
    <xf numFmtId="0" fontId="32" fillId="0" borderId="165" xfId="0" applyFont="1" applyBorder="1" applyAlignment="1">
      <alignment horizontal="left" vertical="top"/>
    </xf>
    <xf numFmtId="0" fontId="1" fillId="0" borderId="181" xfId="0" applyFont="1" applyBorder="1" applyAlignment="1" applyProtection="1">
      <alignment horizontal="left" vertical="top" wrapText="1"/>
      <protection locked="0"/>
    </xf>
    <xf numFmtId="0" fontId="1" fillId="0" borderId="313" xfId="0" applyFont="1" applyBorder="1" applyAlignment="1" applyProtection="1">
      <alignment horizontal="left" vertical="top" wrapText="1"/>
      <protection locked="0"/>
    </xf>
    <xf numFmtId="0" fontId="1" fillId="0" borderId="242" xfId="0" applyFont="1" applyBorder="1" applyAlignment="1" applyProtection="1">
      <alignment horizontal="left" vertical="top" wrapText="1"/>
      <protection locked="0"/>
    </xf>
    <xf numFmtId="0" fontId="1" fillId="0" borderId="245" xfId="0" applyFont="1" applyBorder="1" applyAlignment="1" applyProtection="1">
      <alignment horizontal="left" vertical="top" wrapText="1"/>
      <protection locked="0"/>
    </xf>
    <xf numFmtId="0" fontId="13" fillId="0" borderId="0" xfId="0" applyFont="1" applyAlignment="1">
      <alignment horizontal="left" vertical="top"/>
    </xf>
    <xf numFmtId="0" fontId="32" fillId="0" borderId="113" xfId="0" applyFont="1" applyBorder="1" applyAlignment="1">
      <alignment horizontal="left" vertical="top"/>
    </xf>
    <xf numFmtId="0" fontId="32" fillId="0" borderId="112" xfId="0" applyFont="1" applyBorder="1" applyAlignment="1">
      <alignment horizontal="left" vertical="top"/>
    </xf>
    <xf numFmtId="0" fontId="8" fillId="0" borderId="168" xfId="0" applyFont="1" applyBorder="1" applyAlignment="1" applyProtection="1">
      <alignment horizontal="left" vertical="top" wrapText="1"/>
      <protection locked="0"/>
    </xf>
    <xf numFmtId="0" fontId="8" fillId="0" borderId="191" xfId="0" applyFont="1" applyBorder="1" applyAlignment="1" applyProtection="1">
      <alignment horizontal="left" vertical="top" wrapText="1"/>
      <protection locked="0"/>
    </xf>
    <xf numFmtId="0" fontId="8" fillId="0" borderId="192" xfId="0" applyFont="1" applyBorder="1" applyAlignment="1" applyProtection="1">
      <alignment horizontal="left" vertical="top" wrapText="1"/>
      <protection locked="0"/>
    </xf>
    <xf numFmtId="0" fontId="8" fillId="0" borderId="169" xfId="0" applyFont="1" applyBorder="1" applyAlignment="1" applyProtection="1">
      <alignment horizontal="left" vertical="top" wrapText="1"/>
      <protection locked="0"/>
    </xf>
    <xf numFmtId="0" fontId="1" fillId="0" borderId="194" xfId="0" applyFont="1" applyBorder="1" applyAlignment="1" applyProtection="1">
      <alignment horizontal="left" vertical="top" wrapText="1"/>
      <protection locked="0"/>
    </xf>
    <xf numFmtId="0" fontId="1" fillId="0" borderId="317" xfId="0" applyFont="1" applyBorder="1" applyAlignment="1" applyProtection="1">
      <alignment horizontal="left" vertical="top" wrapText="1"/>
      <protection locked="0"/>
    </xf>
    <xf numFmtId="0" fontId="53" fillId="0" borderId="192" xfId="0" applyFont="1" applyBorder="1" applyAlignment="1" applyProtection="1">
      <alignment horizontal="left" vertical="top" wrapText="1"/>
      <protection locked="0"/>
    </xf>
    <xf numFmtId="0" fontId="1" fillId="0" borderId="318" xfId="0" applyFont="1" applyBorder="1" applyAlignment="1" applyProtection="1">
      <alignment horizontal="left" vertical="top" wrapText="1"/>
      <protection locked="0"/>
    </xf>
    <xf numFmtId="0" fontId="17" fillId="0" borderId="0" xfId="3" applyFont="1" applyAlignment="1" applyProtection="1">
      <alignment horizontal="left" vertical="top" wrapText="1"/>
      <protection locked="0"/>
    </xf>
    <xf numFmtId="0" fontId="1" fillId="8" borderId="134" xfId="0" applyFont="1" applyFill="1" applyBorder="1" applyAlignment="1" applyProtection="1">
      <alignment horizontal="left" vertical="top" wrapText="1"/>
      <protection locked="0"/>
    </xf>
    <xf numFmtId="0" fontId="30" fillId="0" borderId="159" xfId="3" applyFont="1" applyBorder="1" applyAlignment="1" applyProtection="1">
      <alignment horizontal="left" vertical="top" wrapText="1"/>
      <protection locked="0"/>
    </xf>
    <xf numFmtId="0" fontId="1" fillId="8" borderId="0" xfId="0" applyFont="1" applyFill="1" applyAlignment="1" applyProtection="1">
      <alignment horizontal="left" vertical="top" wrapText="1"/>
      <protection locked="0"/>
    </xf>
    <xf numFmtId="0" fontId="30" fillId="0" borderId="110" xfId="3" applyFont="1" applyBorder="1" applyAlignment="1" applyProtection="1">
      <alignment horizontal="left" vertical="top" wrapText="1"/>
      <protection locked="0"/>
    </xf>
    <xf numFmtId="0" fontId="1" fillId="8" borderId="135" xfId="0" applyFont="1" applyFill="1" applyBorder="1" applyAlignment="1" applyProtection="1">
      <alignment horizontal="left" vertical="top" wrapText="1"/>
      <protection locked="0"/>
    </xf>
    <xf numFmtId="0" fontId="17" fillId="0" borderId="110" xfId="3" applyFont="1" applyBorder="1" applyAlignment="1" applyProtection="1">
      <alignment horizontal="left" vertical="top" wrapText="1"/>
      <protection locked="0"/>
    </xf>
    <xf numFmtId="0" fontId="1" fillId="8" borderId="137" xfId="0" applyFont="1" applyFill="1" applyBorder="1" applyAlignment="1" applyProtection="1">
      <alignment horizontal="left" vertical="top" wrapText="1"/>
      <protection locked="0"/>
    </xf>
    <xf numFmtId="0" fontId="17" fillId="0" borderId="164" xfId="3" applyFont="1" applyBorder="1" applyAlignment="1" applyProtection="1">
      <alignment horizontal="left" vertical="top" wrapText="1"/>
      <protection locked="0"/>
    </xf>
    <xf numFmtId="0" fontId="30" fillId="0" borderId="164" xfId="3" applyFont="1" applyBorder="1" applyAlignment="1" applyProtection="1">
      <alignment horizontal="left" vertical="top" wrapText="1"/>
      <protection locked="0"/>
    </xf>
    <xf numFmtId="0" fontId="30" fillId="0" borderId="3" xfId="0" applyFont="1" applyBorder="1" applyAlignment="1" applyProtection="1">
      <alignment horizontal="left" vertical="top" wrapText="1"/>
      <protection locked="0"/>
    </xf>
    <xf numFmtId="0" fontId="1" fillId="0" borderId="179" xfId="3" applyFont="1" applyBorder="1" applyAlignment="1" applyProtection="1">
      <alignment horizontal="left" vertical="top" wrapText="1"/>
      <protection locked="0"/>
    </xf>
    <xf numFmtId="0" fontId="1" fillId="0" borderId="178" xfId="3" applyFont="1" applyBorder="1" applyAlignment="1" applyProtection="1">
      <alignment horizontal="left" vertical="top" wrapText="1"/>
      <protection locked="0"/>
    </xf>
    <xf numFmtId="0" fontId="8" fillId="0" borderId="0" xfId="3" applyFont="1" applyAlignment="1" applyProtection="1">
      <alignment horizontal="left" vertical="top" wrapText="1"/>
      <protection locked="0"/>
    </xf>
    <xf numFmtId="0" fontId="8" fillId="0" borderId="68" xfId="3" applyFont="1" applyBorder="1" applyAlignment="1" applyProtection="1">
      <alignment horizontal="left" vertical="top" wrapText="1"/>
      <protection locked="0"/>
    </xf>
    <xf numFmtId="0" fontId="8" fillId="0" borderId="31" xfId="3" applyFont="1" applyBorder="1" applyAlignment="1" applyProtection="1">
      <alignment horizontal="left" vertical="top" wrapText="1"/>
      <protection locked="0"/>
    </xf>
    <xf numFmtId="0" fontId="8" fillId="0" borderId="1" xfId="3" applyFont="1" applyBorder="1" applyAlignment="1" applyProtection="1">
      <alignment horizontal="left" vertical="top" wrapText="1"/>
      <protection locked="0"/>
    </xf>
    <xf numFmtId="0" fontId="7" fillId="0" borderId="159" xfId="0" applyFont="1" applyBorder="1" applyAlignment="1">
      <alignment horizontal="left" vertical="top"/>
    </xf>
    <xf numFmtId="0" fontId="17" fillId="0" borderId="110" xfId="0" applyFont="1" applyBorder="1" applyAlignment="1" applyProtection="1">
      <alignment horizontal="left" vertical="top" wrapText="1"/>
      <protection locked="0"/>
    </xf>
    <xf numFmtId="0" fontId="17" fillId="0" borderId="162" xfId="0" applyFont="1" applyBorder="1" applyAlignment="1" applyProtection="1">
      <alignment horizontal="left" vertical="top" wrapText="1"/>
      <protection locked="0"/>
    </xf>
    <xf numFmtId="0" fontId="17" fillId="0" borderId="165" xfId="0" applyFont="1" applyBorder="1" applyAlignment="1" applyProtection="1">
      <alignment horizontal="left" vertical="top" wrapText="1"/>
      <protection locked="0"/>
    </xf>
    <xf numFmtId="0" fontId="7" fillId="6" borderId="0" xfId="0" applyFont="1" applyFill="1" applyAlignment="1">
      <alignment horizontal="left" vertical="top"/>
    </xf>
    <xf numFmtId="0" fontId="31" fillId="0" borderId="0" xfId="0" applyFont="1" applyAlignment="1">
      <alignment horizontal="left" vertical="top"/>
    </xf>
    <xf numFmtId="0" fontId="16" fillId="0" borderId="62" xfId="0" applyFont="1" applyBorder="1" applyAlignment="1">
      <alignment horizontal="left" vertical="top" wrapText="1"/>
    </xf>
    <xf numFmtId="0" fontId="16" fillId="0" borderId="40" xfId="0" applyFont="1" applyBorder="1" applyAlignment="1">
      <alignment horizontal="left" vertical="top" wrapText="1"/>
    </xf>
    <xf numFmtId="0" fontId="16" fillId="0" borderId="63" xfId="0" applyFont="1" applyBorder="1" applyAlignment="1">
      <alignment horizontal="left" vertical="top" wrapText="1"/>
    </xf>
    <xf numFmtId="0" fontId="1" fillId="0" borderId="1" xfId="0" applyFont="1" applyBorder="1" applyAlignment="1" applyProtection="1">
      <alignment vertical="top" wrapText="1"/>
      <protection locked="0"/>
    </xf>
    <xf numFmtId="0" fontId="1" fillId="0" borderId="162" xfId="0" applyFont="1" applyBorder="1" applyAlignment="1" applyProtection="1">
      <alignment vertical="top" wrapText="1"/>
      <protection locked="0"/>
    </xf>
    <xf numFmtId="0" fontId="1" fillId="0" borderId="165" xfId="0" applyFont="1" applyBorder="1" applyAlignment="1" applyProtection="1">
      <alignment vertical="top" wrapText="1"/>
      <protection locked="0"/>
    </xf>
    <xf numFmtId="0" fontId="41" fillId="0" borderId="164" xfId="0" applyFont="1" applyBorder="1" applyAlignment="1" applyProtection="1">
      <alignment vertical="top" wrapText="1"/>
      <protection locked="0"/>
    </xf>
    <xf numFmtId="0" fontId="41" fillId="0" borderId="110" xfId="0" applyFont="1" applyBorder="1" applyAlignment="1" applyProtection="1">
      <alignment vertical="top" wrapText="1"/>
      <protection locked="0"/>
    </xf>
    <xf numFmtId="0" fontId="1" fillId="0" borderId="160" xfId="0" applyFont="1" applyBorder="1" applyAlignment="1" applyProtection="1">
      <alignment vertical="top" wrapText="1"/>
      <protection locked="0"/>
    </xf>
    <xf numFmtId="0" fontId="1" fillId="0" borderId="68" xfId="0" applyFont="1" applyBorder="1" applyAlignment="1" applyProtection="1">
      <alignment vertical="top" wrapText="1"/>
      <protection locked="0"/>
    </xf>
    <xf numFmtId="0" fontId="8" fillId="0" borderId="70" xfId="0" applyFont="1" applyBorder="1" applyAlignment="1">
      <alignment horizontal="left" vertical="top" wrapText="1"/>
    </xf>
    <xf numFmtId="0" fontId="18" fillId="7" borderId="54" xfId="0" applyFont="1" applyFill="1" applyBorder="1" applyAlignment="1">
      <alignment horizontal="left" vertical="top" wrapText="1"/>
    </xf>
    <xf numFmtId="0" fontId="18" fillId="0" borderId="159" xfId="0" applyFont="1" applyBorder="1" applyAlignment="1">
      <alignment horizontal="left" vertical="top"/>
    </xf>
    <xf numFmtId="0" fontId="17" fillId="0" borderId="161" xfId="0" applyFont="1" applyBorder="1" applyAlignment="1" applyProtection="1">
      <alignment horizontal="left" vertical="top" wrapText="1"/>
      <protection locked="0"/>
    </xf>
    <xf numFmtId="0" fontId="18" fillId="0" borderId="110" xfId="0" applyFont="1" applyBorder="1" applyAlignment="1">
      <alignment horizontal="left" vertical="top"/>
    </xf>
    <xf numFmtId="0" fontId="22" fillId="0" borderId="110" xfId="0" applyFont="1" applyBorder="1" applyAlignment="1">
      <alignment horizontal="left" vertical="top"/>
    </xf>
    <xf numFmtId="0" fontId="55" fillId="0" borderId="110" xfId="0" applyFont="1" applyBorder="1" applyAlignment="1" applyProtection="1">
      <alignment horizontal="left" vertical="top" wrapText="1"/>
      <protection locked="0"/>
    </xf>
    <xf numFmtId="0" fontId="55" fillId="0" borderId="164" xfId="0" applyFont="1" applyBorder="1" applyAlignment="1" applyProtection="1">
      <alignment horizontal="left" vertical="top" wrapText="1"/>
      <protection locked="0"/>
    </xf>
    <xf numFmtId="0" fontId="55" fillId="0" borderId="0" xfId="0" applyFont="1" applyAlignment="1" applyProtection="1">
      <alignment horizontal="left" vertical="top" wrapText="1"/>
      <protection locked="0"/>
    </xf>
    <xf numFmtId="0" fontId="3" fillId="7" borderId="55" xfId="0" applyFont="1" applyFill="1" applyBorder="1" applyAlignment="1">
      <alignment horizontal="left" vertical="top" wrapText="1"/>
    </xf>
    <xf numFmtId="0" fontId="22" fillId="0" borderId="23" xfId="0" applyFont="1" applyBorder="1" applyAlignment="1">
      <alignment horizontal="left" vertical="top"/>
    </xf>
    <xf numFmtId="0" fontId="17" fillId="0" borderId="115" xfId="0" applyFont="1" applyBorder="1" applyAlignment="1" applyProtection="1">
      <alignment horizontal="left" vertical="top" wrapText="1"/>
      <protection locked="0"/>
    </xf>
    <xf numFmtId="0" fontId="8" fillId="0" borderId="191" xfId="0" applyFont="1" applyBorder="1" applyAlignment="1">
      <alignment horizontal="left" vertical="top" wrapText="1"/>
    </xf>
    <xf numFmtId="0" fontId="53" fillId="0" borderId="191" xfId="0" applyFont="1" applyBorder="1" applyAlignment="1" applyProtection="1">
      <alignment horizontal="left" vertical="top" wrapText="1"/>
      <protection locked="0"/>
    </xf>
    <xf numFmtId="0" fontId="17" fillId="0" borderId="108" xfId="0" applyFont="1" applyBorder="1" applyAlignment="1" applyProtection="1">
      <alignment horizontal="left" vertical="top" wrapText="1"/>
      <protection locked="0"/>
    </xf>
    <xf numFmtId="0" fontId="41" fillId="0" borderId="108" xfId="0" applyFont="1" applyBorder="1" applyAlignment="1" applyProtection="1">
      <alignment horizontal="left" vertical="top" wrapText="1"/>
      <protection locked="0"/>
    </xf>
    <xf numFmtId="0" fontId="30" fillId="0" borderId="110" xfId="0" applyFont="1" applyBorder="1" applyAlignment="1" applyProtection="1">
      <alignment horizontal="left" vertical="top" wrapText="1"/>
      <protection locked="0"/>
    </xf>
    <xf numFmtId="0" fontId="30" fillId="0" borderId="162" xfId="0" applyFont="1" applyBorder="1" applyAlignment="1" applyProtection="1">
      <alignment horizontal="left" vertical="top" wrapText="1"/>
      <protection locked="0"/>
    </xf>
    <xf numFmtId="0" fontId="30" fillId="0" borderId="164" xfId="0" applyFont="1" applyBorder="1" applyAlignment="1" applyProtection="1">
      <alignment horizontal="left" vertical="top" wrapText="1"/>
      <protection locked="0"/>
    </xf>
    <xf numFmtId="0" fontId="17" fillId="0" borderId="168" xfId="0" applyFont="1" applyBorder="1" applyAlignment="1" applyProtection="1">
      <alignment horizontal="left" vertical="top" wrapText="1"/>
      <protection locked="0"/>
    </xf>
    <xf numFmtId="0" fontId="17" fillId="0" borderId="191" xfId="0" applyFont="1" applyBorder="1" applyAlignment="1" applyProtection="1">
      <alignment horizontal="left" vertical="top" wrapText="1"/>
      <protection locked="0"/>
    </xf>
    <xf numFmtId="0" fontId="41" fillId="0" borderId="191" xfId="0" applyFont="1" applyBorder="1" applyAlignment="1" applyProtection="1">
      <alignment horizontal="left" vertical="top" wrapText="1"/>
      <protection locked="0"/>
    </xf>
    <xf numFmtId="0" fontId="17" fillId="0" borderId="108" xfId="0" applyFont="1" applyBorder="1" applyAlignment="1">
      <alignment horizontal="left" vertical="top" wrapText="1"/>
    </xf>
    <xf numFmtId="0" fontId="32" fillId="0" borderId="110" xfId="0" applyFont="1" applyBorder="1" applyAlignment="1" applyProtection="1">
      <alignment horizontal="left" vertical="top" wrapText="1"/>
      <protection locked="0"/>
    </xf>
    <xf numFmtId="0" fontId="17" fillId="0" borderId="91" xfId="0" applyFont="1" applyBorder="1" applyAlignment="1" applyProtection="1">
      <alignment horizontal="left" vertical="top" wrapText="1"/>
      <protection locked="0"/>
    </xf>
    <xf numFmtId="0" fontId="41" fillId="0" borderId="91" xfId="0" applyFont="1" applyBorder="1" applyAlignment="1" applyProtection="1">
      <alignment horizontal="left" vertical="top" wrapText="1"/>
      <protection locked="0"/>
    </xf>
    <xf numFmtId="0" fontId="18" fillId="0" borderId="115" xfId="0" applyFont="1" applyBorder="1" applyAlignment="1">
      <alignment horizontal="left" vertical="top"/>
    </xf>
    <xf numFmtId="0" fontId="41" fillId="0" borderId="115" xfId="0" applyFont="1" applyBorder="1" applyAlignment="1" applyProtection="1">
      <alignment horizontal="left" vertical="top" wrapText="1"/>
      <protection locked="0"/>
    </xf>
    <xf numFmtId="0" fontId="18" fillId="0" borderId="164" xfId="0" applyFont="1" applyBorder="1" applyAlignment="1">
      <alignment horizontal="left" vertical="top"/>
    </xf>
    <xf numFmtId="0" fontId="16" fillId="0" borderId="158" xfId="0" applyFont="1" applyBorder="1" applyAlignment="1" applyProtection="1">
      <alignment horizontal="left" vertical="top" wrapText="1"/>
      <protection locked="0"/>
    </xf>
    <xf numFmtId="0" fontId="16" fillId="0" borderId="159" xfId="0" applyFont="1" applyBorder="1" applyAlignment="1" applyProtection="1">
      <alignment horizontal="left" vertical="top" wrapText="1"/>
      <protection locked="0"/>
    </xf>
    <xf numFmtId="0" fontId="30" fillId="0" borderId="113" xfId="0" applyFont="1" applyBorder="1" applyAlignment="1" applyProtection="1">
      <alignment horizontal="left" vertical="top" wrapText="1"/>
      <protection locked="0"/>
    </xf>
    <xf numFmtId="0" fontId="17" fillId="0" borderId="205" xfId="0" applyFont="1" applyBorder="1" applyAlignment="1" applyProtection="1">
      <alignment horizontal="left" vertical="top" wrapText="1"/>
      <protection locked="0"/>
    </xf>
    <xf numFmtId="0" fontId="41" fillId="0" borderId="205" xfId="0" applyFont="1" applyBorder="1" applyAlignment="1" applyProtection="1">
      <alignment horizontal="left" vertical="top" wrapText="1"/>
      <protection locked="0"/>
    </xf>
    <xf numFmtId="0" fontId="20" fillId="0" borderId="212" xfId="0" applyFont="1" applyBorder="1" applyAlignment="1">
      <alignment horizontal="left" vertical="top"/>
    </xf>
    <xf numFmtId="0" fontId="8" fillId="0" borderId="212" xfId="0" applyFont="1" applyBorder="1" applyAlignment="1">
      <alignment horizontal="left" vertical="top" wrapText="1"/>
    </xf>
    <xf numFmtId="0" fontId="17" fillId="0" borderId="29" xfId="0" applyFont="1" applyBorder="1" applyAlignment="1" applyProtection="1">
      <alignment horizontal="left" vertical="top" wrapText="1"/>
      <protection locked="0"/>
    </xf>
    <xf numFmtId="49" fontId="29" fillId="0" borderId="0" xfId="0" applyNumberFormat="1" applyFont="1" applyAlignment="1">
      <alignment horizontal="left" vertical="top" wrapText="1"/>
    </xf>
    <xf numFmtId="49" fontId="16" fillId="0" borderId="0" xfId="0" applyNumberFormat="1" applyFont="1" applyAlignment="1">
      <alignment horizontal="left" vertical="top" wrapText="1"/>
    </xf>
    <xf numFmtId="49" fontId="18" fillId="0" borderId="110" xfId="0" applyNumberFormat="1" applyFont="1" applyBorder="1" applyAlignment="1">
      <alignment horizontal="left" vertical="top" wrapText="1"/>
    </xf>
    <xf numFmtId="49" fontId="7" fillId="0" borderId="0" xfId="0" applyNumberFormat="1" applyFont="1" applyAlignment="1">
      <alignment horizontal="left" vertical="top" wrapText="1"/>
    </xf>
    <xf numFmtId="0" fontId="22" fillId="0" borderId="0" xfId="0" applyFont="1" applyAlignment="1">
      <alignment horizontal="left" vertical="top"/>
    </xf>
    <xf numFmtId="0" fontId="8" fillId="0" borderId="212" xfId="0" applyFont="1" applyBorder="1" applyAlignment="1" applyProtection="1">
      <alignment horizontal="left" vertical="top" wrapText="1"/>
      <protection locked="0"/>
    </xf>
    <xf numFmtId="0" fontId="17" fillId="0" borderId="113" xfId="0" applyFont="1" applyBorder="1" applyAlignment="1" applyProtection="1">
      <alignment horizontal="left" vertical="top" wrapText="1"/>
      <protection locked="0"/>
    </xf>
    <xf numFmtId="0" fontId="16" fillId="0" borderId="112" xfId="0" applyFont="1" applyBorder="1" applyAlignment="1">
      <alignment horizontal="left" vertical="top" wrapText="1"/>
    </xf>
    <xf numFmtId="0" fontId="17" fillId="0" borderId="198" xfId="0" applyFont="1" applyBorder="1" applyAlignment="1" applyProtection="1">
      <alignment horizontal="left" vertical="top" wrapText="1"/>
      <protection locked="0"/>
    </xf>
    <xf numFmtId="0" fontId="16" fillId="0" borderId="170" xfId="0" applyFont="1" applyBorder="1" applyAlignment="1">
      <alignment horizontal="left" vertical="top" wrapText="1"/>
    </xf>
    <xf numFmtId="0" fontId="27" fillId="6" borderId="0" xfId="0" applyFont="1" applyFill="1" applyAlignment="1">
      <alignment horizontal="left" vertical="top"/>
    </xf>
    <xf numFmtId="0" fontId="8" fillId="0" borderId="91" xfId="0" applyFont="1" applyBorder="1" applyAlignment="1">
      <alignment horizontal="left" vertical="top" wrapText="1"/>
    </xf>
    <xf numFmtId="0" fontId="22" fillId="7" borderId="54" xfId="0" applyFont="1" applyFill="1" applyBorder="1" applyAlignment="1">
      <alignment horizontal="left" vertical="top" wrapText="1"/>
    </xf>
    <xf numFmtId="0" fontId="55" fillId="0" borderId="159" xfId="0" applyFont="1" applyBorder="1" applyAlignment="1" applyProtection="1">
      <alignment horizontal="left" vertical="top" wrapText="1"/>
      <protection locked="0"/>
    </xf>
    <xf numFmtId="0" fontId="7" fillId="0" borderId="110" xfId="0" applyFont="1" applyBorder="1" applyAlignment="1">
      <alignment horizontal="left" vertical="top" wrapText="1"/>
    </xf>
    <xf numFmtId="0" fontId="8" fillId="0" borderId="153" xfId="0" applyFont="1" applyBorder="1" applyAlignment="1" applyProtection="1">
      <alignment horizontal="left" vertical="top" wrapText="1"/>
      <protection locked="0"/>
    </xf>
    <xf numFmtId="0" fontId="1" fillId="0" borderId="199" xfId="0" applyFont="1" applyBorder="1" applyAlignment="1">
      <alignment horizontal="left" vertical="top" wrapText="1"/>
    </xf>
    <xf numFmtId="0" fontId="22" fillId="0" borderId="178" xfId="0" applyFont="1" applyBorder="1" applyAlignment="1">
      <alignment horizontal="left" vertical="top"/>
    </xf>
    <xf numFmtId="0" fontId="17" fillId="0" borderId="194" xfId="0" applyFont="1" applyBorder="1" applyAlignment="1" applyProtection="1">
      <alignment horizontal="left" vertical="top" wrapText="1"/>
      <protection locked="0"/>
    </xf>
    <xf numFmtId="0" fontId="55" fillId="0" borderId="186" xfId="0" applyFont="1" applyBorder="1" applyAlignment="1" applyProtection="1">
      <alignment horizontal="left" vertical="top" wrapText="1"/>
      <protection locked="0"/>
    </xf>
    <xf numFmtId="0" fontId="17" fillId="0" borderId="186" xfId="0" applyFont="1" applyBorder="1" applyAlignment="1" applyProtection="1">
      <alignment horizontal="left" vertical="top" wrapText="1"/>
      <protection locked="0"/>
    </xf>
    <xf numFmtId="0" fontId="41" fillId="0" borderId="194" xfId="0" applyFont="1" applyBorder="1" applyAlignment="1" applyProtection="1">
      <alignment horizontal="left" vertical="top" wrapText="1"/>
      <protection locked="0"/>
    </xf>
    <xf numFmtId="0" fontId="55" fillId="0" borderId="187" xfId="0" applyFont="1" applyBorder="1" applyAlignment="1" applyProtection="1">
      <alignment horizontal="left" vertical="top" wrapText="1"/>
      <protection locked="0"/>
    </xf>
    <xf numFmtId="0" fontId="17" fillId="0" borderId="187" xfId="0" applyFont="1" applyBorder="1" applyAlignment="1" applyProtection="1">
      <alignment horizontal="left" vertical="top" wrapText="1"/>
      <protection locked="0"/>
    </xf>
    <xf numFmtId="0" fontId="55" fillId="0" borderId="188" xfId="0" applyFont="1" applyBorder="1" applyAlignment="1" applyProtection="1">
      <alignment horizontal="left" vertical="top" wrapText="1"/>
      <protection locked="0"/>
    </xf>
    <xf numFmtId="0" fontId="17" fillId="0" borderId="188" xfId="0" applyFont="1" applyBorder="1" applyAlignment="1" applyProtection="1">
      <alignment horizontal="left" vertical="top" wrapText="1"/>
      <protection locked="0"/>
    </xf>
    <xf numFmtId="0" fontId="41" fillId="0" borderId="196" xfId="0" applyFont="1" applyBorder="1" applyAlignment="1" applyProtection="1">
      <alignment horizontal="left" vertical="top" wrapText="1"/>
      <protection locked="0"/>
    </xf>
    <xf numFmtId="0" fontId="55" fillId="0" borderId="23" xfId="0" applyFont="1" applyBorder="1" applyAlignment="1" applyProtection="1">
      <alignment horizontal="left" vertical="top" wrapText="1"/>
      <protection locked="0"/>
    </xf>
    <xf numFmtId="0" fontId="17" fillId="0" borderId="179" xfId="0" applyFont="1" applyBorder="1" applyAlignment="1" applyProtection="1">
      <alignment horizontal="left" vertical="top" wrapText="1"/>
      <protection locked="0"/>
    </xf>
    <xf numFmtId="0" fontId="18" fillId="0" borderId="178" xfId="0" applyFont="1" applyBorder="1" applyAlignment="1">
      <alignment horizontal="left" vertical="top"/>
    </xf>
    <xf numFmtId="0" fontId="41" fillId="0" borderId="193" xfId="0" applyFont="1" applyBorder="1" applyAlignment="1" applyProtection="1">
      <alignment horizontal="left" vertical="top" wrapText="1"/>
      <protection locked="0"/>
    </xf>
    <xf numFmtId="0" fontId="17" fillId="0" borderId="178" xfId="0" applyFont="1" applyBorder="1" applyAlignment="1" applyProtection="1">
      <alignment horizontal="left" vertical="top" wrapText="1"/>
      <protection locked="0"/>
    </xf>
    <xf numFmtId="0" fontId="30" fillId="0" borderId="299" xfId="0" applyFont="1" applyBorder="1" applyAlignment="1" applyProtection="1">
      <alignment horizontal="left" vertical="top" wrapText="1"/>
      <protection locked="0"/>
    </xf>
    <xf numFmtId="0" fontId="30" fillId="0" borderId="66" xfId="0" applyFont="1" applyBorder="1" applyAlignment="1" applyProtection="1">
      <alignment horizontal="left" vertical="top" wrapText="1"/>
      <protection locked="0"/>
    </xf>
    <xf numFmtId="0" fontId="17" fillId="0" borderId="181" xfId="0" applyFont="1" applyBorder="1" applyAlignment="1" applyProtection="1">
      <alignment horizontal="left" vertical="top" wrapText="1"/>
      <protection locked="0"/>
    </xf>
    <xf numFmtId="0" fontId="41" fillId="0" borderId="220" xfId="0" applyFont="1" applyBorder="1" applyAlignment="1" applyProtection="1">
      <alignment horizontal="left" vertical="top" wrapText="1"/>
      <protection locked="0"/>
    </xf>
    <xf numFmtId="0" fontId="22" fillId="0" borderId="108" xfId="0" applyFont="1" applyBorder="1" applyAlignment="1">
      <alignment horizontal="left" vertical="top"/>
    </xf>
    <xf numFmtId="0" fontId="18" fillId="0" borderId="108" xfId="0" applyFont="1" applyBorder="1" applyAlignment="1">
      <alignment horizontal="left" vertical="top"/>
    </xf>
    <xf numFmtId="0" fontId="22" fillId="0" borderId="164" xfId="0" applyFont="1" applyBorder="1" applyAlignment="1">
      <alignment horizontal="left" vertical="top"/>
    </xf>
    <xf numFmtId="49" fontId="18" fillId="0" borderId="112" xfId="0" applyNumberFormat="1" applyFont="1" applyBorder="1" applyAlignment="1">
      <alignment horizontal="left" vertical="top" wrapText="1"/>
    </xf>
    <xf numFmtId="0" fontId="41" fillId="0" borderId="108" xfId="0" applyFont="1" applyBorder="1" applyAlignment="1">
      <alignment horizontal="left" vertical="top" wrapText="1"/>
    </xf>
    <xf numFmtId="0" fontId="1" fillId="0" borderId="113" xfId="0" applyFont="1" applyBorder="1" applyAlignment="1">
      <alignment horizontal="left" vertical="top" wrapText="1"/>
    </xf>
    <xf numFmtId="0" fontId="17" fillId="0" borderId="221" xfId="0" applyFont="1" applyBorder="1" applyAlignment="1" applyProtection="1">
      <alignment horizontal="left" vertical="top" wrapText="1"/>
      <protection locked="0"/>
    </xf>
    <xf numFmtId="0" fontId="41" fillId="0" borderId="214" xfId="0" applyFont="1" applyBorder="1" applyAlignment="1" applyProtection="1">
      <alignment horizontal="left" vertical="top" wrapText="1"/>
      <protection locked="0"/>
    </xf>
    <xf numFmtId="0" fontId="41" fillId="0" borderId="232" xfId="0" applyFont="1" applyBorder="1" applyAlignment="1" applyProtection="1">
      <alignment horizontal="left" vertical="top" wrapText="1"/>
      <protection locked="0"/>
    </xf>
    <xf numFmtId="0" fontId="41" fillId="0" borderId="189" xfId="0" applyFont="1" applyBorder="1" applyAlignment="1" applyProtection="1">
      <alignment horizontal="left" vertical="top" wrapText="1"/>
      <protection locked="0"/>
    </xf>
    <xf numFmtId="0" fontId="8" fillId="0" borderId="231" xfId="0" applyFont="1" applyBorder="1" applyAlignment="1" applyProtection="1">
      <alignment horizontal="left" vertical="top" wrapText="1"/>
      <protection locked="0"/>
    </xf>
    <xf numFmtId="0" fontId="16" fillId="0" borderId="168" xfId="0" applyFont="1" applyBorder="1" applyAlignment="1" applyProtection="1">
      <alignment horizontal="left" vertical="top" wrapText="1"/>
      <protection locked="0"/>
    </xf>
    <xf numFmtId="0" fontId="16" fillId="0" borderId="191" xfId="0" applyFont="1" applyBorder="1" applyAlignment="1">
      <alignment horizontal="left" vertical="top" wrapText="1"/>
    </xf>
    <xf numFmtId="0" fontId="8" fillId="0" borderId="96" xfId="0" applyFont="1" applyBorder="1" applyAlignment="1" applyProtection="1">
      <alignment horizontal="left" vertical="top" wrapText="1"/>
      <protection locked="0"/>
    </xf>
    <xf numFmtId="0" fontId="8" fillId="0" borderId="70" xfId="0" applyFont="1" applyBorder="1" applyAlignment="1" applyProtection="1">
      <alignment horizontal="left" vertical="top" wrapText="1"/>
      <protection locked="0"/>
    </xf>
    <xf numFmtId="0" fontId="8" fillId="0" borderId="250" xfId="0" applyFont="1" applyBorder="1" applyAlignment="1" applyProtection="1">
      <alignment horizontal="left" vertical="top" wrapText="1"/>
      <protection locked="0"/>
    </xf>
    <xf numFmtId="0" fontId="16" fillId="0" borderId="205" xfId="0" applyFont="1" applyBorder="1" applyAlignment="1" applyProtection="1">
      <alignment horizontal="left" vertical="top" wrapText="1"/>
      <protection locked="0"/>
    </xf>
    <xf numFmtId="0" fontId="53" fillId="0" borderId="205" xfId="0" applyFont="1" applyBorder="1" applyAlignment="1" applyProtection="1">
      <alignment horizontal="left" vertical="top" wrapText="1"/>
      <protection locked="0"/>
    </xf>
    <xf numFmtId="0" fontId="8" fillId="0" borderId="205"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0" fontId="8" fillId="0" borderId="206" xfId="0" applyFont="1" applyBorder="1" applyAlignment="1" applyProtection="1">
      <alignment horizontal="left" vertical="top" wrapText="1"/>
      <protection locked="0"/>
    </xf>
    <xf numFmtId="0" fontId="8" fillId="0" borderId="214" xfId="0" applyFont="1" applyBorder="1" applyAlignment="1" applyProtection="1">
      <alignment horizontal="left" vertical="top" wrapText="1"/>
      <protection locked="0"/>
    </xf>
    <xf numFmtId="0" fontId="16" fillId="0" borderId="110" xfId="0" applyFont="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8" fillId="0" borderId="184" xfId="0" applyFont="1" applyBorder="1" applyAlignment="1" applyProtection="1">
      <alignment horizontal="left" vertical="top" wrapText="1"/>
      <protection locked="0"/>
    </xf>
    <xf numFmtId="0" fontId="36" fillId="7" borderId="55" xfId="0" applyFont="1" applyFill="1" applyBorder="1" applyAlignment="1">
      <alignment horizontal="left" vertical="top" wrapText="1"/>
    </xf>
    <xf numFmtId="0" fontId="8" fillId="0" borderId="110" xfId="0" applyFont="1" applyBorder="1" applyAlignment="1">
      <alignment horizontal="left" vertical="top" wrapText="1"/>
    </xf>
    <xf numFmtId="0" fontId="17" fillId="0" borderId="64" xfId="0" applyFont="1" applyBorder="1" applyAlignment="1">
      <alignment horizontal="left" vertical="top" wrapText="1"/>
    </xf>
    <xf numFmtId="0" fontId="16" fillId="0" borderId="64" xfId="0" applyFont="1" applyBorder="1" applyAlignment="1">
      <alignment horizontal="left" vertical="top" wrapText="1"/>
    </xf>
    <xf numFmtId="0" fontId="1" fillId="0" borderId="263" xfId="0" applyFont="1" applyBorder="1" applyAlignment="1" applyProtection="1">
      <alignment horizontal="left" vertical="top" wrapText="1"/>
      <protection locked="0"/>
    </xf>
    <xf numFmtId="0" fontId="41" fillId="0" borderId="178" xfId="0" applyFont="1" applyBorder="1" applyAlignment="1" applyProtection="1">
      <alignment horizontal="left" vertical="top" wrapText="1"/>
      <protection locked="0"/>
    </xf>
    <xf numFmtId="0" fontId="41" fillId="0" borderId="238" xfId="0" applyFont="1" applyBorder="1" applyAlignment="1" applyProtection="1">
      <alignment horizontal="left" vertical="top" wrapText="1"/>
      <protection locked="0"/>
    </xf>
    <xf numFmtId="0" fontId="1" fillId="0" borderId="223" xfId="0" applyFont="1" applyBorder="1" applyAlignment="1">
      <alignment horizontal="left" vertical="top" wrapText="1"/>
    </xf>
    <xf numFmtId="0" fontId="8" fillId="0" borderId="263" xfId="0" applyFont="1" applyBorder="1" applyAlignment="1" applyProtection="1">
      <alignment horizontal="left" vertical="top" wrapText="1"/>
      <protection locked="0"/>
    </xf>
    <xf numFmtId="0" fontId="36" fillId="0" borderId="143" xfId="0" applyFont="1" applyBorder="1" applyAlignment="1">
      <alignment horizontal="left" vertical="top" wrapText="1"/>
    </xf>
    <xf numFmtId="0" fontId="36" fillId="0" borderId="0" xfId="0" applyFont="1" applyAlignment="1">
      <alignment horizontal="left" vertical="top" wrapText="1"/>
    </xf>
    <xf numFmtId="0" fontId="36" fillId="0" borderId="64" xfId="0" applyFont="1" applyBorder="1" applyAlignment="1">
      <alignment horizontal="left" vertical="top" wrapText="1"/>
    </xf>
    <xf numFmtId="0" fontId="16" fillId="0" borderId="98" xfId="0" applyFont="1" applyBorder="1" applyAlignment="1">
      <alignment horizontal="left" vertical="top" wrapText="1"/>
    </xf>
    <xf numFmtId="0" fontId="16" fillId="0" borderId="118" xfId="0" applyFont="1" applyBorder="1" applyAlignment="1">
      <alignment horizontal="left" vertical="top" wrapText="1"/>
    </xf>
    <xf numFmtId="0" fontId="36" fillId="6" borderId="61" xfId="0" applyFont="1" applyFill="1" applyBorder="1" applyAlignment="1">
      <alignment horizontal="left" vertical="top" wrapText="1"/>
    </xf>
    <xf numFmtId="0" fontId="16" fillId="6" borderId="62" xfId="0" applyFont="1" applyFill="1" applyBorder="1" applyAlignment="1">
      <alignment horizontal="left" vertical="top" wrapText="1"/>
    </xf>
    <xf numFmtId="0" fontId="16" fillId="6" borderId="40" xfId="0" applyFont="1" applyFill="1" applyBorder="1" applyAlignment="1">
      <alignment horizontal="left" vertical="top" wrapText="1"/>
    </xf>
    <xf numFmtId="0" fontId="16" fillId="6" borderId="63" xfId="0" applyFont="1" applyFill="1" applyBorder="1" applyAlignment="1">
      <alignment horizontal="left" vertical="top" wrapText="1"/>
    </xf>
    <xf numFmtId="0" fontId="1" fillId="0" borderId="283" xfId="0" applyFont="1" applyBorder="1" applyAlignment="1" applyProtection="1">
      <alignment horizontal="left" vertical="top" wrapText="1"/>
      <protection locked="0"/>
    </xf>
    <xf numFmtId="0" fontId="17" fillId="0" borderId="110" xfId="0" applyFont="1" applyBorder="1" applyAlignment="1" applyProtection="1">
      <alignment vertical="top" wrapText="1"/>
      <protection locked="0"/>
    </xf>
    <xf numFmtId="0" fontId="22" fillId="0" borderId="110" xfId="0" applyFont="1" applyBorder="1" applyAlignment="1">
      <alignment vertical="top"/>
    </xf>
    <xf numFmtId="0" fontId="18" fillId="0" borderId="110" xfId="0" applyFont="1" applyBorder="1" applyAlignment="1">
      <alignment vertical="top"/>
    </xf>
    <xf numFmtId="0" fontId="8" fillId="7" borderId="54" xfId="0" applyFont="1" applyFill="1" applyBorder="1" applyAlignment="1">
      <alignment horizontal="left" vertical="top" wrapText="1"/>
    </xf>
    <xf numFmtId="0" fontId="1" fillId="0" borderId="223" xfId="0" applyFont="1" applyBorder="1" applyAlignment="1" applyProtection="1">
      <alignment horizontal="left" vertical="top" wrapText="1"/>
      <protection locked="0"/>
    </xf>
    <xf numFmtId="0" fontId="3" fillId="6" borderId="64" xfId="0" applyFont="1" applyFill="1" applyBorder="1" applyAlignment="1">
      <alignment horizontal="left" vertical="top" wrapText="1"/>
    </xf>
    <xf numFmtId="0" fontId="1" fillId="0" borderId="276" xfId="0" applyFont="1" applyBorder="1" applyAlignment="1" applyProtection="1">
      <alignment horizontal="left" vertical="top" wrapText="1"/>
      <protection locked="0"/>
    </xf>
    <xf numFmtId="0" fontId="1" fillId="0" borderId="298" xfId="0" applyFont="1" applyBorder="1" applyAlignment="1" applyProtection="1">
      <alignment horizontal="left" vertical="top" wrapText="1"/>
      <protection locked="0"/>
    </xf>
    <xf numFmtId="0" fontId="17" fillId="0" borderId="54" xfId="0" applyFont="1" applyBorder="1" applyAlignment="1" applyProtection="1">
      <alignment horizontal="left" vertical="top" wrapText="1"/>
      <protection locked="0"/>
    </xf>
    <xf numFmtId="0" fontId="36" fillId="0" borderId="55" xfId="0" applyFont="1" applyBorder="1" applyAlignment="1">
      <alignment horizontal="left" vertical="top" wrapText="1"/>
    </xf>
    <xf numFmtId="0" fontId="36" fillId="0" borderId="62" xfId="0" applyFont="1" applyBorder="1" applyAlignment="1">
      <alignment horizontal="left" vertical="top" wrapText="1"/>
    </xf>
    <xf numFmtId="0" fontId="36" fillId="0" borderId="50" xfId="0" applyFont="1" applyBorder="1" applyAlignment="1">
      <alignment horizontal="left" vertical="top" wrapText="1"/>
    </xf>
    <xf numFmtId="0" fontId="27" fillId="6" borderId="23" xfId="0" applyFont="1" applyFill="1" applyBorder="1" applyAlignment="1">
      <alignment horizontal="left" vertical="top"/>
    </xf>
    <xf numFmtId="0" fontId="8" fillId="6" borderId="23" xfId="0" applyFont="1" applyFill="1" applyBorder="1" applyAlignment="1">
      <alignment horizontal="left" vertical="top" wrapText="1"/>
    </xf>
    <xf numFmtId="0" fontId="8" fillId="0" borderId="23" xfId="0" applyFont="1" applyBorder="1" applyAlignment="1">
      <alignment horizontal="left" vertical="top" wrapText="1"/>
    </xf>
    <xf numFmtId="0" fontId="8" fillId="0" borderId="89" xfId="0" applyFont="1" applyBorder="1" applyAlignment="1">
      <alignment horizontal="left" vertical="top" wrapText="1"/>
    </xf>
    <xf numFmtId="0" fontId="8" fillId="0" borderId="88" xfId="0" applyFont="1" applyBorder="1" applyAlignment="1">
      <alignment horizontal="left" vertical="top" wrapText="1"/>
    </xf>
    <xf numFmtId="0" fontId="8" fillId="6" borderId="144" xfId="0" applyFont="1" applyFill="1" applyBorder="1" applyAlignment="1">
      <alignment horizontal="left" vertical="top" wrapText="1"/>
    </xf>
    <xf numFmtId="0" fontId="8" fillId="6" borderId="145" xfId="0" applyFont="1" applyFill="1" applyBorder="1" applyAlignment="1">
      <alignment horizontal="left" vertical="top" wrapText="1"/>
    </xf>
    <xf numFmtId="0" fontId="8" fillId="6" borderId="133" xfId="0" applyFont="1" applyFill="1" applyBorder="1" applyAlignment="1">
      <alignment horizontal="left" vertical="top" wrapText="1"/>
    </xf>
    <xf numFmtId="0" fontId="32" fillId="0" borderId="158" xfId="0" applyFont="1" applyBorder="1" applyAlignment="1">
      <alignment horizontal="left" vertical="top"/>
    </xf>
    <xf numFmtId="0" fontId="1" fillId="0" borderId="131" xfId="0" applyFont="1" applyBorder="1" applyAlignment="1">
      <alignment horizontal="left" vertical="top" wrapText="1"/>
    </xf>
    <xf numFmtId="0" fontId="8" fillId="6" borderId="0" xfId="0" applyFont="1" applyFill="1" applyAlignment="1">
      <alignment horizontal="left" vertical="top" wrapText="1"/>
    </xf>
    <xf numFmtId="0" fontId="7" fillId="0" borderId="98" xfId="0" applyFont="1" applyBorder="1" applyAlignment="1">
      <alignment horizontal="left" vertical="top" wrapText="1"/>
    </xf>
    <xf numFmtId="0" fontId="1" fillId="0" borderId="31" xfId="0" applyFont="1" applyBorder="1" applyAlignment="1" applyProtection="1">
      <alignment vertical="top" wrapText="1"/>
      <protection locked="0"/>
    </xf>
    <xf numFmtId="0" fontId="1" fillId="0" borderId="265" xfId="0" applyFont="1" applyBorder="1" applyAlignment="1" applyProtection="1">
      <alignment horizontal="left" vertical="top" wrapText="1"/>
      <protection locked="0"/>
    </xf>
    <xf numFmtId="0" fontId="1" fillId="0" borderId="259" xfId="0" applyFont="1" applyBorder="1" applyAlignment="1" applyProtection="1">
      <alignment horizontal="left" vertical="top" wrapText="1"/>
      <protection locked="0"/>
    </xf>
    <xf numFmtId="0" fontId="39" fillId="0" borderId="164" xfId="0" applyFont="1" applyBorder="1" applyAlignment="1">
      <alignment horizontal="left" vertical="top"/>
    </xf>
    <xf numFmtId="0" fontId="22" fillId="0" borderId="238" xfId="0" applyFont="1" applyBorder="1" applyAlignment="1">
      <alignment horizontal="left" vertical="top"/>
    </xf>
    <xf numFmtId="0" fontId="18" fillId="0" borderId="238" xfId="0" applyFont="1" applyBorder="1" applyAlignment="1">
      <alignment horizontal="left" vertical="top"/>
    </xf>
    <xf numFmtId="0" fontId="1" fillId="0" borderId="267" xfId="0" applyFont="1" applyBorder="1" applyAlignment="1" applyProtection="1">
      <alignment horizontal="left" vertical="top" wrapText="1"/>
      <protection locked="0"/>
    </xf>
    <xf numFmtId="0" fontId="1" fillId="0" borderId="262" xfId="0" applyFont="1" applyBorder="1" applyAlignment="1" applyProtection="1">
      <alignment horizontal="left" vertical="top" wrapText="1"/>
      <protection locked="0"/>
    </xf>
    <xf numFmtId="0" fontId="8" fillId="0" borderId="69" xfId="0" applyFont="1" applyBorder="1" applyAlignment="1" applyProtection="1">
      <alignment horizontal="left" vertical="top" wrapText="1"/>
      <protection locked="0"/>
    </xf>
    <xf numFmtId="0" fontId="17" fillId="0" borderId="96" xfId="0" applyFont="1" applyBorder="1" applyAlignment="1">
      <alignment horizontal="left" vertical="top" wrapText="1"/>
    </xf>
    <xf numFmtId="0" fontId="18" fillId="0" borderId="0" xfId="0" applyFont="1" applyAlignment="1">
      <alignment vertical="top"/>
    </xf>
    <xf numFmtId="0" fontId="28" fillId="6" borderId="0" xfId="0" applyFont="1" applyFill="1" applyAlignment="1">
      <alignment vertical="top"/>
    </xf>
    <xf numFmtId="0" fontId="41" fillId="0" borderId="223" xfId="0" applyFont="1" applyBorder="1" applyAlignment="1" applyProtection="1">
      <alignment horizontal="left" vertical="top" wrapText="1"/>
      <protection locked="0"/>
    </xf>
    <xf numFmtId="0" fontId="8" fillId="0" borderId="29" xfId="0" applyFont="1" applyBorder="1" applyAlignment="1">
      <alignment horizontal="left" vertical="top" wrapText="1"/>
    </xf>
    <xf numFmtId="0" fontId="8" fillId="0" borderId="122" xfId="0" applyFont="1" applyBorder="1" applyAlignment="1">
      <alignment horizontal="left" vertical="top" wrapText="1"/>
    </xf>
    <xf numFmtId="0" fontId="30" fillId="0" borderId="159" xfId="0" applyFont="1" applyBorder="1" applyAlignment="1" applyProtection="1">
      <alignment horizontal="left" vertical="top" wrapText="1"/>
      <protection locked="0"/>
    </xf>
    <xf numFmtId="0" fontId="1" fillId="0" borderId="54" xfId="0" applyFont="1" applyBorder="1" applyAlignment="1">
      <alignment horizontal="left" vertical="top" wrapText="1"/>
    </xf>
    <xf numFmtId="0" fontId="1" fillId="0" borderId="3" xfId="0" applyFont="1" applyBorder="1" applyAlignment="1" applyProtection="1">
      <alignment vertical="top" wrapText="1"/>
      <protection locked="0"/>
    </xf>
    <xf numFmtId="0" fontId="50" fillId="0" borderId="0" xfId="0" applyFont="1" applyAlignment="1">
      <alignment horizontal="left" vertical="top" wrapText="1"/>
    </xf>
    <xf numFmtId="0" fontId="7" fillId="7" borderId="160" xfId="0" applyFont="1" applyFill="1" applyBorder="1" applyAlignment="1">
      <alignment horizontal="left" vertical="top"/>
    </xf>
    <xf numFmtId="0" fontId="16" fillId="7" borderId="159" xfId="0" applyFont="1" applyFill="1" applyBorder="1" applyAlignment="1">
      <alignment horizontal="left" vertical="top" wrapText="1"/>
    </xf>
    <xf numFmtId="0" fontId="17" fillId="0" borderId="72" xfId="0" applyFont="1" applyBorder="1" applyAlignment="1">
      <alignment horizontal="left" vertical="top" wrapText="1"/>
    </xf>
    <xf numFmtId="0" fontId="16" fillId="3" borderId="110" xfId="0" applyFont="1" applyFill="1" applyBorder="1" applyAlignment="1">
      <alignment horizontal="left" vertical="top" wrapText="1"/>
    </xf>
    <xf numFmtId="0" fontId="1" fillId="3" borderId="110" xfId="0" applyFont="1" applyFill="1" applyBorder="1" applyAlignment="1">
      <alignment horizontal="left" vertical="top" wrapText="1"/>
    </xf>
    <xf numFmtId="0" fontId="29" fillId="6" borderId="0" xfId="0" applyFont="1" applyFill="1" applyAlignment="1">
      <alignment horizontal="left" vertical="top"/>
    </xf>
    <xf numFmtId="0" fontId="32" fillId="0" borderId="223" xfId="0" applyFont="1" applyBorder="1" applyAlignment="1">
      <alignment horizontal="left" vertical="top"/>
    </xf>
    <xf numFmtId="0" fontId="8" fillId="0" borderId="223" xfId="0" applyFont="1" applyBorder="1" applyAlignment="1">
      <alignment horizontal="left" vertical="top" wrapText="1"/>
    </xf>
    <xf numFmtId="0" fontId="32" fillId="0" borderId="224" xfId="0" applyFont="1" applyBorder="1" applyAlignment="1">
      <alignment horizontal="left" vertical="top"/>
    </xf>
    <xf numFmtId="0" fontId="32" fillId="0" borderId="215" xfId="0" applyFont="1" applyBorder="1" applyAlignment="1">
      <alignment horizontal="left" vertical="top"/>
    </xf>
    <xf numFmtId="0" fontId="32" fillId="6" borderId="0" xfId="0" applyFont="1" applyFill="1" applyAlignment="1">
      <alignment horizontal="left" vertical="top"/>
    </xf>
    <xf numFmtId="0" fontId="1" fillId="0" borderId="299" xfId="0" applyFont="1" applyBorder="1" applyAlignment="1" applyProtection="1">
      <alignment horizontal="left" vertical="top" wrapText="1"/>
      <protection locked="0"/>
    </xf>
    <xf numFmtId="0" fontId="29" fillId="7" borderId="0" xfId="0" applyFont="1" applyFill="1" applyAlignment="1">
      <alignment horizontal="left" vertical="top"/>
    </xf>
    <xf numFmtId="0" fontId="14" fillId="7" borderId="47" xfId="0" applyFont="1" applyFill="1" applyBorder="1" applyAlignment="1">
      <alignment horizontal="left" vertical="top" wrapText="1"/>
    </xf>
    <xf numFmtId="0" fontId="14" fillId="7" borderId="26" xfId="0" applyFont="1" applyFill="1" applyBorder="1" applyAlignment="1">
      <alignment horizontal="left" vertical="top" wrapText="1"/>
    </xf>
    <xf numFmtId="0" fontId="14" fillId="7" borderId="50" xfId="0" applyFont="1" applyFill="1" applyBorder="1" applyAlignment="1">
      <alignment horizontal="left" vertical="top" wrapText="1"/>
    </xf>
    <xf numFmtId="0" fontId="8" fillId="0" borderId="192" xfId="0" applyFont="1" applyBorder="1" applyAlignment="1">
      <alignment horizontal="left" vertical="top" wrapText="1"/>
    </xf>
    <xf numFmtId="0" fontId="8" fillId="3" borderId="175" xfId="0" applyFont="1" applyFill="1" applyBorder="1" applyAlignment="1">
      <alignment horizontal="left" vertical="top" wrapText="1"/>
    </xf>
    <xf numFmtId="0" fontId="1" fillId="3" borderId="306" xfId="0" applyFont="1" applyFill="1" applyBorder="1" applyAlignment="1" applyProtection="1">
      <alignment horizontal="left" vertical="top" wrapText="1"/>
      <protection locked="0"/>
    </xf>
    <xf numFmtId="0" fontId="1" fillId="0" borderId="327" xfId="0" applyFont="1" applyBorder="1" applyAlignment="1" applyProtection="1">
      <alignment horizontal="left" vertical="top" wrapText="1"/>
      <protection locked="0"/>
    </xf>
    <xf numFmtId="0" fontId="32" fillId="0" borderId="112" xfId="0" applyFont="1" applyBorder="1" applyAlignment="1">
      <alignment horizontal="left" vertical="top" wrapText="1"/>
    </xf>
    <xf numFmtId="0" fontId="32" fillId="0" borderId="170" xfId="0" applyFont="1" applyBorder="1" applyAlignment="1">
      <alignment horizontal="left" vertical="top" wrapText="1"/>
    </xf>
    <xf numFmtId="0" fontId="1" fillId="0" borderId="164" xfId="0" applyFont="1" applyBorder="1" applyAlignment="1">
      <alignment horizontal="left" vertical="top" wrapText="1"/>
    </xf>
    <xf numFmtId="0" fontId="1" fillId="0" borderId="105" xfId="0" applyFont="1" applyBorder="1" applyAlignment="1" applyProtection="1">
      <alignment horizontal="left" vertical="top" wrapText="1"/>
      <protection locked="0"/>
    </xf>
    <xf numFmtId="0" fontId="62" fillId="0" borderId="0" xfId="0" applyFont="1" applyAlignment="1">
      <alignment horizontal="left" vertical="top" wrapText="1"/>
    </xf>
    <xf numFmtId="0" fontId="62" fillId="0" borderId="0" xfId="0" applyFont="1" applyAlignment="1">
      <alignment horizontal="left" vertical="top"/>
    </xf>
    <xf numFmtId="0" fontId="18" fillId="6" borderId="0" xfId="0" applyFont="1" applyFill="1" applyAlignment="1">
      <alignment horizontal="left" vertical="top"/>
    </xf>
    <xf numFmtId="0" fontId="18" fillId="0" borderId="1" xfId="0" applyFont="1" applyBorder="1" applyAlignment="1">
      <alignment horizontal="left" vertical="top"/>
    </xf>
    <xf numFmtId="0" fontId="18" fillId="0" borderId="112" xfId="0" applyFont="1" applyBorder="1" applyAlignment="1">
      <alignment horizontal="left" vertical="top"/>
    </xf>
    <xf numFmtId="0" fontId="18" fillId="0" borderId="113" xfId="0" applyFont="1" applyBorder="1" applyAlignment="1">
      <alignment horizontal="left" vertical="top"/>
    </xf>
    <xf numFmtId="0" fontId="32" fillId="0" borderId="224" xfId="0" applyFont="1" applyBorder="1" applyAlignment="1">
      <alignment horizontal="left" vertical="top" wrapText="1"/>
    </xf>
    <xf numFmtId="0" fontId="1" fillId="3" borderId="176" xfId="0" applyFont="1" applyFill="1" applyBorder="1" applyAlignment="1" applyProtection="1">
      <alignment horizontal="left" vertical="top" wrapText="1"/>
      <protection locked="0"/>
    </xf>
    <xf numFmtId="0" fontId="16" fillId="0" borderId="159" xfId="0" applyFont="1" applyBorder="1" applyAlignment="1">
      <alignment horizontal="left" vertical="top" wrapText="1"/>
    </xf>
    <xf numFmtId="0" fontId="17" fillId="0" borderId="86" xfId="0" applyFont="1" applyBorder="1" applyAlignment="1" applyProtection="1">
      <alignment horizontal="left" vertical="top" wrapText="1"/>
      <protection locked="0"/>
    </xf>
    <xf numFmtId="0" fontId="1" fillId="0" borderId="274" xfId="0" applyFont="1" applyBorder="1" applyAlignment="1" applyProtection="1">
      <alignment horizontal="left" vertical="top" wrapText="1"/>
      <protection locked="0"/>
    </xf>
    <xf numFmtId="0" fontId="1" fillId="0" borderId="275" xfId="0" applyFont="1" applyBorder="1" applyAlignment="1" applyProtection="1">
      <alignment horizontal="left" vertical="top" wrapText="1"/>
      <protection locked="0"/>
    </xf>
    <xf numFmtId="0" fontId="17" fillId="0" borderId="238" xfId="0" applyFont="1" applyBorder="1" applyAlignment="1" applyProtection="1">
      <alignment horizontal="left" vertical="top" wrapText="1"/>
      <protection locked="0"/>
    </xf>
    <xf numFmtId="0" fontId="8" fillId="0" borderId="250" xfId="0" applyFont="1" applyBorder="1" applyAlignment="1">
      <alignment horizontal="left" vertical="top" wrapText="1"/>
    </xf>
    <xf numFmtId="0" fontId="8" fillId="0" borderId="161" xfId="0" applyFont="1" applyBorder="1" applyAlignment="1" applyProtection="1">
      <alignment horizontal="left" vertical="top" wrapText="1"/>
      <protection locked="0"/>
    </xf>
    <xf numFmtId="0" fontId="8" fillId="0" borderId="162" xfId="0" applyFont="1" applyBorder="1" applyAlignment="1" applyProtection="1">
      <alignment horizontal="left" vertical="top" wrapText="1"/>
      <protection locked="0"/>
    </xf>
    <xf numFmtId="0" fontId="32" fillId="0" borderId="305" xfId="0" applyFont="1" applyBorder="1" applyAlignment="1">
      <alignment horizontal="left" vertical="top" wrapText="1"/>
    </xf>
    <xf numFmtId="0" fontId="32" fillId="0" borderId="303" xfId="0" applyFont="1" applyBorder="1" applyAlignment="1">
      <alignment horizontal="left" vertical="top" wrapText="1"/>
    </xf>
    <xf numFmtId="0" fontId="16" fillId="0" borderId="169" xfId="0" applyFont="1" applyBorder="1" applyAlignment="1">
      <alignment horizontal="left" vertical="top" wrapText="1"/>
    </xf>
    <xf numFmtId="0" fontId="1" fillId="0" borderId="322" xfId="0" applyFont="1" applyBorder="1" applyAlignment="1" applyProtection="1">
      <alignment horizontal="left" vertical="top" wrapText="1"/>
      <protection locked="0"/>
    </xf>
    <xf numFmtId="0" fontId="1" fillId="3" borderId="70" xfId="0" applyFont="1" applyFill="1" applyBorder="1" applyAlignment="1" applyProtection="1">
      <alignment horizontal="left" vertical="top" wrapText="1"/>
      <protection locked="0"/>
    </xf>
    <xf numFmtId="0" fontId="8" fillId="0" borderId="322" xfId="0" applyFont="1" applyBorder="1" applyAlignment="1">
      <alignment horizontal="left" vertical="top" wrapText="1"/>
    </xf>
    <xf numFmtId="0" fontId="1" fillId="0" borderId="329" xfId="0" applyFont="1" applyBorder="1" applyAlignment="1" applyProtection="1">
      <alignment horizontal="left" vertical="top" wrapText="1"/>
      <protection locked="0"/>
    </xf>
    <xf numFmtId="0" fontId="1" fillId="0" borderId="330" xfId="0" applyFont="1" applyBorder="1" applyAlignment="1" applyProtection="1">
      <alignment horizontal="left" vertical="top" wrapText="1"/>
      <protection locked="0"/>
    </xf>
    <xf numFmtId="0" fontId="1" fillId="0" borderId="332" xfId="0" applyFont="1" applyBorder="1" applyAlignment="1" applyProtection="1">
      <alignment horizontal="left" vertical="top" wrapText="1"/>
      <protection locked="0"/>
    </xf>
    <xf numFmtId="0" fontId="1" fillId="0" borderId="333" xfId="0" applyFont="1" applyBorder="1" applyAlignment="1" applyProtection="1">
      <alignment horizontal="left" vertical="top" wrapText="1"/>
      <protection locked="0"/>
    </xf>
    <xf numFmtId="0" fontId="1" fillId="0" borderId="148" xfId="0" applyFont="1" applyBorder="1" applyAlignment="1" applyProtection="1">
      <alignment horizontal="left" vertical="top" wrapText="1"/>
      <protection locked="0"/>
    </xf>
    <xf numFmtId="0" fontId="1" fillId="0" borderId="334" xfId="0" applyFont="1" applyBorder="1" applyAlignment="1" applyProtection="1">
      <alignment horizontal="left" vertical="top" wrapText="1"/>
      <protection locked="0"/>
    </xf>
    <xf numFmtId="0" fontId="1" fillId="8" borderId="175" xfId="0" applyFont="1" applyFill="1" applyBorder="1" applyAlignment="1" applyProtection="1">
      <alignment horizontal="left" vertical="top" wrapText="1"/>
      <protection locked="0"/>
    </xf>
    <xf numFmtId="0" fontId="8" fillId="0" borderId="113" xfId="0" applyFont="1" applyBorder="1" applyAlignment="1" applyProtection="1">
      <alignment horizontal="left" vertical="top" wrapText="1"/>
      <protection locked="0"/>
    </xf>
    <xf numFmtId="0" fontId="1" fillId="0" borderId="224" xfId="0" applyFont="1" applyBorder="1" applyAlignment="1" applyProtection="1">
      <alignment horizontal="left" vertical="top" wrapText="1"/>
      <protection locked="0"/>
    </xf>
    <xf numFmtId="0" fontId="1" fillId="0" borderId="323" xfId="0" applyFont="1" applyBorder="1" applyAlignment="1" applyProtection="1">
      <alignment horizontal="left" vertical="top" wrapText="1"/>
      <protection locked="0"/>
    </xf>
    <xf numFmtId="0" fontId="8" fillId="6" borderId="64" xfId="0" applyFont="1" applyFill="1" applyBorder="1" applyAlignment="1">
      <alignment horizontal="left" vertical="top" wrapText="1"/>
    </xf>
    <xf numFmtId="0" fontId="8" fillId="3" borderId="175" xfId="0" applyFont="1" applyFill="1" applyBorder="1" applyAlignment="1" applyProtection="1">
      <alignment horizontal="left" vertical="top" wrapText="1"/>
      <protection locked="0"/>
    </xf>
    <xf numFmtId="0" fontId="17" fillId="0" borderId="112" xfId="0" applyFont="1" applyBorder="1" applyAlignment="1" applyProtection="1">
      <alignment horizontal="left" vertical="top" wrapText="1"/>
      <protection locked="0"/>
    </xf>
    <xf numFmtId="0" fontId="17" fillId="0" borderId="170" xfId="0" applyFont="1" applyBorder="1" applyAlignment="1" applyProtection="1">
      <alignment horizontal="left" vertical="top" wrapText="1"/>
      <protection locked="0"/>
    </xf>
    <xf numFmtId="0" fontId="1" fillId="0" borderId="336" xfId="0" applyFont="1" applyBorder="1" applyAlignment="1" applyProtection="1">
      <alignment horizontal="left" vertical="top" wrapText="1"/>
      <protection locked="0"/>
    </xf>
    <xf numFmtId="0" fontId="1" fillId="0" borderId="307" xfId="0" applyFont="1" applyBorder="1" applyAlignment="1" applyProtection="1">
      <alignment horizontal="left" vertical="top" wrapText="1"/>
      <protection locked="0"/>
    </xf>
    <xf numFmtId="0" fontId="1" fillId="0" borderId="340" xfId="0" applyFont="1" applyBorder="1" applyAlignment="1" applyProtection="1">
      <alignment horizontal="left" vertical="top" wrapText="1"/>
      <protection locked="0"/>
    </xf>
    <xf numFmtId="0" fontId="1" fillId="0" borderId="341" xfId="0" applyFont="1" applyBorder="1" applyAlignment="1" applyProtection="1">
      <alignment horizontal="left" vertical="top" wrapText="1"/>
      <protection locked="0"/>
    </xf>
    <xf numFmtId="0" fontId="16" fillId="0" borderId="169" xfId="0" applyFont="1" applyBorder="1" applyAlignment="1" applyProtection="1">
      <alignment horizontal="left" vertical="top" wrapText="1"/>
      <protection locked="0"/>
    </xf>
    <xf numFmtId="0" fontId="1" fillId="0" borderId="339" xfId="0" applyFont="1" applyBorder="1" applyAlignment="1" applyProtection="1">
      <alignment horizontal="left" vertical="top" wrapText="1"/>
      <protection locked="0"/>
    </xf>
    <xf numFmtId="0" fontId="1" fillId="8" borderId="70" xfId="0" applyFont="1" applyFill="1" applyBorder="1" applyAlignment="1" applyProtection="1">
      <alignment horizontal="left" vertical="top" wrapText="1"/>
      <protection locked="0"/>
    </xf>
    <xf numFmtId="0" fontId="17" fillId="0" borderId="164" xfId="0" applyFont="1" applyBorder="1" applyAlignment="1" applyProtection="1">
      <alignment vertical="top" wrapText="1"/>
      <protection locked="0"/>
    </xf>
    <xf numFmtId="0" fontId="22" fillId="0" borderId="164" xfId="0" applyFont="1" applyBorder="1" applyAlignment="1">
      <alignment vertical="top"/>
    </xf>
    <xf numFmtId="0" fontId="18" fillId="0" borderId="164" xfId="0" applyFont="1" applyBorder="1" applyAlignment="1">
      <alignment vertical="top"/>
    </xf>
    <xf numFmtId="0" fontId="28" fillId="0" borderId="0" xfId="0" applyFont="1" applyAlignment="1">
      <alignment horizontal="left" vertical="top"/>
    </xf>
    <xf numFmtId="0" fontId="28" fillId="0" borderId="112" xfId="0" applyFont="1" applyBorder="1" applyAlignment="1">
      <alignment horizontal="left" vertical="top"/>
    </xf>
    <xf numFmtId="0" fontId="28" fillId="0" borderId="110" xfId="0" applyFont="1" applyBorder="1" applyAlignment="1">
      <alignment horizontal="left" vertical="top"/>
    </xf>
    <xf numFmtId="0" fontId="28" fillId="0" borderId="113" xfId="0" applyFont="1" applyBorder="1" applyAlignment="1">
      <alignment horizontal="left" vertical="top"/>
    </xf>
    <xf numFmtId="0" fontId="17" fillId="0" borderId="247" xfId="0" applyFont="1" applyBorder="1" applyAlignment="1">
      <alignment horizontal="left" vertical="top" wrapText="1"/>
    </xf>
    <xf numFmtId="0" fontId="30" fillId="0" borderId="131" xfId="0" applyFont="1" applyBorder="1" applyAlignment="1">
      <alignment horizontal="left" vertical="top" wrapText="1"/>
    </xf>
    <xf numFmtId="0" fontId="1" fillId="0" borderId="159" xfId="0" applyFont="1" applyBorder="1" applyAlignment="1" applyProtection="1">
      <alignment vertical="top" wrapText="1"/>
      <protection locked="0"/>
    </xf>
    <xf numFmtId="0" fontId="1" fillId="0" borderId="110" xfId="0" applyFont="1" applyBorder="1" applyAlignment="1" applyProtection="1">
      <alignment vertical="top" wrapText="1"/>
      <protection locked="0"/>
    </xf>
    <xf numFmtId="0" fontId="1" fillId="0" borderId="164" xfId="0" applyFont="1" applyBorder="1" applyAlignment="1" applyProtection="1">
      <alignment vertical="top" wrapText="1"/>
      <protection locked="0"/>
    </xf>
    <xf numFmtId="0" fontId="0" fillId="0" borderId="159" xfId="0" applyBorder="1" applyAlignment="1">
      <alignment horizontal="left" vertical="top"/>
    </xf>
    <xf numFmtId="0" fontId="17" fillId="0" borderId="159" xfId="0" applyFont="1" applyBorder="1" applyAlignment="1" applyProtection="1">
      <alignment horizontal="left" vertical="top" wrapText="1"/>
      <protection locked="0"/>
    </xf>
    <xf numFmtId="0" fontId="14" fillId="0" borderId="159" xfId="0" applyFont="1" applyBorder="1" applyAlignment="1" applyProtection="1">
      <alignment horizontal="left" vertical="top" wrapText="1"/>
      <protection locked="0"/>
    </xf>
    <xf numFmtId="0" fontId="36" fillId="7" borderId="54" xfId="0" applyFont="1" applyFill="1" applyBorder="1" applyAlignment="1">
      <alignment horizontal="left" vertical="top" wrapText="1"/>
    </xf>
    <xf numFmtId="0" fontId="41" fillId="0" borderId="159" xfId="0" applyFont="1" applyBorder="1" applyAlignment="1">
      <alignment horizontal="left" vertical="top" wrapText="1"/>
    </xf>
    <xf numFmtId="0" fontId="17" fillId="0" borderId="68" xfId="0" applyFont="1" applyBorder="1" applyAlignment="1" applyProtection="1">
      <alignment horizontal="left" vertical="top" wrapText="1"/>
      <protection locked="0"/>
    </xf>
    <xf numFmtId="0" fontId="8" fillId="0" borderId="30" xfId="0" applyFont="1" applyBorder="1" applyAlignment="1" applyProtection="1">
      <alignment horizontal="left" vertical="top" wrapText="1"/>
      <protection locked="0"/>
    </xf>
    <xf numFmtId="0" fontId="7" fillId="0" borderId="54" xfId="0" applyFont="1" applyBorder="1" applyAlignment="1">
      <alignment horizontal="left" vertical="top" wrapText="1"/>
    </xf>
    <xf numFmtId="0" fontId="17" fillId="0" borderId="54" xfId="0" applyFont="1" applyBorder="1" applyAlignment="1">
      <alignment horizontal="left" vertical="top" wrapText="1"/>
    </xf>
    <xf numFmtId="0" fontId="16" fillId="0" borderId="247" xfId="0" applyFont="1" applyBorder="1" applyAlignment="1">
      <alignment horizontal="left" vertical="top" wrapText="1"/>
    </xf>
    <xf numFmtId="0" fontId="1" fillId="0" borderId="247" xfId="0" applyFont="1" applyBorder="1" applyAlignment="1">
      <alignment horizontal="left" vertical="top" wrapText="1"/>
    </xf>
    <xf numFmtId="0" fontId="27" fillId="0" borderId="0" xfId="0" applyFont="1" applyAlignment="1">
      <alignment horizontal="left" vertical="top" wrapText="1"/>
    </xf>
    <xf numFmtId="0" fontId="32" fillId="0" borderId="54" xfId="0" applyFont="1" applyBorder="1" applyAlignment="1">
      <alignment horizontal="left" vertical="top" wrapText="1"/>
    </xf>
    <xf numFmtId="0" fontId="17" fillId="0" borderId="55" xfId="0" applyFont="1" applyBorder="1" applyAlignment="1">
      <alignment horizontal="left" vertical="top" wrapText="1"/>
    </xf>
    <xf numFmtId="0" fontId="1" fillId="0" borderId="55" xfId="0" applyFont="1" applyBorder="1" applyAlignment="1">
      <alignment horizontal="left" vertical="top" wrapText="1"/>
    </xf>
    <xf numFmtId="0" fontId="1" fillId="0" borderId="61" xfId="0" applyFont="1" applyBorder="1" applyAlignment="1">
      <alignment horizontal="left" vertical="top" wrapText="1"/>
    </xf>
    <xf numFmtId="0" fontId="17" fillId="0" borderId="56" xfId="0" applyFont="1" applyBorder="1" applyAlignment="1">
      <alignment horizontal="left" vertical="top" wrapText="1"/>
    </xf>
    <xf numFmtId="0" fontId="0" fillId="0" borderId="37" xfId="0" applyBorder="1" applyAlignment="1">
      <alignment horizontal="left" vertical="top" wrapText="1"/>
    </xf>
    <xf numFmtId="0" fontId="7" fillId="0" borderId="55" xfId="0" applyFont="1" applyBorder="1" applyAlignment="1">
      <alignment horizontal="left" vertical="top" wrapText="1"/>
    </xf>
    <xf numFmtId="0" fontId="32" fillId="0" borderId="55" xfId="0" applyFont="1" applyBorder="1" applyAlignment="1">
      <alignment horizontal="left" vertical="top" wrapText="1"/>
    </xf>
    <xf numFmtId="0" fontId="1" fillId="0" borderId="56" xfId="0" applyFont="1" applyBorder="1" applyAlignment="1">
      <alignment horizontal="left" vertical="top" wrapText="1"/>
    </xf>
    <xf numFmtId="0" fontId="32" fillId="0" borderId="37" xfId="0" applyFont="1" applyBorder="1" applyAlignment="1">
      <alignment horizontal="left" vertical="top" wrapText="1"/>
    </xf>
    <xf numFmtId="0" fontId="30" fillId="0" borderId="0" xfId="0" applyFont="1" applyAlignment="1" applyProtection="1">
      <alignment vertical="top" wrapText="1"/>
      <protection locked="0"/>
    </xf>
    <xf numFmtId="0" fontId="1" fillId="3" borderId="320" xfId="0" applyFont="1" applyFill="1" applyBorder="1" applyAlignment="1" applyProtection="1">
      <alignment horizontal="left" vertical="top" wrapText="1"/>
      <protection locked="0"/>
    </xf>
    <xf numFmtId="0" fontId="8" fillId="6" borderId="62" xfId="0" applyFont="1" applyFill="1" applyBorder="1" applyAlignment="1">
      <alignment horizontal="left" vertical="top" wrapText="1"/>
    </xf>
    <xf numFmtId="0" fontId="8" fillId="0" borderId="322" xfId="0" applyFont="1" applyBorder="1" applyAlignment="1" applyProtection="1">
      <alignment horizontal="left" vertical="top" wrapText="1"/>
      <protection locked="0"/>
    </xf>
    <xf numFmtId="0" fontId="1" fillId="0" borderId="320" xfId="0" applyFont="1" applyBorder="1" applyAlignment="1" applyProtection="1">
      <alignment horizontal="left" vertical="top" wrapText="1"/>
      <protection locked="0"/>
    </xf>
    <xf numFmtId="0" fontId="1" fillId="0" borderId="155" xfId="0" applyFont="1" applyBorder="1" applyAlignment="1" applyProtection="1">
      <alignment horizontal="left" vertical="top" wrapText="1"/>
      <protection locked="0"/>
    </xf>
    <xf numFmtId="0" fontId="1" fillId="8" borderId="306" xfId="0" applyFont="1" applyFill="1" applyBorder="1" applyAlignment="1" applyProtection="1">
      <alignment horizontal="left" vertical="top" wrapText="1"/>
      <protection locked="0"/>
    </xf>
    <xf numFmtId="0" fontId="1" fillId="8" borderId="176" xfId="0" applyFont="1" applyFill="1" applyBorder="1" applyAlignment="1" applyProtection="1">
      <alignment horizontal="left" vertical="top" wrapText="1"/>
      <protection locked="0"/>
    </xf>
    <xf numFmtId="0" fontId="1" fillId="0" borderId="319" xfId="0" applyFont="1" applyBorder="1" applyAlignment="1" applyProtection="1">
      <alignment horizontal="left" vertical="top" wrapText="1"/>
      <protection locked="0"/>
    </xf>
    <xf numFmtId="0" fontId="8" fillId="0" borderId="75" xfId="0" applyFont="1" applyBorder="1" applyAlignment="1">
      <alignment horizontal="left" vertical="top" wrapText="1"/>
    </xf>
    <xf numFmtId="0" fontId="1" fillId="0" borderId="237" xfId="0" applyFont="1" applyBorder="1" applyAlignment="1" applyProtection="1">
      <alignment horizontal="left" vertical="top" wrapText="1"/>
      <protection locked="0"/>
    </xf>
    <xf numFmtId="0" fontId="1" fillId="0" borderId="239"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31" xfId="0" applyFont="1" applyBorder="1" applyAlignment="1" applyProtection="1">
      <alignment horizontal="left" vertical="top" wrapText="1"/>
      <protection locked="0"/>
    </xf>
    <xf numFmtId="0" fontId="14" fillId="0" borderId="76" xfId="0" applyFont="1" applyBorder="1" applyAlignment="1" applyProtection="1">
      <alignment horizontal="left" vertical="top" wrapText="1"/>
      <protection locked="0"/>
    </xf>
    <xf numFmtId="0" fontId="14" fillId="0" borderId="160" xfId="0" applyFont="1" applyBorder="1" applyAlignment="1" applyProtection="1">
      <alignment horizontal="left" vertical="top" wrapText="1"/>
      <protection locked="0"/>
    </xf>
    <xf numFmtId="0" fontId="14" fillId="0" borderId="68" xfId="0" applyFont="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0" fontId="14" fillId="0" borderId="30" xfId="0" applyFont="1" applyBorder="1" applyAlignment="1" applyProtection="1">
      <alignment horizontal="left" vertical="top" wrapText="1"/>
      <protection locked="0"/>
    </xf>
    <xf numFmtId="0" fontId="8" fillId="0" borderId="270" xfId="0" applyFont="1" applyBorder="1" applyAlignment="1" applyProtection="1">
      <alignment horizontal="left" vertical="top" wrapText="1"/>
      <protection locked="0"/>
    </xf>
    <xf numFmtId="0" fontId="1" fillId="0" borderId="169" xfId="0" applyFont="1" applyBorder="1" applyAlignment="1">
      <alignment horizontal="left" vertical="top" wrapText="1"/>
    </xf>
    <xf numFmtId="0" fontId="8" fillId="0" borderId="170" xfId="0" applyFont="1" applyBorder="1" applyAlignment="1">
      <alignment horizontal="left" vertical="top" wrapText="1"/>
    </xf>
    <xf numFmtId="0" fontId="32" fillId="0" borderId="214" xfId="0" applyFont="1" applyBorder="1" applyAlignment="1">
      <alignment horizontal="left" vertical="top"/>
    </xf>
    <xf numFmtId="0" fontId="1" fillId="0" borderId="117" xfId="0" applyFont="1" applyBorder="1" applyAlignment="1" applyProtection="1">
      <alignment horizontal="left" vertical="top" wrapText="1"/>
      <protection locked="0"/>
    </xf>
    <xf numFmtId="0" fontId="32" fillId="0" borderId="108" xfId="0" applyFont="1" applyBorder="1" applyAlignment="1">
      <alignment horizontal="left" vertical="top"/>
    </xf>
    <xf numFmtId="0" fontId="1" fillId="0" borderId="345" xfId="0" applyFont="1" applyBorder="1" applyAlignment="1" applyProtection="1">
      <alignment horizontal="left" vertical="top" wrapText="1"/>
      <protection locked="0"/>
    </xf>
    <xf numFmtId="0" fontId="30" fillId="6" borderId="0" xfId="0" applyFont="1" applyFill="1" applyAlignment="1">
      <alignment vertical="top" wrapText="1"/>
    </xf>
    <xf numFmtId="0" fontId="1" fillId="0" borderId="5" xfId="0" applyFont="1" applyBorder="1" applyAlignment="1" applyProtection="1">
      <alignment vertical="top" wrapText="1"/>
      <protection locked="0"/>
    </xf>
    <xf numFmtId="0" fontId="1" fillId="0" borderId="94" xfId="0" applyFont="1" applyBorder="1" applyAlignment="1" applyProtection="1">
      <alignment vertical="top" wrapText="1"/>
      <protection locked="0"/>
    </xf>
    <xf numFmtId="0" fontId="1" fillId="0" borderId="90" xfId="0" applyFont="1" applyBorder="1" applyAlignment="1" applyProtection="1">
      <alignment vertical="top" wrapText="1"/>
      <protection locked="0"/>
    </xf>
    <xf numFmtId="0" fontId="1" fillId="0" borderId="104" xfId="0" applyFont="1" applyBorder="1" applyAlignment="1" applyProtection="1">
      <alignment vertical="top" wrapText="1"/>
      <protection locked="0"/>
    </xf>
    <xf numFmtId="0" fontId="30" fillId="0" borderId="0" xfId="0" applyFont="1" applyAlignment="1" applyProtection="1">
      <alignment horizontal="left" vertical="top" wrapText="1"/>
      <protection locked="0"/>
    </xf>
    <xf numFmtId="0" fontId="14" fillId="7" borderId="0" xfId="0" applyFont="1" applyFill="1" applyAlignment="1">
      <alignment horizontal="left" vertical="top" wrapText="1"/>
    </xf>
    <xf numFmtId="0" fontId="63" fillId="6" borderId="0" xfId="0" applyFont="1" applyFill="1" applyAlignment="1">
      <alignment horizontal="left" vertical="top"/>
    </xf>
    <xf numFmtId="0" fontId="13" fillId="0" borderId="112" xfId="0" applyFont="1" applyBorder="1" applyAlignment="1">
      <alignment horizontal="left" vertical="top"/>
    </xf>
    <xf numFmtId="0" fontId="13" fillId="0" borderId="110" xfId="0" applyFont="1" applyBorder="1" applyAlignment="1">
      <alignment horizontal="left" vertical="top"/>
    </xf>
    <xf numFmtId="0" fontId="13" fillId="0" borderId="113" xfId="0" applyFont="1" applyBorder="1" applyAlignment="1">
      <alignment horizontal="left" vertical="top"/>
    </xf>
    <xf numFmtId="0" fontId="0" fillId="0" borderId="30" xfId="0" applyBorder="1" applyAlignment="1">
      <alignment horizontal="left" vertical="top" wrapText="1"/>
    </xf>
    <xf numFmtId="0" fontId="0" fillId="0" borderId="114" xfId="0" applyBorder="1" applyAlignment="1">
      <alignment horizontal="left" vertical="top"/>
    </xf>
    <xf numFmtId="0" fontId="0" fillId="0" borderId="116" xfId="0" applyBorder="1" applyAlignment="1">
      <alignment horizontal="left" vertical="top"/>
    </xf>
    <xf numFmtId="0" fontId="8" fillId="0" borderId="101"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68" xfId="0" applyFont="1" applyBorder="1" applyAlignment="1" applyProtection="1">
      <alignment horizontal="left" vertical="top" wrapText="1"/>
      <protection locked="0"/>
    </xf>
    <xf numFmtId="0" fontId="30" fillId="0" borderId="160" xfId="0" applyFont="1" applyBorder="1" applyAlignment="1" applyProtection="1">
      <alignment horizontal="left" vertical="top" wrapText="1"/>
      <protection locked="0"/>
    </xf>
    <xf numFmtId="0" fontId="30" fillId="0" borderId="97" xfId="0" applyFont="1" applyBorder="1" applyAlignment="1" applyProtection="1">
      <alignment horizontal="left" vertical="top" wrapText="1"/>
      <protection locked="0"/>
    </xf>
    <xf numFmtId="0" fontId="14" fillId="0" borderId="97" xfId="0" applyFont="1" applyBorder="1" applyAlignment="1" applyProtection="1">
      <alignment horizontal="left" vertical="top" wrapText="1"/>
      <protection locked="0"/>
    </xf>
    <xf numFmtId="0" fontId="27" fillId="0" borderId="191" xfId="0" applyFont="1" applyBorder="1" applyAlignment="1">
      <alignment horizontal="left" vertical="top"/>
    </xf>
    <xf numFmtId="0" fontId="1" fillId="0" borderId="192" xfId="0" applyFont="1" applyBorder="1" applyAlignment="1">
      <alignment horizontal="left" vertical="top" wrapText="1"/>
    </xf>
    <xf numFmtId="0" fontId="1" fillId="0" borderId="344" xfId="0" applyFont="1" applyBorder="1" applyAlignment="1">
      <alignment horizontal="left" vertical="top" wrapText="1"/>
    </xf>
    <xf numFmtId="0" fontId="30" fillId="0" borderId="132" xfId="0" applyFont="1" applyBorder="1" applyAlignment="1" applyProtection="1">
      <alignment horizontal="left" vertical="top" wrapText="1"/>
      <protection locked="0"/>
    </xf>
    <xf numFmtId="0" fontId="1" fillId="0" borderId="191" xfId="0" applyFont="1" applyBorder="1" applyAlignment="1">
      <alignment horizontal="left" vertical="top" wrapText="1"/>
    </xf>
    <xf numFmtId="0" fontId="30" fillId="3" borderId="306" xfId="0" applyFont="1" applyFill="1" applyBorder="1" applyAlignment="1" applyProtection="1">
      <alignment horizontal="left" vertical="top" wrapText="1"/>
      <protection locked="0"/>
    </xf>
    <xf numFmtId="0" fontId="30" fillId="3" borderId="176" xfId="0" applyFont="1" applyFill="1" applyBorder="1" applyAlignment="1" applyProtection="1">
      <alignment horizontal="left" vertical="top" wrapText="1"/>
      <protection locked="0"/>
    </xf>
    <xf numFmtId="0" fontId="30" fillId="3" borderId="310" xfId="0" applyFont="1" applyFill="1" applyBorder="1" applyAlignment="1" applyProtection="1">
      <alignment horizontal="left" vertical="top" wrapText="1"/>
      <protection locked="0"/>
    </xf>
    <xf numFmtId="0" fontId="30" fillId="3" borderId="70" xfId="0" applyFont="1" applyFill="1" applyBorder="1" applyAlignment="1" applyProtection="1">
      <alignment horizontal="left" vertical="top" wrapText="1"/>
      <protection locked="0"/>
    </xf>
    <xf numFmtId="0" fontId="1" fillId="0" borderId="163" xfId="0" applyFont="1" applyBorder="1" applyAlignment="1">
      <alignment horizontal="left" vertical="top" wrapText="1"/>
    </xf>
    <xf numFmtId="0" fontId="14" fillId="7" borderId="55" xfId="0" applyFont="1" applyFill="1" applyBorder="1" applyAlignment="1">
      <alignment horizontal="left" vertical="top" wrapText="1"/>
    </xf>
    <xf numFmtId="0" fontId="18" fillId="7" borderId="0" xfId="0" applyFont="1" applyFill="1" applyAlignment="1">
      <alignment horizontal="left" vertical="top" wrapText="1"/>
    </xf>
    <xf numFmtId="0" fontId="1" fillId="0" borderId="257" xfId="0" applyFont="1" applyBorder="1" applyAlignment="1" applyProtection="1">
      <alignment horizontal="left" vertical="top" wrapText="1"/>
      <protection locked="0"/>
    </xf>
    <xf numFmtId="0" fontId="8" fillId="3" borderId="42" xfId="0" applyFont="1" applyFill="1" applyBorder="1" applyAlignment="1">
      <alignment vertical="top" wrapText="1"/>
    </xf>
    <xf numFmtId="0" fontId="30" fillId="0" borderId="306" xfId="0" applyFont="1" applyBorder="1" applyAlignment="1" applyProtection="1">
      <alignment horizontal="left" vertical="top" wrapText="1"/>
      <protection locked="0"/>
    </xf>
    <xf numFmtId="0" fontId="30" fillId="0" borderId="176" xfId="0" applyFont="1" applyBorder="1" applyAlignment="1" applyProtection="1">
      <alignment horizontal="left" vertical="top" wrapText="1"/>
      <protection locked="0"/>
    </xf>
    <xf numFmtId="0" fontId="30" fillId="3" borderId="328" xfId="0" applyFont="1" applyFill="1" applyBorder="1" applyAlignment="1" applyProtection="1">
      <alignment horizontal="left" vertical="top" wrapText="1"/>
      <protection locked="0"/>
    </xf>
    <xf numFmtId="0" fontId="8" fillId="3" borderId="175" xfId="0" applyFont="1" applyFill="1" applyBorder="1" applyAlignment="1">
      <alignment vertical="top" wrapText="1"/>
    </xf>
    <xf numFmtId="0" fontId="8" fillId="0" borderId="91" xfId="0" applyFont="1" applyBorder="1" applyAlignment="1" applyProtection="1">
      <alignment horizontal="left" vertical="top" wrapText="1"/>
      <protection locked="0"/>
    </xf>
    <xf numFmtId="0" fontId="8" fillId="0" borderId="257" xfId="0" applyFont="1" applyBorder="1" applyAlignment="1" applyProtection="1">
      <alignment horizontal="left" vertical="top" wrapText="1"/>
      <protection locked="0"/>
    </xf>
    <xf numFmtId="0" fontId="1" fillId="0" borderId="199" xfId="0" applyFont="1" applyBorder="1" applyAlignment="1" applyProtection="1">
      <alignment horizontal="left" vertical="top" wrapText="1"/>
      <protection locked="0"/>
    </xf>
    <xf numFmtId="0" fontId="1" fillId="0" borderId="208" xfId="0" applyFont="1" applyBorder="1" applyAlignment="1" applyProtection="1">
      <alignment horizontal="left" vertical="top" wrapText="1"/>
      <protection locked="0"/>
    </xf>
    <xf numFmtId="0" fontId="7" fillId="7" borderId="0" xfId="0" applyFont="1" applyFill="1" applyAlignment="1">
      <alignment horizontal="left" vertical="top" wrapText="1"/>
    </xf>
    <xf numFmtId="0" fontId="7" fillId="5" borderId="0" xfId="0" applyFont="1" applyFill="1" applyAlignment="1">
      <alignment horizontal="left" vertical="top" wrapText="1"/>
    </xf>
    <xf numFmtId="0" fontId="37" fillId="9" borderId="0" xfId="0" applyFont="1" applyFill="1" applyAlignment="1">
      <alignment horizontal="left" vertical="top" wrapText="1"/>
    </xf>
    <xf numFmtId="0" fontId="7" fillId="9" borderId="0" xfId="0" applyFont="1" applyFill="1" applyAlignment="1">
      <alignment horizontal="left" vertical="top" wrapText="1"/>
    </xf>
    <xf numFmtId="0" fontId="14" fillId="0" borderId="0" xfId="0" applyFont="1" applyAlignment="1">
      <alignment horizontal="left" vertical="top" wrapText="1"/>
    </xf>
    <xf numFmtId="0" fontId="7" fillId="10" borderId="0" xfId="0" applyFont="1" applyFill="1" applyAlignment="1">
      <alignment horizontal="left" vertical="top" wrapText="1"/>
    </xf>
    <xf numFmtId="0" fontId="52" fillId="0" borderId="112" xfId="0" applyFont="1" applyBorder="1" applyAlignment="1">
      <alignment horizontal="left" vertical="top"/>
    </xf>
    <xf numFmtId="0" fontId="52" fillId="0" borderId="110" xfId="0" applyFont="1" applyBorder="1" applyAlignment="1">
      <alignment horizontal="left" vertical="top"/>
    </xf>
    <xf numFmtId="0" fontId="52" fillId="0" borderId="113" xfId="0" applyFont="1" applyBorder="1" applyAlignment="1">
      <alignment horizontal="left" vertical="top"/>
    </xf>
    <xf numFmtId="0" fontId="8" fillId="0" borderId="112" xfId="0" applyFont="1" applyBorder="1" applyAlignment="1" applyProtection="1">
      <alignment horizontal="left" vertical="top" wrapText="1"/>
      <protection locked="0"/>
    </xf>
    <xf numFmtId="0" fontId="8" fillId="0" borderId="114" xfId="0" applyFont="1" applyBorder="1" applyAlignment="1" applyProtection="1">
      <alignment horizontal="left" vertical="top" wrapText="1"/>
      <protection locked="0"/>
    </xf>
    <xf numFmtId="0" fontId="8" fillId="0" borderId="115" xfId="0" applyFont="1" applyBorder="1" applyAlignment="1" applyProtection="1">
      <alignment horizontal="left" vertical="top" wrapText="1"/>
      <protection locked="0"/>
    </xf>
    <xf numFmtId="0" fontId="8" fillId="0" borderId="116" xfId="0" applyFont="1" applyBorder="1" applyAlignment="1" applyProtection="1">
      <alignment horizontal="left" vertical="top" wrapText="1"/>
      <protection locked="0"/>
    </xf>
    <xf numFmtId="0" fontId="8" fillId="0" borderId="71" xfId="0" applyFont="1" applyBorder="1" applyAlignment="1" applyProtection="1">
      <alignment horizontal="left" vertical="top" wrapText="1"/>
      <protection locked="0"/>
    </xf>
    <xf numFmtId="0" fontId="52" fillId="6" borderId="0" xfId="0" applyFont="1" applyFill="1" applyAlignment="1">
      <alignment horizontal="left" vertical="top"/>
    </xf>
    <xf numFmtId="0" fontId="52" fillId="0" borderId="0" xfId="0" applyFont="1" applyAlignment="1">
      <alignment horizontal="left" vertical="top" wrapText="1"/>
    </xf>
    <xf numFmtId="0" fontId="8" fillId="3" borderId="306" xfId="0" applyFont="1" applyFill="1" applyBorder="1" applyAlignment="1" applyProtection="1">
      <alignment horizontal="left" vertical="top" wrapText="1"/>
      <protection locked="0"/>
    </xf>
    <xf numFmtId="0" fontId="32" fillId="0" borderId="214" xfId="0" applyFont="1" applyBorder="1" applyAlignment="1">
      <alignment horizontal="left" vertical="top" wrapText="1"/>
    </xf>
    <xf numFmtId="0" fontId="36" fillId="7" borderId="0" xfId="0" applyFont="1" applyFill="1" applyAlignment="1">
      <alignment horizontal="left" vertical="top" wrapText="1"/>
    </xf>
    <xf numFmtId="0" fontId="8" fillId="0" borderId="263" xfId="0" applyFont="1" applyBorder="1" applyAlignment="1">
      <alignment horizontal="left" vertical="top" wrapText="1"/>
    </xf>
    <xf numFmtId="0" fontId="30" fillId="0" borderId="23" xfId="0" applyFont="1" applyBorder="1" applyAlignment="1" applyProtection="1">
      <alignment horizontal="left" vertical="top" wrapText="1"/>
      <protection locked="0"/>
    </xf>
    <xf numFmtId="0" fontId="30" fillId="0" borderId="215" xfId="0" applyFont="1" applyBorder="1" applyAlignment="1" applyProtection="1">
      <alignment horizontal="left" vertical="top" wrapText="1"/>
      <protection locked="0"/>
    </xf>
    <xf numFmtId="0" fontId="41" fillId="0" borderId="262" xfId="0" applyFont="1" applyBorder="1" applyAlignment="1" applyProtection="1">
      <alignment horizontal="left" vertical="top" wrapText="1"/>
      <protection locked="0"/>
    </xf>
    <xf numFmtId="0" fontId="41" fillId="0" borderId="177" xfId="0" applyFont="1" applyBorder="1" applyAlignment="1" applyProtection="1">
      <alignment horizontal="left" vertical="top" wrapText="1"/>
      <protection locked="0"/>
    </xf>
    <xf numFmtId="0" fontId="41" fillId="0" borderId="265" xfId="0" applyFont="1" applyBorder="1" applyAlignment="1" applyProtection="1">
      <alignment horizontal="left" vertical="top" wrapText="1"/>
      <protection locked="0"/>
    </xf>
    <xf numFmtId="0" fontId="41" fillId="0" borderId="161" xfId="0" applyFont="1" applyBorder="1" applyAlignment="1" applyProtection="1">
      <alignment horizontal="left" vertical="top" wrapText="1"/>
      <protection locked="0"/>
    </xf>
    <xf numFmtId="0" fontId="53" fillId="0" borderId="158" xfId="0" applyFont="1" applyBorder="1" applyAlignment="1" applyProtection="1">
      <alignment horizontal="left" vertical="top" wrapText="1"/>
      <protection locked="0"/>
    </xf>
    <xf numFmtId="0" fontId="41" fillId="0" borderId="250" xfId="0" applyFont="1" applyBorder="1" applyAlignment="1">
      <alignment horizontal="left" vertical="top" wrapText="1"/>
    </xf>
    <xf numFmtId="0" fontId="41" fillId="0" borderId="169" xfId="0" applyFont="1" applyBorder="1" applyAlignment="1">
      <alignment horizontal="left" vertical="top" wrapText="1"/>
    </xf>
    <xf numFmtId="0" fontId="41" fillId="0" borderId="112" xfId="0" applyFont="1" applyBorder="1" applyAlignment="1">
      <alignment horizontal="left" vertical="top" wrapText="1"/>
    </xf>
    <xf numFmtId="0" fontId="41" fillId="0" borderId="112" xfId="0" applyFont="1" applyBorder="1" applyAlignment="1" applyProtection="1">
      <alignment horizontal="left" vertical="top" wrapText="1"/>
      <protection locked="0"/>
    </xf>
    <xf numFmtId="0" fontId="41" fillId="0" borderId="170" xfId="0" applyFont="1" applyBorder="1" applyAlignment="1" applyProtection="1">
      <alignment horizontal="left" vertical="top" wrapText="1"/>
      <protection locked="0"/>
    </xf>
    <xf numFmtId="0" fontId="53" fillId="0" borderId="175" xfId="0" applyFont="1" applyBorder="1" applyAlignment="1" applyProtection="1">
      <alignment horizontal="left" vertical="top" wrapText="1"/>
      <protection locked="0"/>
    </xf>
    <xf numFmtId="0" fontId="18" fillId="0" borderId="163" xfId="0" applyFont="1" applyBorder="1" applyAlignment="1">
      <alignment horizontal="left" vertical="top"/>
    </xf>
    <xf numFmtId="0" fontId="30" fillId="0" borderId="161" xfId="0" applyFont="1" applyBorder="1" applyAlignment="1" applyProtection="1">
      <alignment vertical="top" wrapText="1"/>
      <protection locked="0"/>
    </xf>
    <xf numFmtId="0" fontId="30" fillId="0" borderId="163" xfId="0" applyFont="1" applyBorder="1" applyAlignment="1" applyProtection="1">
      <alignment vertical="top" wrapText="1"/>
      <protection locked="0"/>
    </xf>
    <xf numFmtId="0" fontId="30" fillId="0" borderId="158" xfId="0" applyFont="1" applyBorder="1" applyAlignment="1" applyProtection="1">
      <alignment vertical="top" wrapText="1"/>
      <protection locked="0"/>
    </xf>
    <xf numFmtId="0" fontId="30" fillId="0" borderId="262" xfId="0" applyFont="1" applyBorder="1" applyAlignment="1" applyProtection="1">
      <alignment vertical="top" wrapText="1"/>
      <protection locked="0"/>
    </xf>
    <xf numFmtId="0" fontId="30" fillId="0" borderId="177" xfId="0" applyFont="1" applyBorder="1" applyAlignment="1" applyProtection="1">
      <alignment vertical="top" wrapText="1"/>
      <protection locked="0"/>
    </xf>
    <xf numFmtId="0" fontId="8" fillId="0" borderId="199" xfId="0" applyFont="1" applyBorder="1" applyAlignment="1" applyProtection="1">
      <alignment horizontal="left" vertical="top" wrapText="1"/>
      <protection locked="0"/>
    </xf>
    <xf numFmtId="0" fontId="41" fillId="0" borderId="191" xfId="0" applyFont="1" applyBorder="1" applyAlignment="1">
      <alignment horizontal="left" vertical="top" wrapText="1"/>
    </xf>
    <xf numFmtId="0" fontId="1" fillId="0" borderId="146" xfId="0" applyFont="1" applyBorder="1" applyAlignment="1" applyProtection="1">
      <alignment horizontal="left" vertical="top" wrapText="1"/>
      <protection locked="0"/>
    </xf>
    <xf numFmtId="0" fontId="41" fillId="0" borderId="316" xfId="0" applyFont="1" applyBorder="1" applyAlignment="1">
      <alignment horizontal="left" vertical="top" wrapText="1"/>
    </xf>
    <xf numFmtId="0" fontId="1" fillId="3" borderId="175" xfId="0" applyFont="1" applyFill="1" applyBorder="1" applyAlignment="1" applyProtection="1">
      <alignment horizontal="left" vertical="top" wrapText="1"/>
      <protection locked="0"/>
    </xf>
    <xf numFmtId="0" fontId="1" fillId="0" borderId="112" xfId="3" applyFont="1" applyBorder="1" applyAlignment="1" applyProtection="1">
      <alignment horizontal="left" vertical="top" wrapText="1"/>
      <protection locked="0"/>
    </xf>
    <xf numFmtId="0" fontId="1" fillId="0" borderId="170" xfId="3" applyFont="1" applyBorder="1" applyAlignment="1" applyProtection="1">
      <alignment horizontal="left" vertical="top" wrapText="1"/>
      <protection locked="0"/>
    </xf>
    <xf numFmtId="0" fontId="1" fillId="0" borderId="199" xfId="3" applyFont="1" applyBorder="1" applyAlignment="1" applyProtection="1">
      <alignment horizontal="left" vertical="top" wrapText="1"/>
      <protection locked="0"/>
    </xf>
    <xf numFmtId="0" fontId="1" fillId="0" borderId="200" xfId="3" applyFont="1" applyBorder="1" applyAlignment="1" applyProtection="1">
      <alignment horizontal="left" vertical="top" wrapText="1"/>
      <protection locked="0"/>
    </xf>
    <xf numFmtId="0" fontId="1" fillId="0" borderId="114" xfId="3" applyFont="1" applyBorder="1" applyAlignment="1" applyProtection="1">
      <alignment horizontal="left" vertical="top" wrapText="1"/>
      <protection locked="0"/>
    </xf>
    <xf numFmtId="0" fontId="1" fillId="0" borderId="108" xfId="3" applyFont="1" applyBorder="1" applyAlignment="1" applyProtection="1">
      <alignment horizontal="left" vertical="top" wrapText="1"/>
      <protection locked="0"/>
    </xf>
    <xf numFmtId="0" fontId="1" fillId="0" borderId="174" xfId="3" applyFont="1" applyBorder="1" applyAlignment="1" applyProtection="1">
      <alignment horizontal="left" vertical="top" wrapText="1"/>
      <protection locked="0"/>
    </xf>
    <xf numFmtId="0" fontId="8" fillId="0" borderId="222" xfId="3" applyFont="1" applyBorder="1" applyAlignment="1" applyProtection="1">
      <alignment horizontal="left" vertical="top" wrapText="1"/>
      <protection locked="0"/>
    </xf>
    <xf numFmtId="0" fontId="14" fillId="0" borderId="222" xfId="3" applyFont="1" applyBorder="1" applyAlignment="1" applyProtection="1">
      <alignment horizontal="left" vertical="top" wrapText="1"/>
      <protection locked="0"/>
    </xf>
    <xf numFmtId="0" fontId="8" fillId="0" borderId="191" xfId="3" applyFont="1" applyBorder="1" applyAlignment="1" applyProtection="1">
      <alignment horizontal="left" vertical="top" wrapText="1"/>
      <protection locked="0"/>
    </xf>
    <xf numFmtId="0" fontId="8" fillId="0" borderId="192" xfId="3" applyFont="1" applyBorder="1" applyAlignment="1" applyProtection="1">
      <alignment horizontal="left" vertical="top" wrapText="1"/>
      <protection locked="0"/>
    </xf>
    <xf numFmtId="0" fontId="1" fillId="0" borderId="226" xfId="3" applyFont="1" applyBorder="1" applyAlignment="1" applyProtection="1">
      <alignment horizontal="left" vertical="top" wrapText="1"/>
      <protection locked="0"/>
    </xf>
    <xf numFmtId="0" fontId="1" fillId="0" borderId="204" xfId="3" applyFont="1" applyBorder="1" applyAlignment="1" applyProtection="1">
      <alignment horizontal="left" vertical="top" wrapText="1"/>
      <protection locked="0"/>
    </xf>
    <xf numFmtId="0" fontId="1" fillId="0" borderId="276" xfId="3" applyFont="1" applyBorder="1" applyAlignment="1" applyProtection="1">
      <alignment horizontal="left" vertical="top" wrapText="1"/>
      <protection locked="0"/>
    </xf>
    <xf numFmtId="0" fontId="1" fillId="0" borderId="113" xfId="3" applyFont="1" applyBorder="1" applyAlignment="1" applyProtection="1">
      <alignment horizontal="left" vertical="top" wrapText="1"/>
      <protection locked="0"/>
    </xf>
    <xf numFmtId="0" fontId="1" fillId="0" borderId="198" xfId="3" applyFont="1" applyBorder="1" applyAlignment="1" applyProtection="1">
      <alignment horizontal="left" vertical="top" wrapText="1"/>
      <protection locked="0"/>
    </xf>
    <xf numFmtId="0" fontId="1" fillId="0" borderId="206" xfId="3" applyFont="1" applyBorder="1" applyAlignment="1" applyProtection="1">
      <alignment horizontal="left" vertical="top" wrapText="1"/>
      <protection locked="0"/>
    </xf>
    <xf numFmtId="0" fontId="30" fillId="3" borderId="219" xfId="0" applyFont="1" applyFill="1" applyBorder="1" applyAlignment="1" applyProtection="1">
      <alignment vertical="top" wrapText="1"/>
      <protection locked="0"/>
    </xf>
    <xf numFmtId="0" fontId="30" fillId="3" borderId="320" xfId="0" applyFont="1" applyFill="1" applyBorder="1" applyAlignment="1" applyProtection="1">
      <alignment vertical="top" wrapText="1"/>
      <protection locked="0"/>
    </xf>
    <xf numFmtId="0" fontId="30" fillId="3" borderId="72" xfId="0" applyFont="1" applyFill="1" applyBorder="1" applyAlignment="1" applyProtection="1">
      <alignment vertical="top" wrapText="1"/>
      <protection locked="0"/>
    </xf>
    <xf numFmtId="0" fontId="30" fillId="3" borderId="218" xfId="0" applyFont="1" applyFill="1" applyBorder="1" applyAlignment="1" applyProtection="1">
      <alignment vertical="top" wrapText="1"/>
      <protection locked="0"/>
    </xf>
    <xf numFmtId="0" fontId="30" fillId="3" borderId="303" xfId="0" applyFont="1" applyFill="1" applyBorder="1" applyAlignment="1" applyProtection="1">
      <alignment vertical="top" wrapText="1"/>
      <protection locked="0"/>
    </xf>
    <xf numFmtId="0" fontId="41" fillId="0" borderId="158" xfId="0" applyFont="1" applyBorder="1" applyAlignment="1" applyProtection="1">
      <alignment horizontal="left" vertical="top" wrapText="1"/>
      <protection locked="0"/>
    </xf>
    <xf numFmtId="0" fontId="30" fillId="3" borderId="360" xfId="0" applyFont="1" applyFill="1" applyBorder="1" applyAlignment="1" applyProtection="1">
      <alignment vertical="top" wrapText="1"/>
      <protection locked="0"/>
    </xf>
    <xf numFmtId="0" fontId="1" fillId="0" borderId="190" xfId="3" applyFont="1" applyBorder="1" applyAlignment="1" applyProtection="1">
      <alignment horizontal="left" vertical="top" wrapText="1"/>
      <protection locked="0"/>
    </xf>
    <xf numFmtId="0" fontId="1" fillId="0" borderId="205" xfId="3" applyFont="1" applyBorder="1" applyAlignment="1" applyProtection="1">
      <alignment horizontal="left" vertical="top" wrapText="1"/>
      <protection locked="0"/>
    </xf>
    <xf numFmtId="0" fontId="1" fillId="0" borderId="268" xfId="3" applyFont="1" applyBorder="1" applyAlignment="1" applyProtection="1">
      <alignment horizontal="left" vertical="top" wrapText="1"/>
      <protection locked="0"/>
    </xf>
    <xf numFmtId="0" fontId="1" fillId="0" borderId="361" xfId="3" applyFont="1" applyBorder="1" applyAlignment="1" applyProtection="1">
      <alignment horizontal="left" vertical="top" wrapText="1"/>
      <protection locked="0"/>
    </xf>
    <xf numFmtId="0" fontId="30" fillId="3" borderId="345" xfId="0" applyFont="1" applyFill="1" applyBorder="1" applyAlignment="1" applyProtection="1">
      <alignment vertical="top" wrapText="1"/>
      <protection locked="0"/>
    </xf>
    <xf numFmtId="0" fontId="30" fillId="3" borderId="326" xfId="0" applyFont="1" applyFill="1" applyBorder="1" applyAlignment="1" applyProtection="1">
      <alignment vertical="top" wrapText="1"/>
      <protection locked="0"/>
    </xf>
    <xf numFmtId="0" fontId="30" fillId="3" borderId="243" xfId="0" applyFont="1" applyFill="1" applyBorder="1" applyAlignment="1" applyProtection="1">
      <alignment vertical="top" wrapText="1"/>
      <protection locked="0"/>
    </xf>
    <xf numFmtId="0" fontId="1" fillId="0" borderId="363" xfId="3" applyFont="1" applyBorder="1" applyAlignment="1" applyProtection="1">
      <alignment horizontal="left" vertical="top" wrapText="1"/>
      <protection locked="0"/>
    </xf>
    <xf numFmtId="0" fontId="1" fillId="0" borderId="263" xfId="3" applyFont="1" applyBorder="1" applyAlignment="1" applyProtection="1">
      <alignment horizontal="left" vertical="top" wrapText="1"/>
      <protection locked="0"/>
    </xf>
    <xf numFmtId="0" fontId="1" fillId="0" borderId="364" xfId="3" applyFont="1" applyBorder="1" applyAlignment="1" applyProtection="1">
      <alignment horizontal="left" vertical="top" wrapText="1"/>
      <protection locked="0"/>
    </xf>
    <xf numFmtId="0" fontId="1" fillId="0" borderId="367" xfId="3" applyFont="1" applyBorder="1" applyAlignment="1" applyProtection="1">
      <alignment horizontal="left" vertical="top" wrapText="1"/>
      <protection locked="0"/>
    </xf>
    <xf numFmtId="0" fontId="1" fillId="0" borderId="369" xfId="3" applyFont="1" applyBorder="1" applyAlignment="1" applyProtection="1">
      <alignment horizontal="left" vertical="top" wrapText="1"/>
      <protection locked="0"/>
    </xf>
    <xf numFmtId="0" fontId="1" fillId="0" borderId="371" xfId="3" applyFont="1" applyBorder="1" applyAlignment="1" applyProtection="1">
      <alignment horizontal="left" vertical="top" wrapText="1"/>
      <protection locked="0"/>
    </xf>
    <xf numFmtId="0" fontId="1" fillId="0" borderId="187" xfId="3" applyFont="1" applyBorder="1" applyAlignment="1" applyProtection="1">
      <alignment horizontal="left" vertical="top" wrapText="1"/>
      <protection locked="0"/>
    </xf>
    <xf numFmtId="0" fontId="1" fillId="0" borderId="373" xfId="3" applyFont="1" applyBorder="1" applyAlignment="1" applyProtection="1">
      <alignment horizontal="left" vertical="top" wrapText="1"/>
      <protection locked="0"/>
    </xf>
    <xf numFmtId="0" fontId="1" fillId="0" borderId="376" xfId="3" applyFont="1" applyBorder="1" applyAlignment="1" applyProtection="1">
      <alignment horizontal="left" vertical="top" wrapText="1"/>
      <protection locked="0"/>
    </xf>
    <xf numFmtId="0" fontId="1" fillId="0" borderId="377" xfId="3" applyFont="1" applyBorder="1" applyAlignment="1" applyProtection="1">
      <alignment horizontal="left" vertical="top" wrapText="1"/>
      <protection locked="0"/>
    </xf>
    <xf numFmtId="0" fontId="1" fillId="0" borderId="379" xfId="0" applyFont="1" applyBorder="1" applyAlignment="1" applyProtection="1">
      <alignment horizontal="left" vertical="top" wrapText="1"/>
      <protection locked="0"/>
    </xf>
    <xf numFmtId="0" fontId="1" fillId="0" borderId="381" xfId="0" applyFont="1" applyBorder="1" applyAlignment="1" applyProtection="1">
      <alignment horizontal="left" vertical="top" wrapText="1"/>
      <protection locked="0"/>
    </xf>
    <xf numFmtId="0" fontId="1" fillId="0" borderId="381" xfId="3" applyFont="1" applyBorder="1" applyAlignment="1" applyProtection="1">
      <alignment horizontal="left" vertical="top" wrapText="1"/>
      <protection locked="0"/>
    </xf>
    <xf numFmtId="0" fontId="1" fillId="0" borderId="379" xfId="3" applyFont="1" applyBorder="1" applyAlignment="1" applyProtection="1">
      <alignment horizontal="left" vertical="top" wrapText="1"/>
      <protection locked="0"/>
    </xf>
    <xf numFmtId="0" fontId="1" fillId="0" borderId="382" xfId="3" applyFont="1" applyBorder="1" applyAlignment="1" applyProtection="1">
      <alignment horizontal="left" vertical="top" wrapText="1"/>
      <protection locked="0"/>
    </xf>
    <xf numFmtId="0" fontId="1" fillId="3" borderId="240" xfId="0" applyFont="1" applyFill="1" applyBorder="1" applyAlignment="1">
      <alignment horizontal="left" vertical="top" wrapText="1"/>
    </xf>
    <xf numFmtId="0" fontId="1" fillId="3" borderId="241" xfId="0" applyFont="1" applyFill="1" applyBorder="1" applyAlignment="1">
      <alignment horizontal="left" vertical="top" wrapText="1"/>
    </xf>
    <xf numFmtId="0" fontId="1" fillId="3" borderId="383" xfId="0" applyFont="1" applyFill="1" applyBorder="1" applyAlignment="1">
      <alignment horizontal="left" vertical="top" wrapText="1"/>
    </xf>
    <xf numFmtId="0" fontId="30" fillId="0" borderId="115" xfId="3" applyFont="1" applyBorder="1" applyAlignment="1" applyProtection="1">
      <alignment horizontal="left" vertical="top" wrapText="1"/>
      <protection locked="0"/>
    </xf>
    <xf numFmtId="0" fontId="1" fillId="0" borderId="116" xfId="3" applyFont="1" applyBorder="1" applyAlignment="1" applyProtection="1">
      <alignment horizontal="left" vertical="top" wrapText="1"/>
      <protection locked="0"/>
    </xf>
    <xf numFmtId="0" fontId="1" fillId="0" borderId="191" xfId="3" applyFont="1" applyBorder="1" applyAlignment="1" applyProtection="1">
      <alignment horizontal="left" vertical="top" wrapText="1"/>
      <protection locked="0"/>
    </xf>
    <xf numFmtId="0" fontId="30" fillId="0" borderId="191" xfId="3" applyFont="1" applyBorder="1" applyAlignment="1" applyProtection="1">
      <alignment horizontal="left" vertical="top" wrapText="1"/>
      <protection locked="0"/>
    </xf>
    <xf numFmtId="0" fontId="1" fillId="0" borderId="322" xfId="3" applyFont="1" applyBorder="1" applyAlignment="1" applyProtection="1">
      <alignment horizontal="left" vertical="top" wrapText="1"/>
      <protection locked="0"/>
    </xf>
    <xf numFmtId="0" fontId="1" fillId="0" borderId="192" xfId="3" applyFont="1" applyBorder="1" applyAlignment="1" applyProtection="1">
      <alignment horizontal="left" vertical="top" wrapText="1"/>
      <protection locked="0"/>
    </xf>
    <xf numFmtId="0" fontId="14" fillId="0" borderId="191" xfId="3" applyFont="1" applyBorder="1" applyAlignment="1" applyProtection="1">
      <alignment horizontal="left" vertical="top" wrapText="1"/>
      <protection locked="0"/>
    </xf>
    <xf numFmtId="0" fontId="1" fillId="0" borderId="244" xfId="0" applyFont="1" applyBorder="1" applyAlignment="1" applyProtection="1">
      <alignment horizontal="left" vertical="top" wrapText="1"/>
      <protection locked="0"/>
    </xf>
    <xf numFmtId="0" fontId="1" fillId="0" borderId="387" xfId="0" applyFont="1" applyBorder="1" applyAlignment="1" applyProtection="1">
      <alignment horizontal="left" vertical="top" wrapText="1"/>
      <protection locked="0"/>
    </xf>
    <xf numFmtId="0" fontId="8" fillId="0" borderId="244" xfId="0" applyFont="1" applyBorder="1" applyAlignment="1" applyProtection="1">
      <alignment horizontal="left" vertical="top" wrapText="1"/>
      <protection locked="0"/>
    </xf>
    <xf numFmtId="0" fontId="41" fillId="0" borderId="212" xfId="0" applyFont="1" applyBorder="1" applyAlignment="1" applyProtection="1">
      <alignment horizontal="left" vertical="top" wrapText="1"/>
      <protection locked="0"/>
    </xf>
    <xf numFmtId="0" fontId="8" fillId="0" borderId="249" xfId="0" applyFont="1" applyBorder="1" applyAlignment="1">
      <alignment horizontal="left" vertical="top" wrapText="1"/>
    </xf>
    <xf numFmtId="0" fontId="41" fillId="0" borderId="163" xfId="0" applyFont="1" applyBorder="1" applyAlignment="1" applyProtection="1">
      <alignment horizontal="left" vertical="top" wrapText="1"/>
      <protection locked="0"/>
    </xf>
    <xf numFmtId="0" fontId="41" fillId="0" borderId="170" xfId="0" applyFont="1" applyBorder="1" applyAlignment="1">
      <alignment horizontal="left" vertical="top" wrapText="1"/>
    </xf>
    <xf numFmtId="0" fontId="41" fillId="0" borderId="169" xfId="0" applyFont="1" applyBorder="1" applyAlignment="1" applyProtection="1">
      <alignment horizontal="left" vertical="top" wrapText="1"/>
      <protection locked="0"/>
    </xf>
    <xf numFmtId="0" fontId="41" fillId="0" borderId="107" xfId="0" applyFont="1" applyBorder="1" applyAlignment="1">
      <alignment horizontal="left" vertical="top" wrapText="1"/>
    </xf>
    <xf numFmtId="0" fontId="41" fillId="0" borderId="168" xfId="0" applyFont="1" applyBorder="1" applyAlignment="1" applyProtection="1">
      <alignment horizontal="left" vertical="top" wrapText="1"/>
      <protection locked="0"/>
    </xf>
    <xf numFmtId="0" fontId="17" fillId="0" borderId="191" xfId="0" applyFont="1" applyBorder="1" applyAlignment="1">
      <alignment horizontal="left" vertical="top" wrapText="1"/>
    </xf>
    <xf numFmtId="0" fontId="1" fillId="0" borderId="343" xfId="0" applyFont="1" applyBorder="1" applyAlignment="1" applyProtection="1">
      <alignment horizontal="left" vertical="top" wrapText="1"/>
      <protection locked="0"/>
    </xf>
    <xf numFmtId="0" fontId="30" fillId="3" borderId="161" xfId="0" applyFont="1" applyFill="1" applyBorder="1" applyAlignment="1" applyProtection="1">
      <alignment vertical="top" wrapText="1"/>
      <protection locked="0"/>
    </xf>
    <xf numFmtId="0" fontId="30" fillId="3" borderId="163" xfId="0" applyFont="1" applyFill="1" applyBorder="1" applyAlignment="1" applyProtection="1">
      <alignment vertical="top" wrapText="1"/>
      <protection locked="0"/>
    </xf>
    <xf numFmtId="0" fontId="16" fillId="0" borderId="191" xfId="0" applyFont="1" applyBorder="1" applyAlignment="1" applyProtection="1">
      <alignment horizontal="left" vertical="top" wrapText="1"/>
      <protection locked="0"/>
    </xf>
    <xf numFmtId="0" fontId="8" fillId="0" borderId="343" xfId="0" applyFont="1" applyBorder="1" applyAlignment="1" applyProtection="1">
      <alignment horizontal="left" vertical="top" wrapText="1"/>
      <protection locked="0"/>
    </xf>
    <xf numFmtId="0" fontId="8" fillId="0" borderId="204" xfId="0" applyFont="1" applyBorder="1" applyAlignment="1" applyProtection="1">
      <alignment horizontal="left" vertical="top" wrapText="1"/>
      <protection locked="0"/>
    </xf>
    <xf numFmtId="0" fontId="17" fillId="0" borderId="341" xfId="0" applyFont="1" applyBorder="1" applyAlignment="1" applyProtection="1">
      <alignment horizontal="left" vertical="top" wrapText="1"/>
      <protection locked="0"/>
    </xf>
    <xf numFmtId="0" fontId="17" fillId="0" borderId="229" xfId="0" applyFont="1" applyBorder="1" applyAlignment="1" applyProtection="1">
      <alignment horizontal="left" vertical="top" wrapText="1"/>
      <protection locked="0"/>
    </xf>
    <xf numFmtId="0" fontId="41" fillId="0" borderId="230" xfId="0" applyFont="1" applyBorder="1" applyAlignment="1" applyProtection="1">
      <alignment horizontal="left" vertical="top" wrapText="1"/>
      <protection locked="0"/>
    </xf>
    <xf numFmtId="0" fontId="17" fillId="0" borderId="390" xfId="0" applyFont="1" applyBorder="1" applyAlignment="1" applyProtection="1">
      <alignment horizontal="left" vertical="top" wrapText="1"/>
      <protection locked="0"/>
    </xf>
    <xf numFmtId="0" fontId="17" fillId="0" borderId="391" xfId="0" applyFont="1" applyBorder="1" applyAlignment="1" applyProtection="1">
      <alignment horizontal="left" vertical="top" wrapText="1"/>
      <protection locked="0"/>
    </xf>
    <xf numFmtId="0" fontId="41" fillId="0" borderId="224" xfId="0" applyFont="1" applyBorder="1" applyAlignment="1" applyProtection="1">
      <alignment horizontal="left" vertical="top" wrapText="1"/>
      <protection locked="0"/>
    </xf>
    <xf numFmtId="0" fontId="16" fillId="0" borderId="114" xfId="0" applyFont="1" applyBorder="1" applyAlignment="1" applyProtection="1">
      <alignment horizontal="left" vertical="top" wrapText="1"/>
      <protection locked="0"/>
    </xf>
    <xf numFmtId="0" fontId="16" fillId="0" borderId="208" xfId="0" applyFont="1" applyBorder="1" applyAlignment="1" applyProtection="1">
      <alignment horizontal="left" vertical="top" wrapText="1"/>
      <protection locked="0"/>
    </xf>
    <xf numFmtId="0" fontId="14" fillId="0" borderId="103" xfId="0" applyFont="1" applyBorder="1" applyAlignment="1" applyProtection="1">
      <alignment horizontal="left" vertical="top" wrapText="1"/>
      <protection locked="0"/>
    </xf>
    <xf numFmtId="0" fontId="41" fillId="0" borderId="114" xfId="0" applyFont="1" applyBorder="1" applyAlignment="1">
      <alignment horizontal="left" vertical="top" wrapText="1"/>
    </xf>
    <xf numFmtId="0" fontId="1" fillId="0" borderId="173" xfId="0" applyFont="1" applyBorder="1" applyAlignment="1" applyProtection="1">
      <alignment horizontal="left" vertical="top" wrapText="1"/>
      <protection locked="0"/>
    </xf>
    <xf numFmtId="0" fontId="8" fillId="0" borderId="221" xfId="0" applyFont="1" applyBorder="1" applyAlignment="1">
      <alignment horizontal="left" vertical="top" wrapText="1"/>
    </xf>
    <xf numFmtId="0" fontId="24" fillId="7" borderId="0" xfId="0" applyFont="1" applyFill="1" applyAlignment="1">
      <alignment horizontal="left" vertical="top" wrapText="1"/>
    </xf>
    <xf numFmtId="0" fontId="8" fillId="0" borderId="158" xfId="0" applyFont="1" applyBorder="1" applyAlignment="1">
      <alignment horizontal="left" vertical="top" wrapText="1"/>
    </xf>
    <xf numFmtId="0" fontId="17" fillId="0" borderId="107" xfId="0" applyFont="1" applyBorder="1" applyAlignment="1" applyProtection="1">
      <alignment horizontal="left" vertical="top" wrapText="1"/>
      <protection locked="0"/>
    </xf>
    <xf numFmtId="0" fontId="8" fillId="0" borderId="161" xfId="0" applyFont="1" applyBorder="1" applyAlignment="1">
      <alignment horizontal="left" vertical="top" wrapText="1"/>
    </xf>
    <xf numFmtId="0" fontId="41" fillId="0" borderId="158" xfId="0" applyFont="1" applyBorder="1" applyAlignment="1">
      <alignment horizontal="left" vertical="top" wrapText="1"/>
    </xf>
    <xf numFmtId="0" fontId="30" fillId="3" borderId="42" xfId="0" applyFont="1" applyFill="1" applyBorder="1" applyAlignment="1" applyProtection="1">
      <alignment horizontal="left" vertical="top" wrapText="1"/>
      <protection locked="0"/>
    </xf>
    <xf numFmtId="0" fontId="1" fillId="0" borderId="212" xfId="0" applyFont="1" applyBorder="1" applyAlignment="1" applyProtection="1">
      <alignment horizontal="left" vertical="top" wrapText="1"/>
      <protection locked="0"/>
    </xf>
    <xf numFmtId="0" fontId="1" fillId="0" borderId="113" xfId="0" applyFont="1" applyBorder="1" applyAlignment="1" applyProtection="1">
      <alignment vertical="top" wrapText="1"/>
      <protection locked="0"/>
    </xf>
    <xf numFmtId="0" fontId="1" fillId="0" borderId="198" xfId="0" applyFont="1" applyBorder="1" applyAlignment="1" applyProtection="1">
      <alignment vertical="top" wrapText="1"/>
      <protection locked="0"/>
    </xf>
    <xf numFmtId="0" fontId="1" fillId="0" borderId="112" xfId="0" applyFont="1" applyBorder="1" applyAlignment="1" applyProtection="1">
      <alignment vertical="top" wrapText="1"/>
      <protection locked="0"/>
    </xf>
    <xf numFmtId="0" fontId="1" fillId="0" borderId="170" xfId="0" applyFont="1" applyBorder="1" applyAlignment="1" applyProtection="1">
      <alignment vertical="top" wrapText="1"/>
      <protection locked="0"/>
    </xf>
    <xf numFmtId="0" fontId="30" fillId="3" borderId="306" xfId="0" applyFont="1" applyFill="1" applyBorder="1" applyAlignment="1" applyProtection="1">
      <alignment vertical="top" wrapText="1"/>
      <protection locked="0"/>
    </xf>
    <xf numFmtId="0" fontId="30" fillId="3" borderId="176" xfId="0" applyFont="1" applyFill="1" applyBorder="1" applyAlignment="1" applyProtection="1">
      <alignment vertical="top" wrapText="1"/>
      <protection locked="0"/>
    </xf>
    <xf numFmtId="0" fontId="1" fillId="0" borderId="310" xfId="0" applyFont="1" applyBorder="1" applyAlignment="1" applyProtection="1">
      <alignment horizontal="left" vertical="top" wrapText="1"/>
      <protection locked="0"/>
    </xf>
    <xf numFmtId="0" fontId="30" fillId="0" borderId="112" xfId="0" applyFont="1" applyBorder="1" applyAlignment="1" applyProtection="1">
      <alignment vertical="top" wrapText="1"/>
      <protection locked="0"/>
    </xf>
    <xf numFmtId="0" fontId="30" fillId="0" borderId="170" xfId="0" applyFont="1" applyBorder="1" applyAlignment="1" applyProtection="1">
      <alignment vertical="top" wrapText="1"/>
      <protection locked="0"/>
    </xf>
    <xf numFmtId="0" fontId="41" fillId="0" borderId="257" xfId="0" applyFont="1" applyBorder="1" applyAlignment="1">
      <alignment horizontal="left" vertical="top" wrapText="1"/>
    </xf>
    <xf numFmtId="0" fontId="32" fillId="0" borderId="223" xfId="0" applyFont="1" applyBorder="1" applyAlignment="1">
      <alignment horizontal="left" vertical="top" wrapText="1"/>
    </xf>
    <xf numFmtId="0" fontId="32" fillId="0" borderId="245" xfId="0" applyFont="1" applyBorder="1" applyAlignment="1">
      <alignment horizontal="left" vertical="top" wrapText="1"/>
    </xf>
    <xf numFmtId="0" fontId="32" fillId="0" borderId="303" xfId="0" applyFont="1" applyBorder="1" applyAlignment="1">
      <alignment horizontal="left" vertical="top"/>
    </xf>
    <xf numFmtId="0" fontId="18" fillId="0" borderId="161" xfId="0" applyFont="1" applyBorder="1" applyAlignment="1">
      <alignment horizontal="left" vertical="top"/>
    </xf>
    <xf numFmtId="0" fontId="3" fillId="0" borderId="184" xfId="0" applyFont="1" applyBorder="1" applyAlignment="1">
      <alignment horizontal="left" vertical="top" wrapText="1"/>
    </xf>
    <xf numFmtId="0" fontId="16" fillId="0" borderId="212" xfId="0" applyFont="1" applyBorder="1" applyAlignment="1">
      <alignment horizontal="left" vertical="top" wrapText="1"/>
    </xf>
    <xf numFmtId="0" fontId="18" fillId="0" borderId="171" xfId="0" applyFont="1" applyBorder="1" applyAlignment="1">
      <alignment horizontal="left" vertical="top"/>
    </xf>
    <xf numFmtId="0" fontId="30" fillId="0" borderId="399" xfId="0" applyFont="1" applyBorder="1" applyAlignment="1" applyProtection="1">
      <alignment vertical="top" wrapText="1"/>
      <protection locked="0"/>
    </xf>
    <xf numFmtId="0" fontId="1" fillId="0" borderId="249" xfId="0" applyFont="1" applyBorder="1" applyAlignment="1" applyProtection="1">
      <alignment horizontal="left" vertical="top" wrapText="1"/>
      <protection locked="0"/>
    </xf>
    <xf numFmtId="0" fontId="18" fillId="0" borderId="170" xfId="0" applyFont="1" applyBorder="1" applyAlignment="1">
      <alignment horizontal="left" vertical="top"/>
    </xf>
    <xf numFmtId="0" fontId="30" fillId="3" borderId="175" xfId="0" applyFont="1" applyFill="1" applyBorder="1" applyAlignment="1" applyProtection="1">
      <alignment horizontal="left" vertical="top" wrapText="1"/>
      <protection locked="0"/>
    </xf>
    <xf numFmtId="0" fontId="52" fillId="0" borderId="212" xfId="0" applyFont="1" applyBorder="1" applyAlignment="1">
      <alignment horizontal="left" vertical="top" wrapText="1"/>
    </xf>
    <xf numFmtId="0" fontId="8" fillId="0" borderId="42" xfId="0" applyFont="1" applyBorder="1" applyAlignment="1" applyProtection="1">
      <alignment horizontal="left" vertical="top" wrapText="1"/>
      <protection locked="0"/>
    </xf>
    <xf numFmtId="0" fontId="1" fillId="0" borderId="116" xfId="0" applyFont="1" applyBorder="1" applyAlignment="1">
      <alignment horizontal="left" vertical="top" wrapText="1"/>
    </xf>
    <xf numFmtId="0" fontId="30" fillId="0" borderId="249" xfId="0" applyFont="1" applyBorder="1" applyAlignment="1" applyProtection="1">
      <alignment horizontal="left" vertical="top" wrapText="1"/>
      <protection locked="0"/>
    </xf>
    <xf numFmtId="0" fontId="32" fillId="0" borderId="115" xfId="0" applyFont="1" applyBorder="1" applyAlignment="1">
      <alignment horizontal="left" vertical="top"/>
    </xf>
    <xf numFmtId="0" fontId="17" fillId="0" borderId="115" xfId="0" applyFont="1" applyBorder="1" applyAlignment="1">
      <alignment horizontal="left" vertical="top" wrapText="1"/>
    </xf>
    <xf numFmtId="0" fontId="30" fillId="0" borderId="191" xfId="0" applyFont="1" applyBorder="1" applyAlignment="1" applyProtection="1">
      <alignment horizontal="left" vertical="top" wrapText="1"/>
      <protection locked="0"/>
    </xf>
    <xf numFmtId="0" fontId="8" fillId="0" borderId="250" xfId="3" applyFont="1" applyBorder="1" applyAlignment="1" applyProtection="1">
      <alignment horizontal="left" vertical="top" wrapText="1"/>
      <protection locked="0"/>
    </xf>
    <xf numFmtId="0" fontId="1" fillId="0" borderId="343" xfId="3" applyFont="1" applyBorder="1" applyAlignment="1" applyProtection="1">
      <alignment horizontal="left" vertical="top" wrapText="1"/>
      <protection locked="0"/>
    </xf>
    <xf numFmtId="0" fontId="1" fillId="0" borderId="169" xfId="3" applyFont="1" applyBorder="1" applyAlignment="1" applyProtection="1">
      <alignment horizontal="left" vertical="top" wrapText="1"/>
      <protection locked="0"/>
    </xf>
    <xf numFmtId="0" fontId="1" fillId="0" borderId="250" xfId="3" applyFont="1" applyBorder="1" applyAlignment="1" applyProtection="1">
      <alignment horizontal="left" vertical="top" wrapText="1"/>
      <protection locked="0"/>
    </xf>
    <xf numFmtId="0" fontId="30" fillId="0" borderId="74" xfId="0" applyFont="1" applyBorder="1" applyAlignment="1" applyProtection="1">
      <alignment horizontal="left" vertical="top" wrapText="1"/>
      <protection locked="0"/>
    </xf>
    <xf numFmtId="0" fontId="30" fillId="0" borderId="70" xfId="0" applyFont="1" applyBorder="1" applyAlignment="1" applyProtection="1">
      <alignment horizontal="left" vertical="top" wrapText="1"/>
      <protection locked="0"/>
    </xf>
    <xf numFmtId="0" fontId="1" fillId="0" borderId="289" xfId="3" applyFont="1" applyBorder="1" applyAlignment="1" applyProtection="1">
      <alignment horizontal="left" vertical="top" wrapText="1"/>
      <protection locked="0"/>
    </xf>
    <xf numFmtId="0" fontId="1" fillId="0" borderId="280" xfId="3" applyFont="1" applyBorder="1" applyAlignment="1" applyProtection="1">
      <alignment horizontal="left" vertical="top" wrapText="1"/>
      <protection locked="0"/>
    </xf>
    <xf numFmtId="0" fontId="1" fillId="0" borderId="210" xfId="3" applyFont="1" applyBorder="1" applyAlignment="1" applyProtection="1">
      <alignment horizontal="left" vertical="top" wrapText="1"/>
      <protection locked="0"/>
    </xf>
    <xf numFmtId="0" fontId="1" fillId="0" borderId="332" xfId="3" applyFont="1" applyBorder="1" applyAlignment="1" applyProtection="1">
      <alignment horizontal="left" vertical="top" wrapText="1"/>
      <protection locked="0"/>
    </xf>
    <xf numFmtId="0" fontId="1" fillId="0" borderId="333" xfId="3" applyFont="1" applyBorder="1" applyAlignment="1" applyProtection="1">
      <alignment horizontal="left" vertical="top" wrapText="1"/>
      <protection locked="0"/>
    </xf>
    <xf numFmtId="0" fontId="8" fillId="0" borderId="323" xfId="3" applyFont="1" applyBorder="1" applyAlignment="1" applyProtection="1">
      <alignment horizontal="left" vertical="top" wrapText="1"/>
      <protection locked="0"/>
    </xf>
    <xf numFmtId="0" fontId="1" fillId="0" borderId="301" xfId="3" applyFont="1" applyBorder="1" applyAlignment="1" applyProtection="1">
      <alignment horizontal="left" vertical="top" wrapText="1"/>
      <protection locked="0"/>
    </xf>
    <xf numFmtId="0" fontId="1" fillId="0" borderId="342" xfId="3" applyFont="1" applyBorder="1" applyAlignment="1" applyProtection="1">
      <alignment horizontal="left" vertical="top" wrapText="1"/>
      <protection locked="0"/>
    </xf>
    <xf numFmtId="0" fontId="1" fillId="0" borderId="402" xfId="3" applyFont="1" applyBorder="1" applyAlignment="1" applyProtection="1">
      <alignment horizontal="left" vertical="top" wrapText="1"/>
      <protection locked="0"/>
    </xf>
    <xf numFmtId="0" fontId="30" fillId="0" borderId="87" xfId="0" applyFont="1" applyBorder="1" applyAlignment="1" applyProtection="1">
      <alignment horizontal="left" vertical="top" wrapText="1"/>
      <protection locked="0"/>
    </xf>
    <xf numFmtId="0" fontId="30" fillId="0" borderId="243" xfId="0" applyFont="1" applyBorder="1" applyAlignment="1" applyProtection="1">
      <alignment horizontal="left" vertical="top" wrapText="1"/>
      <protection locked="0"/>
    </xf>
    <xf numFmtId="0" fontId="30" fillId="0" borderId="103" xfId="0" applyFont="1" applyBorder="1" applyAlignment="1" applyProtection="1">
      <alignment horizontal="left" vertical="top" wrapText="1"/>
      <protection locked="0"/>
    </xf>
    <xf numFmtId="0" fontId="41" fillId="0" borderId="405" xfId="0" applyFont="1" applyBorder="1" applyAlignment="1" applyProtection="1">
      <alignment horizontal="left" vertical="top" wrapText="1"/>
      <protection locked="0"/>
    </xf>
    <xf numFmtId="0" fontId="1" fillId="0" borderId="380" xfId="0" applyFont="1" applyBorder="1" applyAlignment="1" applyProtection="1">
      <alignment horizontal="left" vertical="top" wrapText="1"/>
      <protection locked="0"/>
    </xf>
    <xf numFmtId="0" fontId="1" fillId="0" borderId="168" xfId="3" applyFont="1" applyBorder="1" applyAlignment="1" applyProtection="1">
      <alignment horizontal="left" vertical="top" wrapText="1"/>
      <protection locked="0"/>
    </xf>
    <xf numFmtId="0" fontId="41" fillId="0" borderId="250" xfId="0" applyFont="1" applyBorder="1" applyAlignment="1" applyProtection="1">
      <alignment horizontal="left" vertical="top" wrapText="1"/>
      <protection locked="0"/>
    </xf>
    <xf numFmtId="0" fontId="30" fillId="3" borderId="356" xfId="0" applyFont="1" applyFill="1" applyBorder="1" applyAlignment="1" applyProtection="1">
      <alignment horizontal="left" vertical="top" wrapText="1"/>
      <protection locked="0"/>
    </xf>
    <xf numFmtId="0" fontId="1" fillId="0" borderId="103" xfId="0" applyFont="1" applyBorder="1" applyAlignment="1" applyProtection="1">
      <alignment horizontal="left" vertical="top" wrapText="1"/>
      <protection locked="0"/>
    </xf>
    <xf numFmtId="0" fontId="1" fillId="0" borderId="171" xfId="0" applyFont="1" applyBorder="1" applyAlignment="1" applyProtection="1">
      <alignment horizontal="left" vertical="top" wrapText="1"/>
      <protection locked="0"/>
    </xf>
    <xf numFmtId="0" fontId="30" fillId="0" borderId="168" xfId="0" applyFont="1" applyBorder="1" applyAlignment="1" applyProtection="1">
      <alignment horizontal="left" vertical="top" wrapText="1"/>
      <protection locked="0"/>
    </xf>
    <xf numFmtId="0" fontId="1" fillId="0" borderId="184" xfId="0" applyFont="1" applyBorder="1" applyAlignment="1" applyProtection="1">
      <alignment horizontal="left" vertical="top" wrapText="1"/>
      <protection locked="0"/>
    </xf>
    <xf numFmtId="0" fontId="41" fillId="0" borderId="161" xfId="0" applyFont="1" applyBorder="1" applyAlignment="1">
      <alignment horizontal="left" vertical="top" wrapText="1"/>
    </xf>
    <xf numFmtId="0" fontId="41" fillId="0" borderId="163" xfId="0" applyFont="1" applyBorder="1" applyAlignment="1">
      <alignment horizontal="left" vertical="top" wrapText="1"/>
    </xf>
    <xf numFmtId="0" fontId="41" fillId="0" borderId="110" xfId="0" applyFont="1" applyBorder="1" applyAlignment="1">
      <alignment horizontal="left" vertical="top" wrapText="1"/>
    </xf>
    <xf numFmtId="0" fontId="41" fillId="0" borderId="164" xfId="0" applyFont="1" applyBorder="1" applyAlignment="1">
      <alignment horizontal="left" vertical="top" wrapText="1"/>
    </xf>
    <xf numFmtId="0" fontId="1" fillId="0" borderId="406" xfId="0" applyFont="1" applyBorder="1" applyAlignment="1" applyProtection="1">
      <alignment horizontal="left" vertical="top" wrapText="1"/>
      <protection locked="0"/>
    </xf>
    <xf numFmtId="0" fontId="1" fillId="0" borderId="37" xfId="0" applyFont="1" applyBorder="1" applyAlignment="1" applyProtection="1">
      <alignment horizontal="left" vertical="top" wrapText="1"/>
      <protection locked="0"/>
    </xf>
    <xf numFmtId="0" fontId="1" fillId="0" borderId="409" xfId="0" applyFont="1" applyBorder="1" applyAlignment="1" applyProtection="1">
      <alignment horizontal="left" vertical="top" wrapText="1"/>
      <protection locked="0"/>
    </xf>
    <xf numFmtId="0" fontId="1" fillId="0" borderId="410" xfId="0" applyFont="1" applyBorder="1" applyAlignment="1" applyProtection="1">
      <alignment horizontal="left" vertical="top" wrapText="1"/>
      <protection locked="0"/>
    </xf>
    <xf numFmtId="0" fontId="1" fillId="0" borderId="411" xfId="0" applyFont="1" applyBorder="1" applyAlignment="1" applyProtection="1">
      <alignment horizontal="left" vertical="top" wrapText="1"/>
      <protection locked="0"/>
    </xf>
    <xf numFmtId="0" fontId="17" fillId="0" borderId="98" xfId="0" applyFont="1" applyBorder="1" applyAlignment="1">
      <alignment horizontal="left" vertical="top" wrapText="1"/>
    </xf>
    <xf numFmtId="0" fontId="17" fillId="0" borderId="62" xfId="0" applyFont="1" applyBorder="1" applyAlignment="1">
      <alignment horizontal="left" vertical="top" wrapText="1"/>
    </xf>
    <xf numFmtId="0" fontId="41" fillId="0" borderId="257" xfId="0" applyFont="1" applyBorder="1" applyAlignment="1" applyProtection="1">
      <alignment horizontal="left" vertical="top" wrapText="1"/>
      <protection locked="0"/>
    </xf>
    <xf numFmtId="0" fontId="1" fillId="0" borderId="413" xfId="0" applyFont="1" applyBorder="1" applyAlignment="1" applyProtection="1">
      <alignment horizontal="left" vertical="top" wrapText="1"/>
      <protection locked="0"/>
    </xf>
    <xf numFmtId="0" fontId="1" fillId="0" borderId="414" xfId="0" applyFont="1" applyBorder="1" applyAlignment="1" applyProtection="1">
      <alignment horizontal="left" vertical="top" wrapText="1"/>
      <protection locked="0"/>
    </xf>
    <xf numFmtId="0" fontId="1" fillId="0" borderId="400" xfId="0" applyFont="1" applyBorder="1" applyAlignment="1" applyProtection="1">
      <alignment horizontal="left" vertical="top" wrapText="1"/>
      <protection locked="0"/>
    </xf>
    <xf numFmtId="0" fontId="55" fillId="0" borderId="0" xfId="0" applyFont="1" applyAlignment="1">
      <alignment horizontal="left" vertical="top" wrapText="1"/>
    </xf>
    <xf numFmtId="0" fontId="41" fillId="0" borderId="334" xfId="0" applyFont="1" applyBorder="1" applyAlignment="1" applyProtection="1">
      <alignment horizontal="left" vertical="top" wrapText="1"/>
      <protection locked="0"/>
    </xf>
    <xf numFmtId="0" fontId="55" fillId="0" borderId="169" xfId="0" applyFont="1" applyBorder="1" applyAlignment="1" applyProtection="1">
      <alignment horizontal="left" vertical="top" wrapText="1"/>
      <protection locked="0"/>
    </xf>
    <xf numFmtId="0" fontId="41" fillId="0" borderId="393" xfId="0" applyFont="1" applyBorder="1" applyAlignment="1" applyProtection="1">
      <alignment horizontal="left" vertical="top" wrapText="1"/>
      <protection locked="0"/>
    </xf>
    <xf numFmtId="0" fontId="55" fillId="0" borderId="107" xfId="0" applyFont="1" applyBorder="1" applyAlignment="1" applyProtection="1">
      <alignment horizontal="left" vertical="top" wrapText="1"/>
      <protection locked="0"/>
    </xf>
    <xf numFmtId="0" fontId="41" fillId="0" borderId="173" xfId="0" applyFont="1" applyBorder="1" applyAlignment="1">
      <alignment horizontal="left" vertical="top" wrapText="1"/>
    </xf>
    <xf numFmtId="0" fontId="16" fillId="0" borderId="68" xfId="0" applyFont="1" applyBorder="1" applyAlignment="1">
      <alignment horizontal="left" vertical="top" wrapText="1"/>
    </xf>
    <xf numFmtId="0" fontId="41" fillId="0" borderId="168" xfId="0" applyFont="1" applyBorder="1" applyAlignment="1">
      <alignment horizontal="left" vertical="top" wrapText="1"/>
    </xf>
    <xf numFmtId="0" fontId="8" fillId="0" borderId="170" xfId="0" applyFont="1" applyBorder="1" applyAlignment="1" applyProtection="1">
      <alignment horizontal="left" vertical="top" wrapText="1"/>
      <protection locked="0"/>
    </xf>
    <xf numFmtId="0" fontId="8" fillId="0" borderId="163" xfId="0" applyFont="1" applyBorder="1" applyAlignment="1" applyProtection="1">
      <alignment horizontal="left" vertical="top" wrapText="1"/>
      <protection locked="0"/>
    </xf>
    <xf numFmtId="0" fontId="8" fillId="0" borderId="303" xfId="0" applyFont="1" applyBorder="1" applyAlignment="1" applyProtection="1">
      <alignment horizontal="left" vertical="top" wrapText="1"/>
      <protection locked="0"/>
    </xf>
    <xf numFmtId="0" fontId="30" fillId="3" borderId="42" xfId="0" applyFont="1" applyFill="1" applyBorder="1" applyAlignment="1" applyProtection="1">
      <alignment vertical="top" wrapText="1"/>
      <protection locked="0"/>
    </xf>
    <xf numFmtId="0" fontId="30" fillId="3" borderId="70" xfId="0" applyFont="1" applyFill="1" applyBorder="1" applyAlignment="1" applyProtection="1">
      <alignment vertical="top" wrapText="1"/>
      <protection locked="0"/>
    </xf>
    <xf numFmtId="0" fontId="41" fillId="0" borderId="416" xfId="0" applyFont="1" applyBorder="1" applyAlignment="1" applyProtection="1">
      <alignment horizontal="left" vertical="top" wrapText="1"/>
      <protection locked="0"/>
    </xf>
    <xf numFmtId="0" fontId="1" fillId="0" borderId="226" xfId="0" applyFont="1" applyBorder="1" applyAlignment="1" applyProtection="1">
      <alignment horizontal="left" vertical="top" wrapText="1"/>
      <protection locked="0"/>
    </xf>
    <xf numFmtId="0" fontId="41" fillId="0" borderId="418" xfId="0" applyFont="1" applyBorder="1" applyAlignment="1" applyProtection="1">
      <alignment horizontal="left" vertical="top" wrapText="1"/>
      <protection locked="0"/>
    </xf>
    <xf numFmtId="0" fontId="41" fillId="0" borderId="285" xfId="0" applyFont="1" applyBorder="1" applyAlignment="1" applyProtection="1">
      <alignment horizontal="left" vertical="top" wrapText="1"/>
      <protection locked="0"/>
    </xf>
    <xf numFmtId="0" fontId="38" fillId="0" borderId="55" xfId="0" applyFont="1" applyBorder="1" applyAlignment="1">
      <alignment horizontal="left" vertical="top" wrapText="1"/>
    </xf>
    <xf numFmtId="0" fontId="1" fillId="6" borderId="89" xfId="0" applyFont="1" applyFill="1" applyBorder="1" applyAlignment="1">
      <alignment horizontal="left" vertical="top" wrapText="1"/>
    </xf>
    <xf numFmtId="0" fontId="17" fillId="6" borderId="62" xfId="0" applyFont="1" applyFill="1" applyBorder="1" applyAlignment="1">
      <alignment horizontal="left" vertical="top" wrapText="1"/>
    </xf>
    <xf numFmtId="0" fontId="1" fillId="0" borderId="158" xfId="0" applyFont="1" applyBorder="1" applyAlignment="1">
      <alignment horizontal="left" vertical="top" wrapText="1"/>
    </xf>
    <xf numFmtId="0" fontId="1" fillId="0" borderId="112" xfId="0" applyFont="1" applyBorder="1" applyAlignment="1">
      <alignment horizontal="left" vertical="top" wrapText="1"/>
    </xf>
    <xf numFmtId="0" fontId="1" fillId="0" borderId="170" xfId="0" applyFont="1" applyBorder="1" applyAlignment="1">
      <alignment horizontal="left" vertical="top" wrapText="1"/>
    </xf>
    <xf numFmtId="0" fontId="8" fillId="0" borderId="115" xfId="0" applyFont="1" applyBorder="1" applyAlignment="1">
      <alignment horizontal="left" vertical="top" wrapText="1"/>
    </xf>
    <xf numFmtId="0" fontId="8" fillId="0" borderId="179" xfId="0" applyFont="1" applyBorder="1" applyAlignment="1" applyProtection="1">
      <alignment horizontal="left" vertical="top" wrapText="1"/>
      <protection locked="0"/>
    </xf>
    <xf numFmtId="0" fontId="8" fillId="0" borderId="163" xfId="0" applyFont="1" applyBorder="1" applyAlignment="1">
      <alignment horizontal="left" vertical="top" wrapText="1"/>
    </xf>
    <xf numFmtId="0" fontId="30" fillId="0" borderId="158" xfId="0" applyFont="1" applyBorder="1" applyAlignment="1" applyProtection="1">
      <alignment horizontal="left" vertical="top" wrapText="1"/>
      <protection locked="0"/>
    </xf>
    <xf numFmtId="0" fontId="30" fillId="3" borderId="149" xfId="0" applyFont="1" applyFill="1" applyBorder="1" applyAlignment="1" applyProtection="1">
      <alignment horizontal="left" vertical="top" wrapText="1"/>
      <protection locked="0"/>
    </xf>
    <xf numFmtId="0" fontId="41" fillId="0" borderId="343" xfId="0" applyFont="1" applyBorder="1" applyAlignment="1">
      <alignment horizontal="left" vertical="top" wrapText="1"/>
    </xf>
    <xf numFmtId="0" fontId="41" fillId="0" borderId="208" xfId="0" applyFont="1" applyBorder="1" applyAlignment="1">
      <alignment horizontal="left" vertical="top" wrapText="1"/>
    </xf>
    <xf numFmtId="0" fontId="8" fillId="0" borderId="171" xfId="0" applyFont="1" applyBorder="1" applyAlignment="1">
      <alignment horizontal="left" vertical="top" wrapText="1"/>
    </xf>
    <xf numFmtId="0" fontId="8" fillId="0" borderId="199" xfId="0" applyFont="1" applyBorder="1" applyAlignment="1">
      <alignment horizontal="left" vertical="top" wrapText="1"/>
    </xf>
    <xf numFmtId="0" fontId="16" fillId="0" borderId="168" xfId="0" applyFont="1" applyBorder="1" applyAlignment="1">
      <alignment horizontal="left" vertical="top" wrapText="1"/>
    </xf>
    <xf numFmtId="0" fontId="30" fillId="0" borderId="208" xfId="0" applyFont="1" applyBorder="1" applyAlignment="1" applyProtection="1">
      <alignment vertical="top" wrapText="1"/>
      <protection locked="0"/>
    </xf>
    <xf numFmtId="0" fontId="8" fillId="0" borderId="208" xfId="0" applyFont="1" applyBorder="1" applyAlignment="1">
      <alignment horizontal="left" vertical="top" wrapText="1"/>
    </xf>
    <xf numFmtId="0" fontId="30" fillId="0" borderId="168" xfId="0" applyFont="1" applyBorder="1" applyAlignment="1" applyProtection="1">
      <alignment vertical="top" wrapText="1"/>
      <protection locked="0"/>
    </xf>
    <xf numFmtId="0" fontId="17" fillId="0" borderId="271" xfId="0" applyFont="1" applyBorder="1" applyAlignment="1" applyProtection="1">
      <alignment horizontal="left" vertical="top" wrapText="1"/>
      <protection locked="0"/>
    </xf>
    <xf numFmtId="0" fontId="17" fillId="0" borderId="273" xfId="0" applyFont="1" applyBorder="1" applyAlignment="1" applyProtection="1">
      <alignment horizontal="left" vertical="top" wrapText="1"/>
      <protection locked="0"/>
    </xf>
    <xf numFmtId="0" fontId="17" fillId="0" borderId="280" xfId="0" applyFont="1" applyBorder="1" applyAlignment="1" applyProtection="1">
      <alignment horizontal="left" vertical="top" wrapText="1"/>
      <protection locked="0"/>
    </xf>
    <xf numFmtId="0" fontId="32" fillId="0" borderId="174" xfId="0" applyFont="1" applyBorder="1" applyAlignment="1">
      <alignment horizontal="left" vertical="top"/>
    </xf>
    <xf numFmtId="0" fontId="17" fillId="0" borderId="336" xfId="0" applyFont="1" applyBorder="1" applyAlignment="1" applyProtection="1">
      <alignment horizontal="left" vertical="top" wrapText="1"/>
      <protection locked="0"/>
    </xf>
    <xf numFmtId="0" fontId="17" fillId="0" borderId="210" xfId="0" applyFont="1" applyBorder="1" applyAlignment="1" applyProtection="1">
      <alignment horizontal="left" vertical="top" wrapText="1"/>
      <protection locked="0"/>
    </xf>
    <xf numFmtId="0" fontId="1" fillId="0" borderId="424" xfId="0" applyFont="1" applyBorder="1" applyAlignment="1" applyProtection="1">
      <alignment horizontal="left" vertical="top" wrapText="1"/>
      <protection locked="0"/>
    </xf>
    <xf numFmtId="0" fontId="17" fillId="0" borderId="313" xfId="0" applyFont="1" applyBorder="1" applyAlignment="1" applyProtection="1">
      <alignment horizontal="left" vertical="top" wrapText="1"/>
      <protection locked="0"/>
    </xf>
    <xf numFmtId="0" fontId="1" fillId="0" borderId="251" xfId="0" applyFont="1" applyBorder="1" applyAlignment="1" applyProtection="1">
      <alignment horizontal="left" vertical="top" wrapText="1"/>
      <protection locked="0"/>
    </xf>
    <xf numFmtId="0" fontId="8" fillId="0" borderId="427" xfId="0" applyFont="1" applyBorder="1" applyAlignment="1" applyProtection="1">
      <alignment horizontal="left" vertical="top" wrapText="1"/>
      <protection locked="0"/>
    </xf>
    <xf numFmtId="0" fontId="1" fillId="0" borderId="428" xfId="0" applyFont="1" applyBorder="1" applyAlignment="1" applyProtection="1">
      <alignment horizontal="left" vertical="top" wrapText="1"/>
      <protection locked="0"/>
    </xf>
    <xf numFmtId="0" fontId="8" fillId="0" borderId="289" xfId="0" applyFont="1" applyBorder="1" applyAlignment="1" applyProtection="1">
      <alignment horizontal="left" vertical="top" wrapText="1"/>
      <protection locked="0"/>
    </xf>
    <xf numFmtId="0" fontId="8" fillId="0" borderId="251" xfId="0" applyFont="1" applyBorder="1" applyAlignment="1" applyProtection="1">
      <alignment horizontal="left" vertical="top" wrapText="1"/>
      <protection locked="0"/>
    </xf>
    <xf numFmtId="0" fontId="8" fillId="0" borderId="432" xfId="0" applyFont="1" applyBorder="1" applyAlignment="1" applyProtection="1">
      <alignment horizontal="left" vertical="top" wrapText="1"/>
      <protection locked="0"/>
    </xf>
    <xf numFmtId="0" fontId="8" fillId="0" borderId="333" xfId="0" applyFont="1" applyBorder="1" applyAlignment="1" applyProtection="1">
      <alignment horizontal="left" vertical="top" wrapText="1"/>
      <protection locked="0"/>
    </xf>
    <xf numFmtId="0" fontId="14" fillId="0" borderId="91" xfId="0" applyFont="1" applyBorder="1" applyAlignment="1" applyProtection="1">
      <alignment horizontal="left" vertical="top" wrapText="1"/>
      <protection locked="0"/>
    </xf>
    <xf numFmtId="0" fontId="14" fillId="0" borderId="72" xfId="0" applyFont="1" applyBorder="1" applyAlignment="1" applyProtection="1">
      <alignment horizontal="left" vertical="top" wrapText="1"/>
      <protection locked="0"/>
    </xf>
    <xf numFmtId="0" fontId="1" fillId="0" borderId="435" xfId="0" applyFont="1" applyBorder="1" applyAlignment="1" applyProtection="1">
      <alignment horizontal="left" vertical="top" wrapText="1"/>
      <protection locked="0"/>
    </xf>
    <xf numFmtId="0" fontId="1" fillId="0" borderId="436" xfId="0" applyFont="1" applyBorder="1" applyAlignment="1" applyProtection="1">
      <alignment horizontal="left" vertical="top" wrapText="1"/>
      <protection locked="0"/>
    </xf>
    <xf numFmtId="0" fontId="41" fillId="0" borderId="436" xfId="0" applyFont="1" applyBorder="1" applyAlignment="1" applyProtection="1">
      <alignment horizontal="left" vertical="top" wrapText="1"/>
      <protection locked="0"/>
    </xf>
    <xf numFmtId="0" fontId="1" fillId="0" borderId="437" xfId="0" applyFont="1" applyBorder="1" applyAlignment="1" applyProtection="1">
      <alignment horizontal="left" vertical="top" wrapText="1"/>
      <protection locked="0"/>
    </xf>
    <xf numFmtId="0" fontId="41" fillId="0" borderId="437" xfId="0" applyFont="1" applyBorder="1" applyAlignment="1" applyProtection="1">
      <alignment horizontal="left" vertical="top" wrapText="1"/>
      <protection locked="0"/>
    </xf>
    <xf numFmtId="0" fontId="1" fillId="0" borderId="438" xfId="0" applyFont="1" applyBorder="1" applyAlignment="1" applyProtection="1">
      <alignment horizontal="left" vertical="top" wrapText="1"/>
      <protection locked="0"/>
    </xf>
    <xf numFmtId="0" fontId="1" fillId="0" borderId="390" xfId="0" applyFont="1" applyBorder="1" applyAlignment="1" applyProtection="1">
      <alignment horizontal="left" vertical="top" wrapText="1"/>
      <protection locked="0"/>
    </xf>
    <xf numFmtId="0" fontId="1" fillId="0" borderId="171" xfId="0" applyFont="1" applyBorder="1" applyAlignment="1">
      <alignment horizontal="left" vertical="top" wrapText="1"/>
    </xf>
    <xf numFmtId="0" fontId="17" fillId="0" borderId="250" xfId="0" applyFont="1" applyBorder="1" applyAlignment="1" applyProtection="1">
      <alignment horizontal="left" vertical="top" wrapText="1"/>
      <protection locked="0"/>
    </xf>
    <xf numFmtId="0" fontId="16" fillId="0" borderId="250" xfId="0" applyFont="1" applyBorder="1" applyAlignment="1">
      <alignment horizontal="left" vertical="top" wrapText="1"/>
    </xf>
    <xf numFmtId="0" fontId="17" fillId="0" borderId="298" xfId="0" applyFont="1" applyBorder="1" applyAlignment="1" applyProtection="1">
      <alignment horizontal="left" vertical="top" wrapText="1"/>
      <protection locked="0"/>
    </xf>
    <xf numFmtId="0" fontId="17" fillId="0" borderId="272" xfId="0" applyFont="1" applyBorder="1" applyAlignment="1" applyProtection="1">
      <alignment horizontal="left" vertical="top" wrapText="1"/>
      <protection locked="0"/>
    </xf>
    <xf numFmtId="0" fontId="1" fillId="0" borderId="107" xfId="0" applyFont="1" applyBorder="1" applyAlignment="1">
      <alignment horizontal="left" vertical="top" wrapText="1"/>
    </xf>
    <xf numFmtId="0" fontId="1" fillId="0" borderId="108" xfId="0" applyFont="1" applyBorder="1" applyAlignment="1">
      <alignment horizontal="left" vertical="top" wrapText="1"/>
    </xf>
    <xf numFmtId="0" fontId="30" fillId="3" borderId="173" xfId="0" applyFont="1" applyFill="1" applyBorder="1" applyAlignment="1" applyProtection="1">
      <alignment vertical="top" wrapText="1"/>
      <protection locked="0"/>
    </xf>
    <xf numFmtId="0" fontId="1" fillId="0" borderId="391" xfId="0" applyFont="1" applyBorder="1" applyAlignment="1" applyProtection="1">
      <alignment horizontal="left" vertical="top" wrapText="1"/>
      <protection locked="0"/>
    </xf>
    <xf numFmtId="0" fontId="1" fillId="0" borderId="209" xfId="0" applyFont="1" applyBorder="1" applyAlignment="1" applyProtection="1">
      <alignment horizontal="left" vertical="top" wrapText="1"/>
      <protection locked="0"/>
    </xf>
    <xf numFmtId="0" fontId="41" fillId="0" borderId="305" xfId="0" applyFont="1" applyBorder="1" applyAlignment="1">
      <alignment horizontal="left" vertical="top" wrapText="1"/>
    </xf>
    <xf numFmtId="0" fontId="30" fillId="0" borderId="169" xfId="0" applyFont="1" applyBorder="1" applyAlignment="1" applyProtection="1">
      <alignment vertical="top" wrapText="1"/>
      <protection locked="0"/>
    </xf>
    <xf numFmtId="0" fontId="8" fillId="0" borderId="448" xfId="0" applyFont="1" applyBorder="1" applyAlignment="1" applyProtection="1">
      <alignment horizontal="left" vertical="top" wrapText="1"/>
      <protection locked="0"/>
    </xf>
    <xf numFmtId="0" fontId="17" fillId="0" borderId="410" xfId="0" applyFont="1" applyBorder="1" applyAlignment="1" applyProtection="1">
      <alignment horizontal="left" vertical="top" wrapText="1"/>
      <protection locked="0"/>
    </xf>
    <xf numFmtId="0" fontId="1" fillId="0" borderId="203" xfId="0" applyFont="1" applyBorder="1" applyAlignment="1" applyProtection="1">
      <alignment horizontal="left" vertical="top" wrapText="1"/>
      <protection locked="0"/>
    </xf>
    <xf numFmtId="0" fontId="1" fillId="3" borderId="116" xfId="0" applyFont="1" applyFill="1" applyBorder="1" applyAlignment="1" applyProtection="1">
      <alignment horizontal="left" vertical="top" wrapText="1"/>
      <protection locked="0"/>
    </xf>
    <xf numFmtId="0" fontId="55" fillId="0" borderId="115" xfId="0" applyFont="1" applyBorder="1" applyAlignment="1" applyProtection="1">
      <alignment horizontal="left" vertical="top" wrapText="1"/>
      <protection locked="0"/>
    </xf>
    <xf numFmtId="0" fontId="17" fillId="0" borderId="317" xfId="0" applyFont="1" applyBorder="1" applyAlignment="1" applyProtection="1">
      <alignment horizontal="left" vertical="top" wrapText="1"/>
      <protection locked="0"/>
    </xf>
    <xf numFmtId="0" fontId="41" fillId="0" borderId="202" xfId="0" applyFont="1" applyBorder="1" applyAlignment="1" applyProtection="1">
      <alignment horizontal="left" vertical="top" wrapText="1"/>
      <protection locked="0"/>
    </xf>
    <xf numFmtId="0" fontId="30" fillId="0" borderId="192" xfId="0" applyFont="1" applyBorder="1" applyAlignment="1" applyProtection="1">
      <alignment horizontal="left" vertical="top" wrapText="1"/>
      <protection locked="0"/>
    </xf>
    <xf numFmtId="0" fontId="30" fillId="0" borderId="413" xfId="0" applyFont="1" applyBorder="1" applyAlignment="1" applyProtection="1">
      <alignment horizontal="left" vertical="top" wrapText="1"/>
      <protection locked="0"/>
    </xf>
    <xf numFmtId="0" fontId="41" fillId="0" borderId="184" xfId="0" applyFont="1" applyBorder="1" applyAlignment="1" applyProtection="1">
      <alignment horizontal="left" vertical="top" wrapText="1"/>
      <protection locked="0"/>
    </xf>
    <xf numFmtId="0" fontId="1" fillId="0" borderId="250" xfId="0" applyFont="1" applyBorder="1" applyAlignment="1">
      <alignment horizontal="left" vertical="top" wrapText="1"/>
    </xf>
    <xf numFmtId="0" fontId="1" fillId="0" borderId="377" xfId="0" applyFont="1" applyBorder="1" applyAlignment="1" applyProtection="1">
      <alignment horizontal="left" vertical="top" wrapText="1"/>
      <protection locked="0"/>
    </xf>
    <xf numFmtId="0" fontId="1" fillId="0" borderId="456" xfId="0" applyFont="1" applyBorder="1" applyAlignment="1" applyProtection="1">
      <alignment horizontal="left" vertical="top" wrapText="1"/>
      <protection locked="0"/>
    </xf>
    <xf numFmtId="0" fontId="8" fillId="3" borderId="243" xfId="0" applyFont="1" applyFill="1" applyBorder="1" applyAlignment="1" applyProtection="1">
      <alignment horizontal="left" vertical="top" wrapText="1"/>
      <protection locked="0"/>
    </xf>
    <xf numFmtId="0" fontId="8" fillId="0" borderId="382" xfId="0" applyFont="1" applyBorder="1" applyAlignment="1" applyProtection="1">
      <alignment horizontal="left" vertical="top" wrapText="1"/>
      <protection locked="0"/>
    </xf>
    <xf numFmtId="0" fontId="17" fillId="0" borderId="363" xfId="0" applyFont="1" applyBorder="1" applyAlignment="1" applyProtection="1">
      <alignment horizontal="left" vertical="top" wrapText="1"/>
      <protection locked="0"/>
    </xf>
    <xf numFmtId="0" fontId="1" fillId="0" borderId="363" xfId="0" applyFont="1" applyBorder="1" applyAlignment="1" applyProtection="1">
      <alignment horizontal="left" vertical="top" wrapText="1"/>
      <protection locked="0"/>
    </xf>
    <xf numFmtId="0" fontId="17" fillId="0" borderId="192" xfId="0" applyFont="1" applyBorder="1" applyAlignment="1" applyProtection="1">
      <alignment horizontal="left" vertical="top" wrapText="1"/>
      <protection locked="0"/>
    </xf>
    <xf numFmtId="0" fontId="14" fillId="0" borderId="413" xfId="0" applyFont="1" applyBorder="1" applyAlignment="1" applyProtection="1">
      <alignment horizontal="left" vertical="top" wrapText="1"/>
      <protection locked="0"/>
    </xf>
    <xf numFmtId="0" fontId="1" fillId="0" borderId="244" xfId="0" applyFont="1" applyBorder="1" applyAlignment="1">
      <alignment horizontal="left" vertical="top" wrapText="1"/>
    </xf>
    <xf numFmtId="0" fontId="14" fillId="0" borderId="222" xfId="0" applyFont="1" applyBorder="1" applyAlignment="1" applyProtection="1">
      <alignment horizontal="left" vertical="top" wrapText="1"/>
      <protection locked="0"/>
    </xf>
    <xf numFmtId="0" fontId="14" fillId="0" borderId="242" xfId="0" applyFont="1" applyBorder="1" applyAlignment="1" applyProtection="1">
      <alignment horizontal="left" vertical="top" wrapText="1"/>
      <protection locked="0"/>
    </xf>
    <xf numFmtId="0" fontId="1" fillId="0" borderId="168" xfId="0" applyFont="1" applyBorder="1" applyAlignment="1">
      <alignment horizontal="left" vertical="top" wrapText="1"/>
    </xf>
    <xf numFmtId="0" fontId="8" fillId="0" borderId="304" xfId="0" applyFont="1" applyBorder="1" applyAlignment="1" applyProtection="1">
      <alignment horizontal="left" vertical="top" wrapText="1"/>
      <protection locked="0"/>
    </xf>
    <xf numFmtId="0" fontId="8" fillId="0" borderId="249" xfId="0" applyFont="1" applyBorder="1" applyAlignment="1" applyProtection="1">
      <alignment horizontal="left" vertical="top" wrapText="1"/>
      <protection locked="0"/>
    </xf>
    <xf numFmtId="0" fontId="41" fillId="0" borderId="7" xfId="0" applyFont="1" applyBorder="1" applyAlignment="1" applyProtection="1">
      <alignment horizontal="left" vertical="top" wrapText="1"/>
      <protection locked="0"/>
    </xf>
    <xf numFmtId="0" fontId="41" fillId="0" borderId="4" xfId="0" applyFont="1" applyBorder="1" applyAlignment="1" applyProtection="1">
      <alignment horizontal="left" vertical="top" wrapText="1"/>
      <protection locked="0"/>
    </xf>
    <xf numFmtId="0" fontId="41" fillId="0" borderId="305" xfId="0" applyFont="1" applyBorder="1" applyAlignment="1" applyProtection="1">
      <alignment horizontal="left" vertical="top" wrapText="1"/>
      <protection locked="0"/>
    </xf>
    <xf numFmtId="0" fontId="1" fillId="0" borderId="311" xfId="0" applyFont="1" applyBorder="1" applyAlignment="1" applyProtection="1">
      <alignment horizontal="left" vertical="top" wrapText="1"/>
      <protection locked="0"/>
    </xf>
    <xf numFmtId="0" fontId="30" fillId="3" borderId="129" xfId="0" applyFont="1" applyFill="1" applyBorder="1" applyAlignment="1" applyProtection="1">
      <alignment vertical="top" wrapText="1"/>
      <protection locked="0"/>
    </xf>
    <xf numFmtId="0" fontId="30" fillId="0" borderId="107" xfId="0" applyFont="1" applyBorder="1" applyAlignment="1" applyProtection="1">
      <alignment vertical="top" wrapText="1"/>
      <protection locked="0"/>
    </xf>
    <xf numFmtId="0" fontId="1" fillId="3" borderId="310" xfId="0" applyFont="1" applyFill="1" applyBorder="1" applyAlignment="1" applyProtection="1">
      <alignment horizontal="left" vertical="top" wrapText="1"/>
      <protection locked="0"/>
    </xf>
    <xf numFmtId="0" fontId="30" fillId="0" borderId="176" xfId="0" applyFont="1" applyBorder="1" applyAlignment="1" applyProtection="1">
      <alignment vertical="top" wrapText="1"/>
      <protection locked="0"/>
    </xf>
    <xf numFmtId="0" fontId="30" fillId="0" borderId="171" xfId="0" applyFont="1" applyBorder="1" applyAlignment="1" applyProtection="1">
      <alignment vertical="top" wrapText="1"/>
      <protection locked="0"/>
    </xf>
    <xf numFmtId="0" fontId="30" fillId="0" borderId="173" xfId="0" applyFont="1" applyBorder="1" applyAlignment="1" applyProtection="1">
      <alignment vertical="top" wrapText="1"/>
      <protection locked="0"/>
    </xf>
    <xf numFmtId="0" fontId="32" fillId="7" borderId="0" xfId="0" applyFont="1" applyFill="1" applyAlignment="1">
      <alignment horizontal="left" vertical="top" wrapText="1"/>
    </xf>
    <xf numFmtId="0" fontId="1" fillId="0" borderId="3" xfId="0" applyFont="1" applyBorder="1" applyAlignment="1">
      <alignment horizontal="left" vertical="top"/>
    </xf>
    <xf numFmtId="0" fontId="1" fillId="0" borderId="2" xfId="0" applyFont="1" applyBorder="1" applyAlignment="1">
      <alignment horizontal="left" vertical="top"/>
    </xf>
    <xf numFmtId="0" fontId="30" fillId="0" borderId="29" xfId="0" applyFont="1" applyBorder="1" applyAlignment="1" applyProtection="1">
      <alignment horizontal="left" vertical="top" wrapText="1"/>
      <protection locked="0"/>
    </xf>
    <xf numFmtId="0" fontId="1" fillId="0" borderId="361" xfId="0" applyFont="1" applyBorder="1" applyAlignment="1" applyProtection="1">
      <alignment horizontal="left" vertical="top" wrapText="1"/>
      <protection locked="0"/>
    </xf>
    <xf numFmtId="0" fontId="55" fillId="0" borderId="465" xfId="0" applyFont="1" applyBorder="1" applyAlignment="1" applyProtection="1">
      <alignment horizontal="left" vertical="top" wrapText="1"/>
      <protection locked="0"/>
    </xf>
    <xf numFmtId="0" fontId="1" fillId="0" borderId="362" xfId="0" applyFont="1" applyBorder="1" applyAlignment="1" applyProtection="1">
      <alignment horizontal="left" vertical="top" wrapText="1"/>
      <protection locked="0"/>
    </xf>
    <xf numFmtId="0" fontId="1" fillId="0" borderId="466" xfId="0" applyFont="1" applyBorder="1" applyAlignment="1" applyProtection="1">
      <alignment horizontal="left" vertical="top" wrapText="1"/>
      <protection locked="0"/>
    </xf>
    <xf numFmtId="0" fontId="17" fillId="0" borderId="249" xfId="0" applyFont="1" applyBorder="1" applyAlignment="1" applyProtection="1">
      <alignment horizontal="left" vertical="top" wrapText="1"/>
      <protection locked="0"/>
    </xf>
    <xf numFmtId="0" fontId="1" fillId="0" borderId="249" xfId="0" applyFont="1" applyBorder="1" applyAlignment="1">
      <alignment horizontal="left" vertical="top" wrapText="1"/>
    </xf>
    <xf numFmtId="0" fontId="17" fillId="0" borderId="316" xfId="0" applyFont="1" applyBorder="1" applyAlignment="1" applyProtection="1">
      <alignment horizontal="left" vertical="top" wrapText="1"/>
      <protection locked="0"/>
    </xf>
    <xf numFmtId="0" fontId="17" fillId="0" borderId="382" xfId="0" applyFont="1" applyBorder="1" applyAlignment="1" applyProtection="1">
      <alignment horizontal="left" vertical="top" wrapText="1"/>
      <protection locked="0"/>
    </xf>
    <xf numFmtId="0" fontId="17" fillId="0" borderId="169" xfId="0" applyFont="1" applyBorder="1" applyAlignment="1" applyProtection="1">
      <alignment horizontal="left" vertical="top" wrapText="1"/>
      <protection locked="0"/>
    </xf>
    <xf numFmtId="0" fontId="16" fillId="0" borderId="91" xfId="0" applyFont="1" applyBorder="1" applyAlignment="1" applyProtection="1">
      <alignment horizontal="left" vertical="top" wrapText="1"/>
      <protection locked="0"/>
    </xf>
    <xf numFmtId="0" fontId="17" fillId="0" borderId="208" xfId="0" applyFont="1" applyBorder="1" applyAlignment="1" applyProtection="1">
      <alignment horizontal="left" vertical="top" wrapText="1"/>
      <protection locked="0"/>
    </xf>
    <xf numFmtId="0" fontId="30" fillId="0" borderId="175" xfId="0" applyFont="1" applyBorder="1" applyAlignment="1" applyProtection="1">
      <alignment horizontal="left" vertical="top" wrapText="1"/>
      <protection locked="0"/>
    </xf>
    <xf numFmtId="0" fontId="30" fillId="0" borderId="250" xfId="0" applyFont="1" applyBorder="1" applyAlignment="1" applyProtection="1">
      <alignment vertical="top" wrapText="1"/>
      <protection locked="0"/>
    </xf>
    <xf numFmtId="0" fontId="30" fillId="3" borderId="467" xfId="0" applyFont="1" applyFill="1" applyBorder="1" applyAlignment="1" applyProtection="1">
      <alignment vertical="top" wrapText="1"/>
      <protection locked="0"/>
    </xf>
    <xf numFmtId="0" fontId="30" fillId="0" borderId="310" xfId="0" applyFont="1" applyBorder="1" applyAlignment="1" applyProtection="1">
      <alignment horizontal="left" vertical="top" wrapText="1"/>
      <protection locked="0"/>
    </xf>
    <xf numFmtId="0" fontId="1" fillId="0" borderId="114" xfId="0" applyFont="1" applyBorder="1" applyAlignment="1">
      <alignment horizontal="left" vertical="top" wrapText="1"/>
    </xf>
    <xf numFmtId="0" fontId="1" fillId="0" borderId="468" xfId="0" applyFont="1" applyBorder="1" applyAlignment="1" applyProtection="1">
      <alignment horizontal="left" vertical="top" wrapText="1"/>
      <protection locked="0"/>
    </xf>
    <xf numFmtId="0" fontId="1" fillId="3" borderId="372" xfId="0" applyFont="1" applyFill="1" applyBorder="1" applyAlignment="1" applyProtection="1">
      <alignment horizontal="left" vertical="top" wrapText="1"/>
      <protection locked="0"/>
    </xf>
    <xf numFmtId="0" fontId="1" fillId="3" borderId="469" xfId="0" applyFont="1" applyFill="1" applyBorder="1" applyAlignment="1" applyProtection="1">
      <alignment horizontal="left" vertical="top" wrapText="1"/>
      <protection locked="0"/>
    </xf>
    <xf numFmtId="0" fontId="1" fillId="3" borderId="378" xfId="0" applyFont="1" applyFill="1" applyBorder="1" applyAlignment="1" applyProtection="1">
      <alignment horizontal="left" vertical="top" wrapText="1"/>
      <protection locked="0"/>
    </xf>
    <xf numFmtId="0" fontId="1" fillId="0" borderId="371" xfId="0" applyFont="1" applyBorder="1" applyAlignment="1" applyProtection="1">
      <alignment horizontal="left" vertical="top" wrapText="1"/>
      <protection locked="0"/>
    </xf>
    <xf numFmtId="0" fontId="1" fillId="0" borderId="376" xfId="0" applyFont="1" applyBorder="1" applyAlignment="1" applyProtection="1">
      <alignment horizontal="left" vertical="top" wrapText="1"/>
      <protection locked="0"/>
    </xf>
    <xf numFmtId="0" fontId="30" fillId="0" borderId="372" xfId="0" applyFont="1" applyBorder="1" applyAlignment="1" applyProtection="1">
      <alignment horizontal="left" vertical="top" wrapText="1"/>
      <protection locked="0"/>
    </xf>
    <xf numFmtId="0" fontId="30" fillId="0" borderId="468" xfId="0" applyFont="1" applyBorder="1" applyAlignment="1" applyProtection="1">
      <alignment horizontal="left" vertical="top" wrapText="1"/>
      <protection locked="0"/>
    </xf>
    <xf numFmtId="0" fontId="41" fillId="0" borderId="391" xfId="0" applyFont="1" applyBorder="1" applyAlignment="1" applyProtection="1">
      <alignment horizontal="left" vertical="top" wrapText="1"/>
      <protection locked="0"/>
    </xf>
    <xf numFmtId="0" fontId="1" fillId="0" borderId="445" xfId="0" applyFont="1" applyBorder="1" applyAlignment="1" applyProtection="1">
      <alignment horizontal="left" vertical="top" wrapText="1"/>
      <protection locked="0"/>
    </xf>
    <xf numFmtId="0" fontId="1" fillId="0" borderId="316" xfId="0" applyFont="1" applyBorder="1" applyAlignment="1">
      <alignment horizontal="left" vertical="top" wrapText="1"/>
    </xf>
    <xf numFmtId="0" fontId="17" fillId="0" borderId="322" xfId="0" applyFont="1" applyBorder="1" applyAlignment="1" applyProtection="1">
      <alignment horizontal="left" vertical="top" wrapText="1"/>
      <protection locked="0"/>
    </xf>
    <xf numFmtId="0" fontId="17" fillId="0" borderId="214" xfId="0" applyFont="1" applyBorder="1" applyAlignment="1" applyProtection="1">
      <alignment horizontal="left" vertical="top" wrapText="1"/>
      <protection locked="0"/>
    </xf>
    <xf numFmtId="0" fontId="1" fillId="6" borderId="170" xfId="0" applyFont="1" applyFill="1" applyBorder="1" applyAlignment="1" applyProtection="1">
      <alignment horizontal="left" vertical="top" wrapText="1"/>
      <protection locked="0"/>
    </xf>
    <xf numFmtId="0" fontId="1" fillId="0" borderId="426" xfId="0" applyFont="1" applyBorder="1" applyAlignment="1" applyProtection="1">
      <alignment horizontal="left" vertical="top" wrapText="1"/>
      <protection locked="0"/>
    </xf>
    <xf numFmtId="49" fontId="17" fillId="0" borderId="112" xfId="0" applyNumberFormat="1" applyFont="1" applyBorder="1" applyAlignment="1">
      <alignment horizontal="left" vertical="top" wrapText="1"/>
    </xf>
    <xf numFmtId="0" fontId="36" fillId="0" borderId="73" xfId="0" applyFont="1" applyBorder="1" applyAlignment="1">
      <alignment horizontal="left" vertical="top" wrapText="1"/>
    </xf>
    <xf numFmtId="0" fontId="55" fillId="0" borderId="98" xfId="0" applyFont="1" applyBorder="1" applyAlignment="1">
      <alignment horizontal="left" vertical="top" wrapText="1"/>
    </xf>
    <xf numFmtId="0" fontId="17" fillId="0" borderId="112" xfId="0" applyFont="1" applyBorder="1" applyAlignment="1" applyProtection="1">
      <alignment vertical="top" wrapText="1"/>
      <protection locked="0"/>
    </xf>
    <xf numFmtId="0" fontId="17" fillId="0" borderId="170" xfId="0" applyFont="1" applyBorder="1" applyAlignment="1" applyProtection="1">
      <alignment vertical="top" wrapText="1"/>
      <protection locked="0"/>
    </xf>
    <xf numFmtId="0" fontId="30" fillId="0" borderId="306" xfId="0" applyFont="1" applyBorder="1" applyAlignment="1" applyProtection="1">
      <alignment vertical="top" wrapText="1"/>
      <protection locked="0"/>
    </xf>
    <xf numFmtId="0" fontId="41" fillId="0" borderId="29" xfId="0" applyFont="1" applyBorder="1" applyAlignment="1" applyProtection="1">
      <alignment horizontal="left" vertical="top" wrapText="1"/>
      <protection locked="0"/>
    </xf>
    <xf numFmtId="0" fontId="1" fillId="3" borderId="306" xfId="0" applyFont="1" applyFill="1" applyBorder="1" applyAlignment="1" applyProtection="1">
      <alignment vertical="top" wrapText="1"/>
      <protection locked="0"/>
    </xf>
    <xf numFmtId="0" fontId="1" fillId="3" borderId="176" xfId="0" applyFont="1" applyFill="1" applyBorder="1" applyAlignment="1" applyProtection="1">
      <alignment vertical="top" wrapText="1"/>
      <protection locked="0"/>
    </xf>
    <xf numFmtId="0" fontId="1" fillId="3" borderId="219" xfId="0" applyFont="1" applyFill="1" applyBorder="1" applyAlignment="1" applyProtection="1">
      <alignment vertical="top" wrapText="1"/>
      <protection locked="0"/>
    </xf>
    <xf numFmtId="0" fontId="1" fillId="3" borderId="320" xfId="0" applyFont="1" applyFill="1" applyBorder="1" applyAlignment="1" applyProtection="1">
      <alignment vertical="top" wrapText="1"/>
      <protection locked="0"/>
    </xf>
    <xf numFmtId="0" fontId="1" fillId="3" borderId="310" xfId="0" applyFont="1" applyFill="1" applyBorder="1" applyAlignment="1" applyProtection="1">
      <alignment vertical="top" wrapText="1"/>
      <protection locked="0"/>
    </xf>
    <xf numFmtId="0" fontId="1" fillId="0" borderId="476" xfId="0" applyFont="1" applyBorder="1" applyAlignment="1" applyProtection="1">
      <alignment horizontal="left" vertical="top" wrapText="1"/>
      <protection locked="0"/>
    </xf>
    <xf numFmtId="0" fontId="8" fillId="0" borderId="316" xfId="0" applyFont="1" applyBorder="1" applyAlignment="1" applyProtection="1">
      <alignment horizontal="left" vertical="top" wrapText="1"/>
      <protection locked="0"/>
    </xf>
    <xf numFmtId="0" fontId="18" fillId="0" borderId="245" xfId="0" applyFont="1" applyBorder="1" applyAlignment="1">
      <alignment horizontal="left" vertical="top"/>
    </xf>
    <xf numFmtId="0" fontId="18" fillId="0" borderId="305" xfId="0" applyFont="1" applyBorder="1" applyAlignment="1">
      <alignment horizontal="left" vertical="top"/>
    </xf>
    <xf numFmtId="0" fontId="18" fillId="0" borderId="303" xfId="0" applyFont="1" applyBorder="1" applyAlignment="1">
      <alignment horizontal="left" vertical="top"/>
    </xf>
    <xf numFmtId="0" fontId="1" fillId="3" borderId="219" xfId="0" applyFont="1" applyFill="1" applyBorder="1" applyAlignment="1" applyProtection="1">
      <alignment horizontal="left" vertical="top" wrapText="1"/>
      <protection locked="0"/>
    </xf>
    <xf numFmtId="0" fontId="18" fillId="0" borderId="169" xfId="0" applyFont="1" applyBorder="1" applyAlignment="1">
      <alignment horizontal="left" vertical="top" wrapText="1"/>
    </xf>
    <xf numFmtId="0" fontId="18" fillId="0" borderId="112" xfId="0" applyFont="1" applyBorder="1" applyAlignment="1">
      <alignment horizontal="left" vertical="top" wrapText="1"/>
    </xf>
    <xf numFmtId="0" fontId="18" fillId="0" borderId="170" xfId="0" applyFont="1" applyBorder="1" applyAlignment="1">
      <alignment horizontal="left" vertical="top" wrapText="1"/>
    </xf>
    <xf numFmtId="0" fontId="1" fillId="0" borderId="479" xfId="0" applyFont="1" applyBorder="1" applyAlignment="1" applyProtection="1">
      <alignment horizontal="left" vertical="top" wrapText="1"/>
      <protection locked="0"/>
    </xf>
    <xf numFmtId="0" fontId="1" fillId="0" borderId="246" xfId="0" applyFont="1" applyBorder="1" applyAlignment="1" applyProtection="1">
      <alignment horizontal="left" vertical="top" wrapText="1"/>
      <protection locked="0"/>
    </xf>
    <xf numFmtId="0" fontId="1" fillId="0" borderId="84" xfId="0" applyFont="1" applyBorder="1" applyAlignment="1" applyProtection="1">
      <alignment horizontal="left" vertical="top" wrapText="1"/>
      <protection locked="0"/>
    </xf>
    <xf numFmtId="0" fontId="18" fillId="0" borderId="2" xfId="0" applyFont="1" applyBorder="1" applyAlignment="1">
      <alignment horizontal="left" vertical="top"/>
    </xf>
    <xf numFmtId="0" fontId="1" fillId="0" borderId="481" xfId="0" applyFont="1" applyBorder="1" applyAlignment="1" applyProtection="1">
      <alignment horizontal="left" vertical="top" wrapText="1"/>
      <protection locked="0"/>
    </xf>
    <xf numFmtId="0" fontId="8" fillId="0" borderId="174" xfId="0" applyFont="1" applyBorder="1" applyAlignment="1" applyProtection="1">
      <alignment horizontal="left" vertical="top" wrapText="1"/>
      <protection locked="0"/>
    </xf>
    <xf numFmtId="0" fontId="8" fillId="0" borderId="107" xfId="0" applyFont="1" applyBorder="1" applyAlignment="1" applyProtection="1">
      <alignment horizontal="left" vertical="top" wrapText="1"/>
      <protection locked="0"/>
    </xf>
    <xf numFmtId="0" fontId="1" fillId="0" borderId="483" xfId="0" applyFont="1" applyBorder="1" applyAlignment="1" applyProtection="1">
      <alignment horizontal="left" vertical="top" wrapText="1"/>
      <protection locked="0"/>
    </xf>
    <xf numFmtId="0" fontId="1" fillId="0" borderId="485" xfId="0" applyFont="1" applyBorder="1" applyAlignment="1" applyProtection="1">
      <alignment horizontal="left" vertical="top" wrapText="1"/>
      <protection locked="0"/>
    </xf>
    <xf numFmtId="0" fontId="69" fillId="0" borderId="0" xfId="0" applyFont="1" applyAlignment="1">
      <alignment horizontal="left" vertical="top"/>
    </xf>
    <xf numFmtId="0" fontId="73" fillId="0" borderId="8" xfId="0" applyFont="1" applyBorder="1" applyAlignment="1">
      <alignment horizontal="left" vertical="top" wrapText="1"/>
    </xf>
    <xf numFmtId="0" fontId="17" fillId="0" borderId="262" xfId="0" applyFont="1" applyBorder="1" applyAlignment="1" applyProtection="1">
      <alignment horizontal="left" vertical="top" wrapText="1"/>
      <protection locked="0"/>
    </xf>
    <xf numFmtId="0" fontId="17" fillId="0" borderId="177" xfId="0" applyFont="1" applyBorder="1" applyAlignment="1" applyProtection="1">
      <alignment horizontal="left" vertical="top" wrapText="1"/>
      <protection locked="0"/>
    </xf>
    <xf numFmtId="0" fontId="17" fillId="0" borderId="265" xfId="0" applyFont="1" applyBorder="1" applyAlignment="1" applyProtection="1">
      <alignment horizontal="left" vertical="top" wrapText="1"/>
      <protection locked="0"/>
    </xf>
    <xf numFmtId="0" fontId="55" fillId="0" borderId="91" xfId="0" applyFont="1" applyBorder="1" applyAlignment="1">
      <alignment horizontal="left" vertical="top" wrapText="1"/>
    </xf>
    <xf numFmtId="0" fontId="55" fillId="0" borderId="64" xfId="0" applyFont="1" applyBorder="1" applyAlignment="1">
      <alignment horizontal="left" vertical="top" wrapText="1"/>
    </xf>
    <xf numFmtId="0" fontId="55" fillId="0" borderId="168" xfId="0" applyFont="1" applyBorder="1" applyAlignment="1">
      <alignment horizontal="left" vertical="top" wrapText="1"/>
    </xf>
    <xf numFmtId="0" fontId="55" fillId="0" borderId="168" xfId="0" applyFont="1" applyBorder="1" applyAlignment="1" applyProtection="1">
      <alignment horizontal="left" vertical="top" wrapText="1"/>
      <protection locked="0"/>
    </xf>
    <xf numFmtId="0" fontId="55" fillId="0" borderId="262" xfId="0" applyFont="1" applyBorder="1" applyAlignment="1" applyProtection="1">
      <alignment horizontal="left" vertical="top" wrapText="1"/>
      <protection locked="0"/>
    </xf>
    <xf numFmtId="0" fontId="55" fillId="0" borderId="177" xfId="0" applyFont="1" applyBorder="1" applyAlignment="1" applyProtection="1">
      <alignment horizontal="left" vertical="top" wrapText="1"/>
      <protection locked="0"/>
    </xf>
    <xf numFmtId="0" fontId="55" fillId="0" borderId="265" xfId="0" applyFont="1" applyBorder="1" applyAlignment="1" applyProtection="1">
      <alignment horizontal="left" vertical="top" wrapText="1"/>
      <protection locked="0"/>
    </xf>
    <xf numFmtId="0" fontId="55" fillId="0" borderId="257" xfId="0" applyFont="1" applyBorder="1" applyAlignment="1">
      <alignment horizontal="left" vertical="top" wrapText="1"/>
    </xf>
    <xf numFmtId="0" fontId="55" fillId="0" borderId="70" xfId="0" applyFont="1" applyBorder="1" applyAlignment="1">
      <alignment horizontal="left" vertical="top" wrapText="1"/>
    </xf>
    <xf numFmtId="0" fontId="17" fillId="0" borderId="329" xfId="0" applyFont="1" applyBorder="1" applyAlignment="1" applyProtection="1">
      <alignment horizontal="left" vertical="top" wrapText="1"/>
      <protection locked="0"/>
    </xf>
    <xf numFmtId="0" fontId="17" fillId="0" borderId="318" xfId="0" applyFont="1" applyBorder="1" applyAlignment="1" applyProtection="1">
      <alignment horizontal="left" vertical="top" wrapText="1"/>
      <protection locked="0"/>
    </xf>
    <xf numFmtId="0" fontId="17" fillId="0" borderId="330" xfId="0" applyFont="1" applyBorder="1" applyAlignment="1" applyProtection="1">
      <alignment horizontal="left" vertical="top" wrapText="1"/>
      <protection locked="0"/>
    </xf>
    <xf numFmtId="0" fontId="41" fillId="0" borderId="382" xfId="0" applyFont="1" applyBorder="1" applyAlignment="1" applyProtection="1">
      <alignment horizontal="left" vertical="top" wrapText="1"/>
      <protection locked="0"/>
    </xf>
    <xf numFmtId="0" fontId="38" fillId="0" borderId="70" xfId="0" applyFont="1" applyBorder="1" applyAlignment="1">
      <alignment horizontal="left" vertical="top" wrapText="1"/>
    </xf>
    <xf numFmtId="0" fontId="67" fillId="0" borderId="70" xfId="0" applyFont="1" applyBorder="1" applyAlignment="1">
      <alignment horizontal="left" vertical="top" wrapText="1"/>
    </xf>
    <xf numFmtId="0" fontId="38" fillId="0" borderId="191" xfId="0" applyFont="1" applyBorder="1" applyAlignment="1">
      <alignment horizontal="left" vertical="top" wrapText="1"/>
    </xf>
    <xf numFmtId="0" fontId="68" fillId="0" borderId="0" xfId="0" applyFont="1" applyAlignment="1">
      <alignment horizontal="left" vertical="top" wrapText="1"/>
    </xf>
    <xf numFmtId="0" fontId="69" fillId="0" borderId="0" xfId="0" applyFont="1" applyAlignment="1">
      <alignment horizontal="left" vertical="top" wrapText="1"/>
    </xf>
    <xf numFmtId="0" fontId="38" fillId="0" borderId="487" xfId="0" applyFont="1" applyBorder="1" applyAlignment="1">
      <alignment horizontal="left" vertical="top" wrapText="1"/>
    </xf>
    <xf numFmtId="0" fontId="67" fillId="0" borderId="487" xfId="0" applyFont="1" applyBorder="1" applyAlignment="1">
      <alignment horizontal="left" vertical="top" wrapText="1"/>
    </xf>
    <xf numFmtId="0" fontId="14" fillId="0" borderId="39" xfId="0" applyFont="1" applyBorder="1" applyAlignment="1">
      <alignment horizontal="left" vertical="top" wrapText="1"/>
    </xf>
    <xf numFmtId="0" fontId="3" fillId="0" borderId="39" xfId="0" applyFont="1" applyBorder="1" applyAlignment="1">
      <alignment horizontal="left" vertical="top" wrapText="1"/>
    </xf>
    <xf numFmtId="0" fontId="0" fillId="0" borderId="39" xfId="0" applyBorder="1" applyAlignment="1">
      <alignment horizontal="left" vertical="top" wrapText="1"/>
    </xf>
    <xf numFmtId="0" fontId="7" fillId="0" borderId="39" xfId="0" applyFont="1" applyBorder="1" applyAlignment="1">
      <alignment horizontal="left" vertical="top" wrapText="1"/>
    </xf>
    <xf numFmtId="0" fontId="38" fillId="0" borderId="148" xfId="0" applyFont="1" applyBorder="1" applyAlignment="1">
      <alignment horizontal="left" vertical="top" wrapText="1"/>
    </xf>
    <xf numFmtId="0" fontId="67" fillId="0" borderId="148" xfId="0" applyFont="1" applyBorder="1" applyAlignment="1">
      <alignment horizontal="left" vertical="top" wrapText="1"/>
    </xf>
    <xf numFmtId="0" fontId="38" fillId="0" borderId="489" xfId="0" applyFont="1" applyBorder="1" applyAlignment="1">
      <alignment horizontal="left" vertical="top" wrapText="1"/>
    </xf>
    <xf numFmtId="0" fontId="18" fillId="0" borderId="39" xfId="0" applyFont="1" applyBorder="1" applyAlignment="1">
      <alignment horizontal="left" vertical="top" wrapText="1"/>
    </xf>
    <xf numFmtId="0" fontId="80" fillId="0" borderId="0" xfId="0" applyFont="1" applyAlignment="1">
      <alignment horizontal="left" vertical="top"/>
    </xf>
    <xf numFmtId="0" fontId="80" fillId="0" borderId="0" xfId="0" applyFont="1" applyAlignment="1">
      <alignment horizontal="left" vertical="top" wrapText="1"/>
    </xf>
    <xf numFmtId="0" fontId="81" fillId="0" borderId="75" xfId="0" applyFont="1" applyBorder="1" applyAlignment="1">
      <alignment horizontal="left" vertical="top" wrapText="1"/>
    </xf>
    <xf numFmtId="0" fontId="81" fillId="0" borderId="3" xfId="0" applyFont="1" applyBorder="1" applyAlignment="1" applyProtection="1">
      <alignment horizontal="left" vertical="top" wrapText="1"/>
      <protection locked="0"/>
    </xf>
    <xf numFmtId="0" fontId="81" fillId="0" borderId="0" xfId="0" applyFont="1" applyAlignment="1" applyProtection="1">
      <alignment horizontal="left" vertical="top" wrapText="1"/>
      <protection locked="0"/>
    </xf>
    <xf numFmtId="0" fontId="81" fillId="0" borderId="223" xfId="0" applyFont="1" applyBorder="1" applyAlignment="1">
      <alignment horizontal="left" vertical="top" wrapText="1"/>
    </xf>
    <xf numFmtId="0" fontId="80" fillId="0" borderId="224" xfId="0" applyFont="1" applyBorder="1" applyAlignment="1">
      <alignment horizontal="left" vertical="top"/>
    </xf>
    <xf numFmtId="0" fontId="81" fillId="0" borderId="1" xfId="0" applyFont="1" applyBorder="1" applyAlignment="1" applyProtection="1">
      <alignment horizontal="left" vertical="top" wrapText="1"/>
      <protection locked="0"/>
    </xf>
    <xf numFmtId="0" fontId="81" fillId="0" borderId="32" xfId="0" applyFont="1" applyBorder="1" applyAlignment="1">
      <alignment horizontal="left" vertical="top" wrapText="1"/>
    </xf>
    <xf numFmtId="0" fontId="81" fillId="0" borderId="0" xfId="0" applyFont="1" applyAlignment="1">
      <alignment horizontal="left" vertical="top" wrapText="1"/>
    </xf>
    <xf numFmtId="49" fontId="80" fillId="0" borderId="0" xfId="0" applyNumberFormat="1" applyFont="1" applyAlignment="1">
      <alignment horizontal="left" vertical="top" wrapText="1"/>
    </xf>
    <xf numFmtId="0" fontId="77" fillId="6" borderId="0" xfId="0" applyFont="1" applyFill="1" applyAlignment="1">
      <alignment horizontal="left" vertical="top" wrapText="1"/>
    </xf>
    <xf numFmtId="0" fontId="81" fillId="0" borderId="69" xfId="0" applyFont="1" applyBorder="1" applyAlignment="1" applyProtection="1">
      <alignment horizontal="left" vertical="top" wrapText="1"/>
      <protection locked="0"/>
    </xf>
    <xf numFmtId="0" fontId="81" fillId="0" borderId="30" xfId="0" applyFont="1" applyBorder="1" applyAlignment="1" applyProtection="1">
      <alignment horizontal="left" vertical="top" wrapText="1"/>
      <protection locked="0"/>
    </xf>
    <xf numFmtId="0" fontId="81" fillId="0" borderId="136" xfId="0" applyFont="1" applyBorder="1" applyAlignment="1">
      <alignment horizontal="left" vertical="top" wrapText="1"/>
    </xf>
    <xf numFmtId="0" fontId="30" fillId="0" borderId="96" xfId="0" applyFont="1" applyBorder="1" applyAlignment="1" applyProtection="1">
      <alignment horizontal="left" vertical="top" wrapText="1"/>
      <protection locked="0"/>
    </xf>
    <xf numFmtId="0" fontId="30" fillId="0" borderId="42" xfId="0" applyFont="1" applyBorder="1" applyAlignment="1" applyProtection="1">
      <alignment vertical="top" wrapText="1"/>
      <protection locked="0"/>
    </xf>
    <xf numFmtId="0" fontId="30" fillId="0" borderId="175" xfId="0" applyFont="1" applyBorder="1" applyAlignment="1" applyProtection="1">
      <alignment vertical="top" wrapText="1"/>
      <protection locked="0"/>
    </xf>
    <xf numFmtId="0" fontId="30" fillId="3" borderId="122" xfId="0" applyFont="1" applyFill="1" applyBorder="1" applyAlignment="1" applyProtection="1">
      <alignment vertical="top" wrapText="1"/>
      <protection locked="0"/>
    </xf>
    <xf numFmtId="0" fontId="30" fillId="3" borderId="86" xfId="0" applyFont="1" applyFill="1" applyBorder="1" applyAlignment="1" applyProtection="1">
      <alignment vertical="top" wrapText="1"/>
      <protection locked="0"/>
    </xf>
    <xf numFmtId="0" fontId="30" fillId="3" borderId="74" xfId="0" applyFont="1" applyFill="1" applyBorder="1" applyAlignment="1" applyProtection="1">
      <alignment vertical="top" wrapText="1"/>
      <protection locked="0"/>
    </xf>
    <xf numFmtId="0" fontId="30" fillId="3" borderId="103" xfId="0" applyFont="1" applyFill="1" applyBorder="1" applyAlignment="1" applyProtection="1">
      <alignment vertical="top" wrapText="1"/>
      <protection locked="0"/>
    </xf>
    <xf numFmtId="0" fontId="30" fillId="3" borderId="185" xfId="0" applyFont="1" applyFill="1" applyBorder="1" applyAlignment="1" applyProtection="1">
      <alignment vertical="top" wrapText="1"/>
      <protection locked="0"/>
    </xf>
    <xf numFmtId="0" fontId="30" fillId="3" borderId="374" xfId="0" applyFont="1" applyFill="1" applyBorder="1" applyAlignment="1" applyProtection="1">
      <alignment vertical="top" wrapText="1"/>
      <protection locked="0"/>
    </xf>
    <xf numFmtId="0" fontId="30" fillId="3" borderId="311" xfId="0" applyFont="1" applyFill="1" applyBorder="1" applyAlignment="1" applyProtection="1">
      <alignment vertical="top" wrapText="1"/>
      <protection locked="0"/>
    </xf>
    <xf numFmtId="0" fontId="30" fillId="3" borderId="175" xfId="0" applyFont="1" applyFill="1" applyBorder="1" applyAlignment="1" applyProtection="1">
      <alignment vertical="top" wrapText="1"/>
      <protection locked="0"/>
    </xf>
    <xf numFmtId="0" fontId="30" fillId="0" borderId="343" xfId="0" applyFont="1" applyBorder="1" applyAlignment="1" applyProtection="1">
      <alignment vertical="top" wrapText="1"/>
      <protection locked="0"/>
    </xf>
    <xf numFmtId="0" fontId="30" fillId="3" borderId="0" xfId="0" applyFont="1" applyFill="1" applyAlignment="1" applyProtection="1">
      <alignment vertical="top" wrapText="1"/>
      <protection locked="0"/>
    </xf>
    <xf numFmtId="0" fontId="30" fillId="3" borderId="37" xfId="0" applyFont="1" applyFill="1" applyBorder="1" applyAlignment="1" applyProtection="1">
      <alignment vertical="top" wrapText="1"/>
      <protection locked="0"/>
    </xf>
    <xf numFmtId="0" fontId="83" fillId="0" borderId="0" xfId="0" applyFont="1" applyAlignment="1">
      <alignment horizontal="left" vertical="top"/>
    </xf>
    <xf numFmtId="0" fontId="84" fillId="7" borderId="18" xfId="0" applyFont="1" applyFill="1" applyBorder="1" applyAlignment="1">
      <alignment horizontal="left" vertical="top" wrapText="1"/>
    </xf>
    <xf numFmtId="0" fontId="83" fillId="7" borderId="18" xfId="0" applyFont="1" applyFill="1" applyBorder="1" applyAlignment="1">
      <alignment horizontal="left" wrapText="1"/>
    </xf>
    <xf numFmtId="0" fontId="17" fillId="0" borderId="212" xfId="0" applyFont="1" applyBorder="1" applyAlignment="1">
      <alignment horizontal="center" vertical="center" wrapText="1"/>
    </xf>
    <xf numFmtId="0" fontId="55" fillId="0" borderId="212" xfId="0" applyFont="1" applyBorder="1" applyAlignment="1" applyProtection="1">
      <alignment horizontal="center" vertical="center" wrapText="1"/>
      <protection locked="0"/>
    </xf>
    <xf numFmtId="0" fontId="17" fillId="0" borderId="168" xfId="0" applyFont="1" applyBorder="1" applyAlignment="1" applyProtection="1">
      <alignment horizontal="center" vertical="center" wrapText="1"/>
      <protection locked="0"/>
    </xf>
    <xf numFmtId="0" fontId="17" fillId="0" borderId="191" xfId="0" applyFont="1" applyBorder="1" applyAlignment="1" applyProtection="1">
      <alignment horizontal="center" vertical="center" wrapText="1"/>
      <protection locked="0"/>
    </xf>
    <xf numFmtId="0" fontId="17" fillId="0" borderId="191" xfId="0" applyFont="1" applyBorder="1" applyAlignment="1">
      <alignment horizontal="center" vertical="center" wrapText="1"/>
    </xf>
    <xf numFmtId="0" fontId="55" fillId="0" borderId="91" xfId="0" applyFont="1" applyBorder="1" applyAlignment="1" applyProtection="1">
      <alignment horizontal="center" vertical="center" wrapText="1"/>
      <protection locked="0"/>
    </xf>
    <xf numFmtId="0" fontId="17" fillId="0" borderId="91" xfId="0" applyFont="1" applyBorder="1" applyAlignment="1" applyProtection="1">
      <alignment horizontal="center" vertical="center" wrapText="1"/>
      <protection locked="0"/>
    </xf>
    <xf numFmtId="0" fontId="17" fillId="0" borderId="110" xfId="0" applyFont="1" applyBorder="1" applyAlignment="1" applyProtection="1">
      <alignment horizontal="center" vertical="center" wrapText="1"/>
      <protection locked="0"/>
    </xf>
    <xf numFmtId="0" fontId="17" fillId="0" borderId="110" xfId="0" applyFont="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17" fillId="0" borderId="164" xfId="0" applyFont="1" applyBorder="1" applyAlignment="1" applyProtection="1">
      <alignment horizontal="center" vertical="center" wrapText="1"/>
      <protection locked="0"/>
    </xf>
    <xf numFmtId="0" fontId="17" fillId="0" borderId="164" xfId="0" applyFont="1" applyBorder="1" applyAlignment="1">
      <alignment horizontal="center" vertical="center" wrapText="1"/>
    </xf>
    <xf numFmtId="0" fontId="55" fillId="0" borderId="164" xfId="0" applyFont="1" applyBorder="1" applyAlignment="1" applyProtection="1">
      <alignment horizontal="center" vertical="center" wrapText="1"/>
      <protection locked="0"/>
    </xf>
    <xf numFmtId="0" fontId="55" fillId="0" borderId="191" xfId="0" applyFont="1" applyBorder="1" applyAlignment="1" applyProtection="1">
      <alignment horizontal="center" vertical="center" wrapText="1"/>
      <protection locked="0"/>
    </xf>
    <xf numFmtId="0" fontId="8" fillId="0" borderId="198" xfId="0" applyFont="1" applyBorder="1" applyAlignment="1" applyProtection="1">
      <alignment horizontal="left" vertical="top" wrapText="1"/>
      <protection locked="0"/>
    </xf>
    <xf numFmtId="0" fontId="17" fillId="0" borderId="316" xfId="0" applyFont="1" applyBorder="1" applyAlignment="1" applyProtection="1">
      <alignment horizontal="center" vertical="center" wrapText="1"/>
      <protection locked="0"/>
    </xf>
    <xf numFmtId="0" fontId="17" fillId="0" borderId="250" xfId="0" applyFont="1" applyBorder="1" applyAlignment="1" applyProtection="1">
      <alignment horizontal="center" vertical="center" wrapText="1"/>
      <protection locked="0"/>
    </xf>
    <xf numFmtId="0" fontId="17" fillId="0" borderId="169" xfId="0" applyFont="1" applyBorder="1" applyAlignment="1" applyProtection="1">
      <alignment horizontal="center" vertical="center" wrapText="1"/>
      <protection locked="0"/>
    </xf>
    <xf numFmtId="0" fontId="17" fillId="0" borderId="170" xfId="0" applyFont="1" applyBorder="1" applyAlignment="1" applyProtection="1">
      <alignment horizontal="center" vertical="center" wrapText="1"/>
      <protection locked="0"/>
    </xf>
    <xf numFmtId="0" fontId="17" fillId="0" borderId="112" xfId="0" applyFont="1" applyBorder="1" applyAlignment="1" applyProtection="1">
      <alignment horizontal="center" vertical="center" wrapText="1"/>
      <protection locked="0"/>
    </xf>
    <xf numFmtId="0" fontId="39" fillId="0" borderId="250" xfId="0" applyFont="1" applyBorder="1" applyAlignment="1">
      <alignment horizontal="left" vertical="top"/>
    </xf>
    <xf numFmtId="0" fontId="53" fillId="0" borderId="0" xfId="0" applyFont="1" applyAlignment="1">
      <alignment horizontal="left" vertical="center" wrapText="1"/>
    </xf>
    <xf numFmtId="0" fontId="1" fillId="0" borderId="169" xfId="0" applyFont="1" applyBorder="1" applyAlignment="1">
      <alignment horizontal="left" vertical="center" wrapText="1"/>
    </xf>
    <xf numFmtId="0" fontId="1" fillId="0" borderId="170" xfId="0" applyFont="1" applyBorder="1" applyAlignment="1">
      <alignment horizontal="left" vertical="center" wrapText="1"/>
    </xf>
    <xf numFmtId="0" fontId="1" fillId="0" borderId="112" xfId="0" applyFont="1" applyBorder="1" applyAlignment="1">
      <alignment horizontal="left" vertical="center" wrapText="1"/>
    </xf>
    <xf numFmtId="0" fontId="1" fillId="0" borderId="250" xfId="0" applyFont="1" applyBorder="1" applyAlignment="1">
      <alignment horizontal="left" vertical="center" wrapText="1"/>
    </xf>
    <xf numFmtId="0" fontId="17" fillId="0" borderId="64" xfId="0" applyFont="1" applyBorder="1" applyAlignment="1">
      <alignment horizontal="left" vertical="center" wrapText="1"/>
    </xf>
    <xf numFmtId="0" fontId="7" fillId="0" borderId="64" xfId="0" applyFont="1" applyBorder="1" applyAlignment="1">
      <alignment vertical="center"/>
    </xf>
    <xf numFmtId="0" fontId="16" fillId="0" borderId="64" xfId="0" applyFont="1" applyBorder="1" applyAlignment="1">
      <alignment horizontal="left" vertical="center" wrapText="1"/>
    </xf>
    <xf numFmtId="0" fontId="16" fillId="0" borderId="64" xfId="0" applyFont="1" applyBorder="1" applyAlignment="1">
      <alignment horizontal="center" vertical="center" wrapText="1"/>
    </xf>
    <xf numFmtId="0" fontId="54" fillId="0" borderId="64" xfId="0" applyFont="1" applyBorder="1" applyAlignment="1">
      <alignment horizontal="center" vertical="center" wrapText="1"/>
    </xf>
    <xf numFmtId="0" fontId="16" fillId="0" borderId="62" xfId="0" applyFont="1" applyBorder="1" applyAlignment="1">
      <alignment horizontal="left" vertical="center" wrapText="1"/>
    </xf>
    <xf numFmtId="0" fontId="16" fillId="0" borderId="40" xfId="0" applyFont="1" applyBorder="1" applyAlignment="1">
      <alignment horizontal="left" vertical="center" wrapText="1"/>
    </xf>
    <xf numFmtId="0" fontId="16" fillId="0" borderId="63" xfId="0" applyFont="1" applyBorder="1" applyAlignment="1">
      <alignment horizontal="left" vertical="center" wrapText="1"/>
    </xf>
    <xf numFmtId="0" fontId="18" fillId="0" borderId="191" xfId="0" applyFont="1" applyBorder="1" applyAlignment="1">
      <alignment horizontal="center" vertical="center"/>
    </xf>
    <xf numFmtId="0" fontId="41" fillId="0" borderId="457" xfId="0" applyFont="1" applyBorder="1" applyAlignment="1" applyProtection="1">
      <alignment horizontal="left" vertical="top" wrapText="1"/>
      <protection locked="0"/>
    </xf>
    <xf numFmtId="0" fontId="1" fillId="0" borderId="457" xfId="0" applyFont="1" applyBorder="1" applyAlignment="1" applyProtection="1">
      <alignment horizontal="left" vertical="top" wrapText="1"/>
      <protection locked="0"/>
    </xf>
    <xf numFmtId="0" fontId="30" fillId="0" borderId="91" xfId="0" applyFont="1" applyBorder="1" applyAlignment="1" applyProtection="1">
      <alignment horizontal="left" vertical="top" wrapText="1"/>
      <protection locked="0"/>
    </xf>
    <xf numFmtId="0" fontId="30" fillId="0" borderId="70" xfId="0" applyFont="1" applyBorder="1" applyAlignment="1" applyProtection="1">
      <alignment vertical="top" wrapText="1"/>
      <protection locked="0"/>
    </xf>
    <xf numFmtId="0" fontId="17" fillId="0" borderId="0" xfId="3" applyFont="1" applyAlignment="1">
      <alignment horizontal="left" vertical="top" wrapText="1"/>
    </xf>
    <xf numFmtId="0" fontId="8" fillId="3" borderId="168" xfId="3" applyFont="1" applyFill="1" applyBorder="1" applyAlignment="1">
      <alignment horizontal="left" vertical="top" wrapText="1"/>
    </xf>
    <xf numFmtId="0" fontId="1" fillId="3" borderId="175" xfId="3" applyFont="1" applyFill="1" applyBorder="1" applyAlignment="1">
      <alignment horizontal="left" vertical="top" wrapText="1"/>
    </xf>
    <xf numFmtId="0" fontId="1" fillId="3" borderId="42" xfId="0" applyFont="1" applyFill="1" applyBorder="1" applyAlignment="1">
      <alignment horizontal="left" vertical="top" wrapText="1"/>
    </xf>
    <xf numFmtId="0" fontId="1" fillId="3" borderId="113" xfId="3" applyFont="1" applyFill="1" applyBorder="1" applyAlignment="1">
      <alignment horizontal="left" vertical="top" wrapText="1"/>
    </xf>
    <xf numFmtId="0" fontId="8" fillId="3" borderId="70" xfId="3" applyFont="1" applyFill="1" applyBorder="1" applyAlignment="1">
      <alignment horizontal="left" vertical="top" wrapText="1"/>
    </xf>
    <xf numFmtId="0" fontId="8" fillId="3" borderId="72" xfId="0" applyFont="1" applyFill="1" applyBorder="1" applyAlignment="1">
      <alignment vertical="top" wrapText="1"/>
    </xf>
    <xf numFmtId="0" fontId="1" fillId="3" borderId="250" xfId="0" applyFont="1" applyFill="1" applyBorder="1" applyAlignment="1">
      <alignment horizontal="left" vertical="top" wrapText="1"/>
    </xf>
    <xf numFmtId="0" fontId="8" fillId="3" borderId="70" xfId="0" applyFont="1" applyFill="1" applyBorder="1" applyAlignment="1">
      <alignment vertical="top" wrapText="1"/>
    </xf>
    <xf numFmtId="0" fontId="1" fillId="3" borderId="110" xfId="3" applyFont="1" applyFill="1" applyBorder="1" applyAlignment="1">
      <alignment horizontal="left" vertical="top" wrapText="1"/>
    </xf>
    <xf numFmtId="0" fontId="1" fillId="3" borderId="235" xfId="3" applyFont="1" applyFill="1" applyBorder="1" applyAlignment="1">
      <alignment horizontal="left" vertical="top" wrapText="1"/>
    </xf>
    <xf numFmtId="0" fontId="1" fillId="3" borderId="241" xfId="3" applyFont="1" applyFill="1" applyBorder="1" applyAlignment="1">
      <alignment horizontal="left" vertical="top" wrapText="1"/>
    </xf>
    <xf numFmtId="0" fontId="1" fillId="3" borderId="115" xfId="3" applyFont="1" applyFill="1" applyBorder="1" applyAlignment="1">
      <alignment horizontal="left" vertical="top" wrapText="1"/>
    </xf>
    <xf numFmtId="0" fontId="1" fillId="3" borderId="108" xfId="3" applyFont="1" applyFill="1" applyBorder="1" applyAlignment="1">
      <alignment horizontal="left" vertical="top" wrapText="1"/>
    </xf>
    <xf numFmtId="0" fontId="1" fillId="3" borderId="168" xfId="3" applyFont="1" applyFill="1" applyBorder="1" applyAlignment="1">
      <alignment horizontal="left" vertical="top" wrapText="1"/>
    </xf>
    <xf numFmtId="0" fontId="1" fillId="3" borderId="404" xfId="3" applyFont="1" applyFill="1" applyBorder="1" applyAlignment="1">
      <alignment horizontal="left" vertical="top" wrapText="1"/>
    </xf>
    <xf numFmtId="0" fontId="29" fillId="0" borderId="0" xfId="3" applyFont="1" applyAlignment="1" applyProtection="1">
      <alignment horizontal="left" vertical="top"/>
      <protection locked="0"/>
    </xf>
    <xf numFmtId="0" fontId="7" fillId="0" borderId="0" xfId="3" applyAlignment="1" applyProtection="1">
      <alignment horizontal="left" vertical="top"/>
      <protection locked="0"/>
    </xf>
    <xf numFmtId="0" fontId="16" fillId="0" borderId="0" xfId="3" applyFont="1" applyAlignment="1" applyProtection="1">
      <alignment horizontal="left" vertical="top" wrapText="1"/>
      <protection locked="0"/>
    </xf>
    <xf numFmtId="0" fontId="7" fillId="0" borderId="159" xfId="3" applyBorder="1" applyAlignment="1" applyProtection="1">
      <alignment horizontal="left" vertical="top"/>
      <protection locked="0"/>
    </xf>
    <xf numFmtId="0" fontId="29" fillId="0" borderId="159" xfId="3" applyFont="1" applyBorder="1" applyAlignment="1" applyProtection="1">
      <alignment horizontal="left" vertical="top"/>
      <protection locked="0"/>
    </xf>
    <xf numFmtId="0" fontId="1" fillId="3" borderId="240" xfId="0" applyFont="1" applyFill="1" applyBorder="1" applyAlignment="1" applyProtection="1">
      <alignment horizontal="left" vertical="top" wrapText="1"/>
      <protection locked="0"/>
    </xf>
    <xf numFmtId="0" fontId="16" fillId="0" borderId="231" xfId="0" applyFont="1" applyBorder="1" applyAlignment="1" applyProtection="1">
      <alignment horizontal="left" vertical="top" wrapText="1"/>
      <protection locked="0"/>
    </xf>
    <xf numFmtId="0" fontId="3" fillId="0" borderId="169" xfId="3" applyFont="1" applyBorder="1" applyAlignment="1" applyProtection="1">
      <alignment horizontal="left" vertical="top" wrapText="1"/>
      <protection locked="0"/>
    </xf>
    <xf numFmtId="0" fontId="3" fillId="0" borderId="160" xfId="3" applyFont="1" applyBorder="1" applyAlignment="1" applyProtection="1">
      <alignment horizontal="left" vertical="top" wrapText="1"/>
      <protection locked="0"/>
    </xf>
    <xf numFmtId="0" fontId="3" fillId="0" borderId="55" xfId="3" applyFont="1" applyBorder="1" applyAlignment="1" applyProtection="1">
      <alignment horizontal="left" vertical="top" wrapText="1"/>
      <protection locked="0"/>
    </xf>
    <xf numFmtId="0" fontId="7" fillId="0" borderId="110" xfId="3" applyBorder="1" applyAlignment="1" applyProtection="1">
      <alignment horizontal="left" vertical="top"/>
      <protection locked="0"/>
    </xf>
    <xf numFmtId="0" fontId="29" fillId="0" borderId="110" xfId="3" applyFont="1" applyBorder="1" applyAlignment="1" applyProtection="1">
      <alignment horizontal="left" vertical="top"/>
      <protection locked="0"/>
    </xf>
    <xf numFmtId="0" fontId="1" fillId="3" borderId="241" xfId="0" applyFont="1" applyFill="1" applyBorder="1" applyAlignment="1" applyProtection="1">
      <alignment horizontal="left" vertical="top" wrapText="1"/>
      <protection locked="0"/>
    </xf>
    <xf numFmtId="0" fontId="16" fillId="0" borderId="113" xfId="0" applyFont="1" applyBorder="1" applyAlignment="1" applyProtection="1">
      <alignment horizontal="left" vertical="top" wrapText="1"/>
      <protection locked="0"/>
    </xf>
    <xf numFmtId="0" fontId="3" fillId="0" borderId="112" xfId="3" applyFont="1" applyBorder="1" applyAlignment="1" applyProtection="1">
      <alignment horizontal="left" vertical="top" wrapText="1"/>
      <protection locked="0"/>
    </xf>
    <xf numFmtId="0" fontId="3" fillId="0" borderId="162" xfId="3" applyFont="1" applyBorder="1" applyAlignment="1" applyProtection="1">
      <alignment horizontal="left" vertical="top" wrapText="1"/>
      <protection locked="0"/>
    </xf>
    <xf numFmtId="0" fontId="16" fillId="0" borderId="112" xfId="3" applyFont="1" applyBorder="1" applyAlignment="1" applyProtection="1">
      <alignment horizontal="left" vertical="top" wrapText="1"/>
      <protection locked="0"/>
    </xf>
    <xf numFmtId="0" fontId="16" fillId="0" borderId="162" xfId="3" applyFont="1" applyBorder="1" applyAlignment="1" applyProtection="1">
      <alignment horizontal="left" vertical="top" wrapText="1"/>
      <protection locked="0"/>
    </xf>
    <xf numFmtId="0" fontId="1" fillId="3" borderId="383" xfId="0" applyFont="1" applyFill="1" applyBorder="1" applyAlignment="1" applyProtection="1">
      <alignment horizontal="left" vertical="top" wrapText="1"/>
      <protection locked="0"/>
    </xf>
    <xf numFmtId="0" fontId="16" fillId="0" borderId="164" xfId="0" applyFont="1" applyBorder="1" applyAlignment="1" applyProtection="1">
      <alignment horizontal="left" vertical="top" wrapText="1"/>
      <protection locked="0"/>
    </xf>
    <xf numFmtId="0" fontId="16" fillId="0" borderId="198" xfId="0" applyFont="1" applyBorder="1" applyAlignment="1" applyProtection="1">
      <alignment horizontal="left" vertical="top" wrapText="1"/>
      <protection locked="0"/>
    </xf>
    <xf numFmtId="0" fontId="16" fillId="0" borderId="170" xfId="3" applyFont="1" applyBorder="1" applyAlignment="1" applyProtection="1">
      <alignment horizontal="left" vertical="top" wrapText="1"/>
      <protection locked="0"/>
    </xf>
    <xf numFmtId="0" fontId="16" fillId="0" borderId="165" xfId="3" applyFont="1" applyBorder="1" applyAlignment="1" applyProtection="1">
      <alignment horizontal="left" vertical="top" wrapText="1"/>
      <protection locked="0"/>
    </xf>
    <xf numFmtId="0" fontId="8" fillId="0" borderId="159" xfId="3" applyFont="1" applyBorder="1" applyAlignment="1" applyProtection="1">
      <alignment horizontal="left" vertical="top" wrapText="1"/>
      <protection locked="0"/>
    </xf>
    <xf numFmtId="0" fontId="8" fillId="0" borderId="160" xfId="3" applyFont="1" applyBorder="1" applyAlignment="1" applyProtection="1">
      <alignment horizontal="left" vertical="top" wrapText="1"/>
      <protection locked="0"/>
    </xf>
    <xf numFmtId="0" fontId="27" fillId="0" borderId="0" xfId="3" applyFont="1" applyAlignment="1" applyProtection="1">
      <alignment horizontal="left" vertical="top"/>
      <protection locked="0"/>
    </xf>
    <xf numFmtId="0" fontId="27" fillId="6" borderId="0" xfId="3" applyFont="1" applyFill="1" applyAlignment="1" applyProtection="1">
      <alignment horizontal="left" vertical="top"/>
      <protection locked="0"/>
    </xf>
    <xf numFmtId="0" fontId="16" fillId="0" borderId="161" xfId="0" applyFont="1" applyBorder="1" applyAlignment="1" applyProtection="1">
      <alignment horizontal="left" vertical="top" wrapText="1"/>
      <protection locked="0"/>
    </xf>
    <xf numFmtId="0" fontId="3" fillId="0" borderId="110" xfId="3" applyFont="1" applyBorder="1" applyAlignment="1" applyProtection="1">
      <alignment horizontal="left" vertical="top" wrapText="1"/>
      <protection locked="0"/>
    </xf>
    <xf numFmtId="0" fontId="16" fillId="0" borderId="113" xfId="3" applyFont="1" applyBorder="1" applyAlignment="1" applyProtection="1">
      <alignment horizontal="left" vertical="top" wrapText="1"/>
      <protection locked="0"/>
    </xf>
    <xf numFmtId="0" fontId="16" fillId="0" borderId="110" xfId="3" applyFont="1" applyBorder="1" applyAlignment="1" applyProtection="1">
      <alignment horizontal="left" vertical="top" wrapText="1"/>
      <protection locked="0"/>
    </xf>
    <xf numFmtId="0" fontId="16" fillId="0" borderId="164" xfId="3" applyFont="1" applyBorder="1" applyAlignment="1" applyProtection="1">
      <alignment horizontal="left" vertical="top" wrapText="1"/>
      <protection locked="0"/>
    </xf>
    <xf numFmtId="0" fontId="16" fillId="0" borderId="163" xfId="0" applyFont="1" applyBorder="1" applyAlignment="1" applyProtection="1">
      <alignment horizontal="left" vertical="top" wrapText="1"/>
      <protection locked="0"/>
    </xf>
    <xf numFmtId="0" fontId="3" fillId="0" borderId="164" xfId="3" applyFont="1" applyBorder="1" applyAlignment="1" applyProtection="1">
      <alignment horizontal="left" vertical="top" wrapText="1"/>
      <protection locked="0"/>
    </xf>
    <xf numFmtId="0" fontId="3" fillId="0" borderId="165"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16" fillId="0" borderId="107" xfId="0" applyFont="1" applyBorder="1" applyAlignment="1" applyProtection="1">
      <alignment horizontal="left" vertical="top" wrapText="1"/>
      <protection locked="0"/>
    </xf>
    <xf numFmtId="0" fontId="29" fillId="0" borderId="178" xfId="3" applyFont="1" applyBorder="1" applyAlignment="1" applyProtection="1">
      <alignment horizontal="left" vertical="top"/>
      <protection locked="0"/>
    </xf>
    <xf numFmtId="0" fontId="7" fillId="0" borderId="178" xfId="3" applyBorder="1" applyAlignment="1" applyProtection="1">
      <alignment horizontal="left" vertical="top"/>
      <protection locked="0"/>
    </xf>
    <xf numFmtId="0" fontId="41" fillId="0" borderId="173" xfId="0" applyFont="1" applyBorder="1" applyAlignment="1" applyProtection="1">
      <alignment horizontal="left" vertical="top" wrapText="1"/>
      <protection locked="0"/>
    </xf>
    <xf numFmtId="0" fontId="16" fillId="0" borderId="112" xfId="0" applyFont="1" applyBorder="1" applyAlignment="1" applyProtection="1">
      <alignment horizontal="left" vertical="top" wrapText="1"/>
      <protection locked="0"/>
    </xf>
    <xf numFmtId="0" fontId="29" fillId="0" borderId="200" xfId="3" applyFont="1" applyBorder="1" applyAlignment="1" applyProtection="1">
      <alignment horizontal="left" vertical="top"/>
      <protection locked="0"/>
    </xf>
    <xf numFmtId="0" fontId="7" fillId="0" borderId="200" xfId="3" applyBorder="1" applyAlignment="1" applyProtection="1">
      <alignment horizontal="left" vertical="top"/>
      <protection locked="0"/>
    </xf>
    <xf numFmtId="0" fontId="41" fillId="0" borderId="171" xfId="0" applyFont="1" applyBorder="1" applyAlignment="1" applyProtection="1">
      <alignment horizontal="left" vertical="top" wrapText="1"/>
      <protection locked="0"/>
    </xf>
    <xf numFmtId="0" fontId="29" fillId="0" borderId="268" xfId="3" applyFont="1" applyBorder="1" applyAlignment="1" applyProtection="1">
      <alignment horizontal="left" vertical="top"/>
      <protection locked="0"/>
    </xf>
    <xf numFmtId="0" fontId="7" fillId="0" borderId="268" xfId="3" applyBorder="1" applyAlignment="1" applyProtection="1">
      <alignment horizontal="left" vertical="top"/>
      <protection locked="0"/>
    </xf>
    <xf numFmtId="0" fontId="41" fillId="0" borderId="362" xfId="0" applyFont="1" applyBorder="1" applyAlignment="1" applyProtection="1">
      <alignment horizontal="left" vertical="top" wrapText="1"/>
      <protection locked="0"/>
    </xf>
    <xf numFmtId="0" fontId="16" fillId="0" borderId="362" xfId="0" applyFont="1" applyBorder="1" applyAlignment="1" applyProtection="1">
      <alignment horizontal="left" vertical="top" wrapText="1"/>
      <protection locked="0"/>
    </xf>
    <xf numFmtId="0" fontId="16" fillId="0" borderId="382" xfId="0" applyFont="1" applyBorder="1" applyAlignment="1" applyProtection="1">
      <alignment horizontal="left" vertical="top" wrapText="1"/>
      <protection locked="0"/>
    </xf>
    <xf numFmtId="0" fontId="29" fillId="0" borderId="263" xfId="3" applyFont="1" applyBorder="1" applyAlignment="1" applyProtection="1">
      <alignment horizontal="left" vertical="top"/>
      <protection locked="0"/>
    </xf>
    <xf numFmtId="0" fontId="7" fillId="0" borderId="263" xfId="3" applyBorder="1" applyAlignment="1" applyProtection="1">
      <alignment horizontal="left" vertical="top"/>
      <protection locked="0"/>
    </xf>
    <xf numFmtId="0" fontId="16" fillId="0" borderId="395" xfId="0" applyFont="1" applyBorder="1" applyAlignment="1" applyProtection="1">
      <alignment horizontal="left" vertical="top" wrapText="1"/>
      <protection locked="0"/>
    </xf>
    <xf numFmtId="0" fontId="41" fillId="0" borderId="314" xfId="0" applyFont="1" applyBorder="1" applyAlignment="1" applyProtection="1">
      <alignment horizontal="left" vertical="top" wrapText="1"/>
      <protection locked="0"/>
    </xf>
    <xf numFmtId="0" fontId="41" fillId="0" borderId="303" xfId="0" applyFont="1" applyBorder="1" applyAlignment="1" applyProtection="1">
      <alignment horizontal="left" vertical="top" wrapText="1"/>
      <protection locked="0"/>
    </xf>
    <xf numFmtId="0" fontId="41" fillId="0" borderId="96" xfId="0" applyFont="1" applyBorder="1" applyAlignment="1" applyProtection="1">
      <alignment horizontal="left" vertical="top" wrapText="1"/>
      <protection locked="0"/>
    </xf>
    <xf numFmtId="0" fontId="41" fillId="0" borderId="146" xfId="0" applyFont="1" applyBorder="1" applyAlignment="1" applyProtection="1">
      <alignment horizontal="left" vertical="top" wrapText="1"/>
      <protection locked="0"/>
    </xf>
    <xf numFmtId="0" fontId="16" fillId="0" borderId="171" xfId="0" applyFont="1" applyBorder="1" applyAlignment="1" applyProtection="1">
      <alignment horizontal="left" vertical="top" wrapText="1"/>
      <protection locked="0"/>
    </xf>
    <xf numFmtId="0" fontId="29" fillId="0" borderId="226" xfId="3" applyFont="1" applyBorder="1" applyAlignment="1" applyProtection="1">
      <alignment horizontal="left" vertical="top"/>
      <protection locked="0"/>
    </xf>
    <xf numFmtId="0" fontId="7" fillId="0" borderId="226" xfId="3" applyBorder="1" applyAlignment="1" applyProtection="1">
      <alignment horizontal="left" vertical="top"/>
      <protection locked="0"/>
    </xf>
    <xf numFmtId="0" fontId="41" fillId="0" borderId="211" xfId="0" applyFont="1" applyBorder="1" applyAlignment="1" applyProtection="1">
      <alignment horizontal="left" vertical="top" wrapText="1"/>
      <protection locked="0"/>
    </xf>
    <xf numFmtId="0" fontId="41" fillId="0" borderId="343" xfId="0" applyFont="1" applyBorder="1" applyAlignment="1" applyProtection="1">
      <alignment horizontal="left" vertical="top" wrapText="1"/>
      <protection locked="0"/>
    </xf>
    <xf numFmtId="0" fontId="16" fillId="0" borderId="68" xfId="0" applyFont="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30" fillId="0" borderId="276" xfId="3" applyFont="1" applyBorder="1" applyAlignment="1" applyProtection="1">
      <alignment horizontal="left" vertical="top" wrapText="1"/>
      <protection locked="0"/>
    </xf>
    <xf numFmtId="0" fontId="1" fillId="0" borderId="358" xfId="3" applyFont="1" applyBorder="1" applyAlignment="1" applyProtection="1">
      <alignment horizontal="left" vertical="top" wrapText="1"/>
      <protection locked="0"/>
    </xf>
    <xf numFmtId="0" fontId="16" fillId="0" borderId="396" xfId="0" applyFont="1" applyBorder="1" applyAlignment="1" applyProtection="1">
      <alignment horizontal="left" vertical="top" wrapText="1"/>
      <protection locked="0"/>
    </xf>
    <xf numFmtId="0" fontId="7" fillId="0" borderId="271" xfId="3" applyBorder="1" applyAlignment="1" applyProtection="1">
      <alignment horizontal="left" vertical="top"/>
      <protection locked="0"/>
    </xf>
    <xf numFmtId="0" fontId="41" fillId="0" borderId="370" xfId="0" applyFont="1" applyBorder="1" applyAlignment="1" applyProtection="1">
      <alignment horizontal="left" vertical="top" wrapText="1"/>
      <protection locked="0"/>
    </xf>
    <xf numFmtId="0" fontId="16" fillId="0" borderId="371" xfId="0" applyFont="1" applyBorder="1" applyAlignment="1" applyProtection="1">
      <alignment horizontal="left" vertical="top" wrapText="1"/>
      <protection locked="0"/>
    </xf>
    <xf numFmtId="0" fontId="7" fillId="0" borderId="336" xfId="3" applyBorder="1" applyAlignment="1" applyProtection="1">
      <alignment horizontal="left" vertical="top"/>
      <protection locked="0"/>
    </xf>
    <xf numFmtId="0" fontId="41" fillId="0" borderId="375" xfId="0" applyFont="1" applyBorder="1" applyAlignment="1" applyProtection="1">
      <alignment horizontal="left" vertical="top" wrapText="1"/>
      <protection locked="0"/>
    </xf>
    <xf numFmtId="0" fontId="16" fillId="0" borderId="376" xfId="0" applyFont="1" applyBorder="1" applyAlignment="1" applyProtection="1">
      <alignment horizontal="left" vertical="top" wrapText="1"/>
      <protection locked="0"/>
    </xf>
    <xf numFmtId="0" fontId="8" fillId="0" borderId="361" xfId="0" applyFont="1" applyBorder="1" applyAlignment="1" applyProtection="1">
      <alignment horizontal="left" vertical="top" wrapText="1"/>
      <protection locked="0"/>
    </xf>
    <xf numFmtId="0" fontId="8" fillId="0" borderId="363" xfId="0" applyFont="1" applyBorder="1" applyAlignment="1" applyProtection="1">
      <alignment horizontal="left" vertical="top" wrapText="1"/>
      <protection locked="0"/>
    </xf>
    <xf numFmtId="0" fontId="8" fillId="0" borderId="362" xfId="0" applyFont="1" applyBorder="1" applyAlignment="1" applyProtection="1">
      <alignment horizontal="left" vertical="top" wrapText="1"/>
      <protection locked="0"/>
    </xf>
    <xf numFmtId="0" fontId="29" fillId="0" borderId="190" xfId="3" applyFont="1" applyBorder="1" applyAlignment="1" applyProtection="1">
      <alignment horizontal="left" vertical="top"/>
      <protection locked="0"/>
    </xf>
    <xf numFmtId="0" fontId="7" fillId="0" borderId="190" xfId="3" applyBorder="1" applyAlignment="1" applyProtection="1">
      <alignment horizontal="left" vertical="top"/>
      <protection locked="0"/>
    </xf>
    <xf numFmtId="0" fontId="8" fillId="0" borderId="209" xfId="0" applyFont="1" applyBorder="1" applyAlignment="1" applyProtection="1">
      <alignment horizontal="left" vertical="top" wrapText="1"/>
      <protection locked="0"/>
    </xf>
    <xf numFmtId="0" fontId="8" fillId="0" borderId="208" xfId="0" applyFont="1" applyBorder="1" applyAlignment="1" applyProtection="1">
      <alignment horizontal="left" vertical="top" wrapText="1"/>
      <protection locked="0"/>
    </xf>
    <xf numFmtId="0" fontId="29" fillId="0" borderId="199" xfId="3" applyFont="1" applyBorder="1" applyAlignment="1" applyProtection="1">
      <alignment horizontal="left" vertical="top"/>
      <protection locked="0"/>
    </xf>
    <xf numFmtId="0" fontId="7" fillId="0" borderId="199" xfId="3" applyBorder="1" applyAlignment="1" applyProtection="1">
      <alignment horizontal="left" vertical="top"/>
      <protection locked="0"/>
    </xf>
    <xf numFmtId="0" fontId="8" fillId="0" borderId="211" xfId="0" applyFont="1" applyBorder="1" applyAlignment="1" applyProtection="1">
      <alignment horizontal="left" vertical="top" wrapText="1"/>
      <protection locked="0"/>
    </xf>
    <xf numFmtId="0" fontId="29" fillId="0" borderId="164" xfId="3" applyFont="1" applyBorder="1" applyAlignment="1" applyProtection="1">
      <alignment horizontal="left" vertical="top"/>
      <protection locked="0"/>
    </xf>
    <xf numFmtId="0" fontId="7" fillId="0" borderId="164" xfId="3" applyBorder="1" applyAlignment="1" applyProtection="1">
      <alignment horizontal="left" vertical="top"/>
      <protection locked="0"/>
    </xf>
    <xf numFmtId="0" fontId="29" fillId="0" borderId="191" xfId="3" applyFont="1" applyBorder="1" applyAlignment="1" applyProtection="1">
      <alignment horizontal="left" vertical="top"/>
      <protection locked="0"/>
    </xf>
    <xf numFmtId="0" fontId="7" fillId="0" borderId="191" xfId="3" applyBorder="1" applyAlignment="1" applyProtection="1">
      <alignment horizontal="left" vertical="top"/>
      <protection locked="0"/>
    </xf>
    <xf numFmtId="0" fontId="29" fillId="0" borderId="115" xfId="3" applyFont="1" applyBorder="1" applyAlignment="1" applyProtection="1">
      <alignment horizontal="left" vertical="top"/>
      <protection locked="0"/>
    </xf>
    <xf numFmtId="0" fontId="7" fillId="0" borderId="115" xfId="3" applyBorder="1" applyAlignment="1" applyProtection="1">
      <alignment horizontal="left" vertical="top"/>
      <protection locked="0"/>
    </xf>
    <xf numFmtId="0" fontId="8" fillId="0" borderId="171" xfId="0" applyFont="1" applyBorder="1" applyAlignment="1" applyProtection="1">
      <alignment horizontal="left" vertical="top" wrapText="1"/>
      <protection locked="0"/>
    </xf>
    <xf numFmtId="0" fontId="18" fillId="0" borderId="43" xfId="3" applyFont="1" applyBorder="1" applyAlignment="1" applyProtection="1">
      <alignment horizontal="left" vertical="top"/>
      <protection locked="0"/>
    </xf>
    <xf numFmtId="49" fontId="18" fillId="0" borderId="44" xfId="3" applyNumberFormat="1" applyFont="1" applyBorder="1" applyAlignment="1" applyProtection="1">
      <alignment horizontal="left" vertical="top" wrapText="1"/>
      <protection locked="0"/>
    </xf>
    <xf numFmtId="0" fontId="18" fillId="0" borderId="32" xfId="3" applyFont="1" applyBorder="1" applyAlignment="1" applyProtection="1">
      <alignment horizontal="left" vertical="top"/>
      <protection locked="0"/>
    </xf>
    <xf numFmtId="49" fontId="18" fillId="0" borderId="26" xfId="3" applyNumberFormat="1" applyFont="1" applyBorder="1" applyAlignment="1" applyProtection="1">
      <alignment horizontal="left" vertical="top" wrapText="1"/>
      <protection locked="0"/>
    </xf>
    <xf numFmtId="0" fontId="18" fillId="0" borderId="34" xfId="3" applyFont="1" applyBorder="1" applyAlignment="1" applyProtection="1">
      <alignment horizontal="left" vertical="top"/>
      <protection locked="0"/>
    </xf>
    <xf numFmtId="49" fontId="29" fillId="0" borderId="0" xfId="3" applyNumberFormat="1" applyFont="1" applyAlignment="1" applyProtection="1">
      <alignment horizontal="left" vertical="top" wrapText="1"/>
      <protection locked="0"/>
    </xf>
    <xf numFmtId="0" fontId="14" fillId="0" borderId="32" xfId="3" applyFont="1" applyBorder="1" applyAlignment="1" applyProtection="1">
      <alignment horizontal="left" vertical="top" wrapText="1"/>
      <protection locked="0"/>
    </xf>
    <xf numFmtId="0" fontId="14" fillId="5" borderId="26" xfId="3" applyFont="1" applyFill="1" applyBorder="1" applyAlignment="1" applyProtection="1">
      <alignment horizontal="left" vertical="top" wrapText="1"/>
      <protection locked="0"/>
    </xf>
    <xf numFmtId="0" fontId="14" fillId="0" borderId="26" xfId="3" applyFont="1" applyBorder="1" applyAlignment="1" applyProtection="1">
      <alignment horizontal="left" vertical="top" wrapText="1"/>
      <protection locked="0"/>
    </xf>
    <xf numFmtId="0" fontId="14" fillId="5" borderId="50" xfId="3" applyFont="1" applyFill="1" applyBorder="1" applyAlignment="1" applyProtection="1">
      <alignment horizontal="left" vertical="top" wrapText="1"/>
      <protection locked="0"/>
    </xf>
    <xf numFmtId="0" fontId="29" fillId="5" borderId="52" xfId="3" applyFont="1" applyFill="1" applyBorder="1" applyAlignment="1" applyProtection="1">
      <alignment horizontal="left" vertical="top" wrapText="1"/>
      <protection locked="0"/>
    </xf>
    <xf numFmtId="0" fontId="29" fillId="5" borderId="47" xfId="3" applyFont="1" applyFill="1" applyBorder="1" applyAlignment="1" applyProtection="1">
      <alignment horizontal="left" vertical="top" wrapText="1"/>
      <protection locked="0"/>
    </xf>
    <xf numFmtId="0" fontId="29" fillId="5" borderId="26" xfId="3" applyFont="1" applyFill="1" applyBorder="1" applyAlignment="1" applyProtection="1">
      <alignment horizontal="left" vertical="top" wrapText="1"/>
      <protection locked="0"/>
    </xf>
    <xf numFmtId="0" fontId="29" fillId="5" borderId="50" xfId="3" applyFont="1" applyFill="1" applyBorder="1" applyAlignment="1" applyProtection="1">
      <alignment horizontal="left" vertical="top" wrapText="1"/>
      <protection locked="0"/>
    </xf>
    <xf numFmtId="0" fontId="29" fillId="5" borderId="55" xfId="3" applyFont="1" applyFill="1" applyBorder="1" applyAlignment="1" applyProtection="1">
      <alignment horizontal="left" vertical="top" wrapText="1"/>
      <protection locked="0"/>
    </xf>
    <xf numFmtId="0" fontId="29" fillId="5" borderId="33" xfId="3" applyFont="1" applyFill="1" applyBorder="1" applyAlignment="1" applyProtection="1">
      <alignment horizontal="left" vertical="top" wrapText="1"/>
      <protection locked="0"/>
    </xf>
    <xf numFmtId="0" fontId="29" fillId="0" borderId="0" xfId="3" applyFont="1" applyAlignment="1" applyProtection="1">
      <alignment horizontal="left" vertical="top" wrapText="1"/>
      <protection locked="0"/>
    </xf>
    <xf numFmtId="0" fontId="29" fillId="0" borderId="32" xfId="3" applyFont="1" applyBorder="1" applyAlignment="1" applyProtection="1">
      <alignment horizontal="left" vertical="top" wrapText="1"/>
      <protection locked="0"/>
    </xf>
    <xf numFmtId="0" fontId="29" fillId="0" borderId="26" xfId="3" applyFont="1" applyBorder="1" applyAlignment="1" applyProtection="1">
      <alignment horizontal="left" vertical="top" wrapText="1"/>
      <protection locked="0"/>
    </xf>
    <xf numFmtId="0" fontId="29" fillId="0" borderId="50" xfId="3" applyFont="1" applyBorder="1" applyAlignment="1" applyProtection="1">
      <alignment horizontal="left" vertical="top" wrapText="1"/>
      <protection locked="0"/>
    </xf>
    <xf numFmtId="0" fontId="29" fillId="0" borderId="52" xfId="3" applyFont="1" applyBorder="1" applyAlignment="1" applyProtection="1">
      <alignment horizontal="left" vertical="top" wrapText="1"/>
      <protection locked="0"/>
    </xf>
    <xf numFmtId="0" fontId="29" fillId="0" borderId="47" xfId="3" applyFont="1" applyBorder="1" applyAlignment="1" applyProtection="1">
      <alignment horizontal="left" vertical="top" wrapText="1"/>
      <protection locked="0"/>
    </xf>
    <xf numFmtId="0" fontId="29" fillId="0" borderId="55" xfId="3" applyFont="1" applyBorder="1" applyAlignment="1" applyProtection="1">
      <alignment horizontal="left" vertical="top" wrapText="1"/>
      <protection locked="0"/>
    </xf>
    <xf numFmtId="0" fontId="29" fillId="0" borderId="33" xfId="3" applyFont="1" applyBorder="1" applyAlignment="1" applyProtection="1">
      <alignment horizontal="left" vertical="top" wrapText="1"/>
      <protection locked="0"/>
    </xf>
    <xf numFmtId="0" fontId="29" fillId="0" borderId="32" xfId="3" applyFont="1" applyBorder="1" applyAlignment="1" applyProtection="1">
      <alignment horizontal="left" vertical="top"/>
      <protection locked="0"/>
    </xf>
    <xf numFmtId="49" fontId="29" fillId="2" borderId="26" xfId="3" applyNumberFormat="1" applyFont="1" applyFill="1" applyBorder="1" applyAlignment="1" applyProtection="1">
      <alignment horizontal="left" vertical="top" wrapText="1"/>
      <protection locked="0"/>
    </xf>
    <xf numFmtId="0" fontId="29" fillId="0" borderId="26" xfId="3" applyFont="1" applyBorder="1" applyAlignment="1" applyProtection="1">
      <alignment horizontal="left" vertical="top"/>
      <protection locked="0"/>
    </xf>
    <xf numFmtId="0" fontId="29" fillId="2" borderId="50" xfId="3" applyFont="1" applyFill="1" applyBorder="1" applyAlignment="1" applyProtection="1">
      <alignment horizontal="left" vertical="top"/>
      <protection locked="0"/>
    </xf>
    <xf numFmtId="0" fontId="29" fillId="2" borderId="52" xfId="3" applyFont="1" applyFill="1" applyBorder="1" applyAlignment="1" applyProtection="1">
      <alignment horizontal="left" vertical="top"/>
      <protection locked="0"/>
    </xf>
    <xf numFmtId="0" fontId="29" fillId="2" borderId="47" xfId="3" applyFont="1" applyFill="1" applyBorder="1" applyAlignment="1" applyProtection="1">
      <alignment horizontal="left" vertical="top"/>
      <protection locked="0"/>
    </xf>
    <xf numFmtId="0" fontId="29" fillId="2" borderId="26" xfId="3" applyFont="1" applyFill="1" applyBorder="1" applyAlignment="1" applyProtection="1">
      <alignment horizontal="left" vertical="top"/>
      <protection locked="0"/>
    </xf>
    <xf numFmtId="0" fontId="29" fillId="2" borderId="55" xfId="3" applyFont="1" applyFill="1" applyBorder="1" applyAlignment="1" applyProtection="1">
      <alignment horizontal="left" vertical="top"/>
      <protection locked="0"/>
    </xf>
    <xf numFmtId="0" fontId="29" fillId="2" borderId="33" xfId="3" applyFont="1" applyFill="1" applyBorder="1" applyAlignment="1" applyProtection="1">
      <alignment horizontal="left" vertical="top"/>
      <protection locked="0"/>
    </xf>
    <xf numFmtId="49" fontId="29" fillId="0" borderId="26" xfId="3" applyNumberFormat="1" applyFont="1" applyBorder="1" applyAlignment="1" applyProtection="1">
      <alignment horizontal="left" vertical="top" wrapText="1"/>
      <protection locked="0"/>
    </xf>
    <xf numFmtId="0" fontId="29" fillId="0" borderId="50" xfId="3" applyFont="1" applyBorder="1" applyAlignment="1" applyProtection="1">
      <alignment horizontal="left" vertical="top"/>
      <protection locked="0"/>
    </xf>
    <xf numFmtId="0" fontId="30" fillId="3" borderId="52" xfId="3" applyFont="1" applyFill="1" applyBorder="1" applyAlignment="1" applyProtection="1">
      <alignment horizontal="left" vertical="top" wrapText="1"/>
      <protection locked="0"/>
    </xf>
    <xf numFmtId="0" fontId="29" fillId="0" borderId="47" xfId="3" applyFont="1" applyBorder="1" applyAlignment="1" applyProtection="1">
      <alignment horizontal="left" vertical="top"/>
      <protection locked="0"/>
    </xf>
    <xf numFmtId="0" fontId="29" fillId="0" borderId="55" xfId="3" applyFont="1" applyBorder="1" applyAlignment="1" applyProtection="1">
      <alignment horizontal="left" vertical="top"/>
      <protection locked="0"/>
    </xf>
    <xf numFmtId="0" fontId="29" fillId="0" borderId="33" xfId="3" applyFont="1" applyBorder="1" applyAlignment="1" applyProtection="1">
      <alignment horizontal="left" vertical="top"/>
      <protection locked="0"/>
    </xf>
    <xf numFmtId="0" fontId="29" fillId="0" borderId="52" xfId="3" applyFont="1" applyBorder="1" applyAlignment="1" applyProtection="1">
      <alignment horizontal="left" vertical="top"/>
      <protection locked="0"/>
    </xf>
    <xf numFmtId="0" fontId="29" fillId="0" borderId="34" xfId="3" applyFont="1" applyBorder="1" applyAlignment="1" applyProtection="1">
      <alignment horizontal="left" vertical="top"/>
      <protection locked="0"/>
    </xf>
    <xf numFmtId="49" fontId="29" fillId="0" borderId="35" xfId="3" applyNumberFormat="1" applyFont="1" applyBorder="1" applyAlignment="1" applyProtection="1">
      <alignment horizontal="left" vertical="top" wrapText="1"/>
      <protection locked="0"/>
    </xf>
    <xf numFmtId="0" fontId="29" fillId="0" borderId="35" xfId="3" applyFont="1" applyBorder="1" applyAlignment="1" applyProtection="1">
      <alignment horizontal="left" vertical="top"/>
      <protection locked="0"/>
    </xf>
    <xf numFmtId="0" fontId="29" fillId="0" borderId="51" xfId="3" applyFont="1" applyBorder="1" applyAlignment="1" applyProtection="1">
      <alignment horizontal="left" vertical="top"/>
      <protection locked="0"/>
    </xf>
    <xf numFmtId="0" fontId="30" fillId="3" borderId="53" xfId="3" applyFont="1" applyFill="1" applyBorder="1" applyAlignment="1" applyProtection="1">
      <alignment horizontal="left" vertical="top" wrapText="1"/>
      <protection locked="0"/>
    </xf>
    <xf numFmtId="0" fontId="29" fillId="0" borderId="48" xfId="3" applyFont="1" applyBorder="1" applyAlignment="1" applyProtection="1">
      <alignment horizontal="left" vertical="top"/>
      <protection locked="0"/>
    </xf>
    <xf numFmtId="0" fontId="29" fillId="0" borderId="56" xfId="3" applyFont="1" applyBorder="1" applyAlignment="1" applyProtection="1">
      <alignment horizontal="left" vertical="top"/>
      <protection locked="0"/>
    </xf>
    <xf numFmtId="0" fontId="29" fillId="0" borderId="36" xfId="3" applyFont="1" applyBorder="1" applyAlignment="1" applyProtection="1">
      <alignment horizontal="left" vertical="top"/>
      <protection locked="0"/>
    </xf>
    <xf numFmtId="0" fontId="1" fillId="12" borderId="305" xfId="3" applyFont="1" applyFill="1" applyBorder="1" applyAlignment="1">
      <alignment horizontal="left" vertical="top" wrapText="1"/>
    </xf>
    <xf numFmtId="0" fontId="1" fillId="12" borderId="303" xfId="3" applyFont="1" applyFill="1" applyBorder="1" applyAlignment="1">
      <alignment horizontal="left" vertical="top" wrapText="1"/>
    </xf>
    <xf numFmtId="0" fontId="8" fillId="12" borderId="322" xfId="3" applyFont="1" applyFill="1" applyBorder="1" applyAlignment="1">
      <alignment horizontal="left" vertical="top" wrapText="1"/>
    </xf>
    <xf numFmtId="0" fontId="1" fillId="12" borderId="318" xfId="3" applyFont="1" applyFill="1" applyBorder="1" applyAlignment="1">
      <alignment horizontal="left" vertical="top" wrapText="1"/>
    </xf>
    <xf numFmtId="0" fontId="1" fillId="12" borderId="401" xfId="3" applyFont="1" applyFill="1" applyBorder="1" applyAlignment="1">
      <alignment horizontal="left" vertical="top" wrapText="1"/>
    </xf>
    <xf numFmtId="0" fontId="1" fillId="12" borderId="397" xfId="3" applyFont="1" applyFill="1" applyBorder="1" applyAlignment="1">
      <alignment horizontal="left" vertical="top" wrapText="1"/>
    </xf>
    <xf numFmtId="0" fontId="8" fillId="12" borderId="324" xfId="3" applyFont="1" applyFill="1" applyBorder="1" applyAlignment="1">
      <alignment horizontal="left" vertical="top" wrapText="1"/>
    </xf>
    <xf numFmtId="0" fontId="1" fillId="12" borderId="154" xfId="3" applyFont="1" applyFill="1" applyBorder="1" applyAlignment="1">
      <alignment horizontal="left" vertical="top" wrapText="1"/>
    </xf>
    <xf numFmtId="0" fontId="1" fillId="12" borderId="159" xfId="3" applyFont="1" applyFill="1" applyBorder="1" applyAlignment="1">
      <alignment horizontal="left" vertical="top" wrapText="1"/>
    </xf>
    <xf numFmtId="0" fontId="8" fillId="12" borderId="191" xfId="3" applyFont="1" applyFill="1" applyBorder="1" applyAlignment="1">
      <alignment horizontal="left" vertical="top" wrapText="1"/>
    </xf>
    <xf numFmtId="0" fontId="14" fillId="12" borderId="191" xfId="3" applyFont="1" applyFill="1" applyBorder="1" applyAlignment="1">
      <alignment horizontal="left" vertical="top" wrapText="1"/>
    </xf>
    <xf numFmtId="0" fontId="1" fillId="12" borderId="179" xfId="3" applyFont="1" applyFill="1" applyBorder="1" applyAlignment="1">
      <alignment horizontal="left" vertical="top" wrapText="1"/>
    </xf>
    <xf numFmtId="0" fontId="30" fillId="12" borderId="179" xfId="3" applyFont="1" applyFill="1" applyBorder="1" applyAlignment="1">
      <alignment horizontal="left" vertical="top" wrapText="1"/>
    </xf>
    <xf numFmtId="0" fontId="8" fillId="12" borderId="222" xfId="3" applyFont="1" applyFill="1" applyBorder="1" applyAlignment="1">
      <alignment horizontal="left" vertical="top" wrapText="1"/>
    </xf>
    <xf numFmtId="0" fontId="14" fillId="12" borderId="222" xfId="3" applyFont="1" applyFill="1" applyBorder="1" applyAlignment="1">
      <alignment horizontal="left" vertical="top" wrapText="1"/>
    </xf>
    <xf numFmtId="0" fontId="8" fillId="12" borderId="302" xfId="3" applyFont="1" applyFill="1" applyBorder="1" applyAlignment="1">
      <alignment horizontal="left" vertical="top" wrapText="1"/>
    </xf>
    <xf numFmtId="0" fontId="1" fillId="3" borderId="244" xfId="3" applyFont="1" applyFill="1" applyBorder="1" applyAlignment="1">
      <alignment horizontal="left" vertical="top" wrapText="1"/>
    </xf>
    <xf numFmtId="0" fontId="1" fillId="0" borderId="159" xfId="3" applyFont="1" applyBorder="1" applyAlignment="1">
      <alignment horizontal="left" vertical="top" wrapText="1"/>
    </xf>
    <xf numFmtId="0" fontId="29" fillId="0" borderId="159" xfId="3" applyFont="1" applyBorder="1" applyAlignment="1">
      <alignment horizontal="left" vertical="top"/>
    </xf>
    <xf numFmtId="0" fontId="7" fillId="0" borderId="159" xfId="3" applyBorder="1" applyAlignment="1">
      <alignment horizontal="left" vertical="top"/>
    </xf>
    <xf numFmtId="0" fontId="30" fillId="12" borderId="159" xfId="3" applyFont="1" applyFill="1" applyBorder="1" applyAlignment="1">
      <alignment horizontal="left" vertical="top" wrapText="1"/>
    </xf>
    <xf numFmtId="0" fontId="8" fillId="3" borderId="122" xfId="0" applyFont="1" applyFill="1" applyBorder="1" applyAlignment="1">
      <alignment vertical="top" wrapText="1"/>
    </xf>
    <xf numFmtId="0" fontId="8" fillId="3" borderId="204" xfId="3" applyFont="1" applyFill="1" applyBorder="1" applyAlignment="1">
      <alignment horizontal="left" vertical="top" wrapText="1"/>
    </xf>
    <xf numFmtId="0" fontId="1" fillId="12" borderId="68" xfId="3" applyFont="1" applyFill="1" applyBorder="1" applyAlignment="1">
      <alignment horizontal="left" vertical="top" wrapText="1"/>
    </xf>
    <xf numFmtId="0" fontId="8" fillId="3" borderId="174" xfId="3" applyFont="1" applyFill="1" applyBorder="1" applyAlignment="1">
      <alignment horizontal="left" vertical="top" wrapText="1"/>
    </xf>
    <xf numFmtId="0" fontId="8" fillId="3" borderId="110" xfId="3" applyFont="1" applyFill="1" applyBorder="1" applyAlignment="1">
      <alignment horizontal="left" vertical="top" wrapText="1"/>
    </xf>
    <xf numFmtId="0" fontId="1" fillId="12" borderId="96" xfId="3" applyFont="1" applyFill="1" applyBorder="1" applyAlignment="1">
      <alignment horizontal="left" vertical="top" wrapText="1"/>
    </xf>
    <xf numFmtId="0" fontId="8" fillId="0" borderId="250" xfId="3" applyFont="1" applyBorder="1" applyAlignment="1">
      <alignment horizontal="left" vertical="top" wrapText="1"/>
    </xf>
    <xf numFmtId="0" fontId="8" fillId="0" borderId="191" xfId="3" applyFont="1" applyBorder="1" applyAlignment="1">
      <alignment horizontal="left" vertical="top" wrapText="1"/>
    </xf>
    <xf numFmtId="0" fontId="33" fillId="0" borderId="191" xfId="3" applyFont="1" applyBorder="1" applyAlignment="1">
      <alignment horizontal="left" vertical="top"/>
    </xf>
    <xf numFmtId="0" fontId="13" fillId="0" borderId="191" xfId="3" applyFont="1" applyBorder="1" applyAlignment="1">
      <alignment horizontal="left" vertical="top"/>
    </xf>
    <xf numFmtId="0" fontId="41" fillId="0" borderId="316" xfId="0" applyFont="1" applyBorder="1" applyAlignment="1" applyProtection="1">
      <alignment horizontal="left" vertical="top" wrapText="1"/>
      <protection locked="0"/>
    </xf>
    <xf numFmtId="0" fontId="41" fillId="0" borderId="208" xfId="0" applyFont="1" applyBorder="1" applyAlignment="1" applyProtection="1">
      <alignment horizontal="left" vertical="top" wrapText="1"/>
      <protection locked="0"/>
    </xf>
    <xf numFmtId="0" fontId="30" fillId="0" borderId="74" xfId="0" applyFont="1" applyBorder="1" applyAlignment="1" applyProtection="1">
      <alignment vertical="top" wrapText="1"/>
      <protection locked="0"/>
    </xf>
    <xf numFmtId="0" fontId="30" fillId="0" borderId="103" xfId="0" applyFont="1" applyBorder="1" applyAlignment="1" applyProtection="1">
      <alignment vertical="top" wrapText="1"/>
      <protection locked="0"/>
    </xf>
    <xf numFmtId="0" fontId="16" fillId="0" borderId="316" xfId="0" applyFont="1" applyBorder="1" applyAlignment="1">
      <alignment horizontal="left" vertical="top" wrapText="1"/>
    </xf>
    <xf numFmtId="0" fontId="1" fillId="0" borderId="422" xfId="0" applyFont="1" applyBorder="1" applyAlignment="1" applyProtection="1">
      <alignment horizontal="left" vertical="top" wrapText="1"/>
      <protection locked="0"/>
    </xf>
    <xf numFmtId="0" fontId="8" fillId="0" borderId="316" xfId="0" applyFont="1" applyBorder="1" applyAlignment="1">
      <alignment horizontal="left" vertical="top" wrapText="1"/>
    </xf>
    <xf numFmtId="0" fontId="30" fillId="3" borderId="310" xfId="0" applyFont="1" applyFill="1" applyBorder="1" applyAlignment="1" applyProtection="1">
      <alignment vertical="top" wrapText="1"/>
      <protection locked="0"/>
    </xf>
    <xf numFmtId="0" fontId="1" fillId="0" borderId="122" xfId="0" applyFont="1" applyBorder="1" applyAlignment="1" applyProtection="1">
      <alignment horizontal="left" vertical="top" wrapText="1"/>
      <protection locked="0"/>
    </xf>
    <xf numFmtId="0" fontId="1" fillId="12" borderId="247" xfId="3" applyFont="1" applyFill="1" applyBorder="1" applyAlignment="1">
      <alignment horizontal="left" vertical="top" wrapText="1"/>
    </xf>
    <xf numFmtId="0" fontId="18"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22" fillId="0" borderId="0" xfId="0" applyFont="1" applyAlignment="1" applyProtection="1">
      <alignment horizontal="left" vertical="top"/>
      <protection locked="0"/>
    </xf>
    <xf numFmtId="0" fontId="18"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38" fillId="0" borderId="168" xfId="0" applyFont="1" applyBorder="1" applyAlignment="1" applyProtection="1">
      <alignment horizontal="left" vertical="top" wrapText="1"/>
      <protection locked="0"/>
    </xf>
    <xf numFmtId="0" fontId="38" fillId="0" borderId="191" xfId="0" applyFont="1" applyBorder="1" applyAlignment="1" applyProtection="1">
      <alignment horizontal="left" vertical="top" wrapText="1"/>
      <protection locked="0"/>
    </xf>
    <xf numFmtId="0" fontId="58" fillId="0" borderId="0" xfId="0" applyFont="1" applyAlignment="1" applyProtection="1">
      <alignment horizontal="left" vertical="top"/>
      <protection locked="0"/>
    </xf>
    <xf numFmtId="0" fontId="18" fillId="7" borderId="54" xfId="0" applyFont="1" applyFill="1" applyBorder="1" applyAlignment="1" applyProtection="1">
      <alignment horizontal="left" vertical="top" wrapText="1"/>
      <protection locked="0"/>
    </xf>
    <xf numFmtId="0" fontId="16" fillId="0" borderId="64" xfId="0" applyFont="1" applyBorder="1" applyAlignment="1" applyProtection="1">
      <alignment horizontal="left" vertical="top" wrapText="1"/>
      <protection locked="0"/>
    </xf>
    <xf numFmtId="0" fontId="7" fillId="0" borderId="0" xfId="0" applyFont="1" applyAlignment="1" applyProtection="1">
      <alignment horizontal="left" vertical="top"/>
      <protection locked="0"/>
    </xf>
    <xf numFmtId="0" fontId="18" fillId="0" borderId="159" xfId="0" applyFont="1" applyBorder="1" applyAlignment="1" applyProtection="1">
      <alignment horizontal="left" vertical="top"/>
      <protection locked="0"/>
    </xf>
    <xf numFmtId="0" fontId="7" fillId="0" borderId="159" xfId="0" applyFont="1" applyBorder="1" applyAlignment="1" applyProtection="1">
      <alignment horizontal="left" vertical="top"/>
      <protection locked="0"/>
    </xf>
    <xf numFmtId="0" fontId="22" fillId="0" borderId="159" xfId="0" applyFont="1" applyBorder="1" applyAlignment="1" applyProtection="1">
      <alignment horizontal="left" vertical="top"/>
      <protection locked="0"/>
    </xf>
    <xf numFmtId="0" fontId="16" fillId="0" borderId="160" xfId="0" applyFont="1" applyBorder="1" applyAlignment="1" applyProtection="1">
      <alignment horizontal="left" vertical="top" wrapText="1"/>
      <protection locked="0"/>
    </xf>
    <xf numFmtId="0" fontId="16" fillId="0" borderId="276" xfId="0" applyFont="1" applyBorder="1" applyAlignment="1" applyProtection="1">
      <alignment horizontal="left" vertical="top" wrapText="1"/>
      <protection locked="0"/>
    </xf>
    <xf numFmtId="0" fontId="3" fillId="0" borderId="276" xfId="0" applyFont="1" applyBorder="1" applyAlignment="1" applyProtection="1">
      <alignment horizontal="left" vertical="top" wrapText="1"/>
      <protection locked="0"/>
    </xf>
    <xf numFmtId="0" fontId="3" fillId="0" borderId="277" xfId="0" applyFont="1" applyBorder="1" applyAlignment="1" applyProtection="1">
      <alignment horizontal="left" vertical="top" wrapText="1"/>
      <protection locked="0"/>
    </xf>
    <xf numFmtId="0" fontId="3" fillId="0" borderId="55" xfId="0" applyFont="1" applyBorder="1" applyAlignment="1" applyProtection="1">
      <alignment horizontal="left" vertical="top" wrapText="1"/>
      <protection locked="0"/>
    </xf>
    <xf numFmtId="0" fontId="18" fillId="0" borderId="110" xfId="0" applyFont="1" applyBorder="1" applyAlignment="1" applyProtection="1">
      <alignment horizontal="left" vertical="top"/>
      <protection locked="0"/>
    </xf>
    <xf numFmtId="0" fontId="7" fillId="0" borderId="110" xfId="0" applyFont="1" applyBorder="1" applyAlignment="1" applyProtection="1">
      <alignment horizontal="left" vertical="top"/>
      <protection locked="0"/>
    </xf>
    <xf numFmtId="0" fontId="22" fillId="0" borderId="110" xfId="0" applyFont="1" applyBorder="1" applyAlignment="1" applyProtection="1">
      <alignment horizontal="left" vertical="top"/>
      <protection locked="0"/>
    </xf>
    <xf numFmtId="0" fontId="16" fillId="0" borderId="162" xfId="0" applyFont="1" applyBorder="1" applyAlignment="1" applyProtection="1">
      <alignment horizontal="left" vertical="top" wrapText="1"/>
      <protection locked="0"/>
    </xf>
    <xf numFmtId="0" fontId="16" fillId="0" borderId="178" xfId="0" applyFont="1" applyBorder="1" applyAlignment="1" applyProtection="1">
      <alignment horizontal="left" vertical="top" wrapText="1"/>
      <protection locked="0"/>
    </xf>
    <xf numFmtId="0" fontId="3" fillId="0" borderId="178" xfId="0" applyFont="1" applyBorder="1" applyAlignment="1" applyProtection="1">
      <alignment horizontal="left" vertical="top" wrapText="1"/>
      <protection locked="0"/>
    </xf>
    <xf numFmtId="0" fontId="3" fillId="0" borderId="180" xfId="0" applyFont="1" applyBorder="1" applyAlignment="1" applyProtection="1">
      <alignment horizontal="left" vertical="top" wrapText="1"/>
      <protection locked="0"/>
    </xf>
    <xf numFmtId="0" fontId="16" fillId="0" borderId="180" xfId="0" applyFont="1" applyBorder="1" applyAlignment="1" applyProtection="1">
      <alignment horizontal="left" vertical="top" wrapText="1"/>
      <protection locked="0"/>
    </xf>
    <xf numFmtId="0" fontId="16" fillId="0" borderId="165" xfId="0" applyFont="1" applyBorder="1" applyAlignment="1" applyProtection="1">
      <alignment horizontal="left" vertical="top" wrapText="1"/>
      <protection locked="0"/>
    </xf>
    <xf numFmtId="0" fontId="16" fillId="0" borderId="238" xfId="0" applyFont="1" applyBorder="1" applyAlignment="1" applyProtection="1">
      <alignment horizontal="left" vertical="top" wrapText="1"/>
      <protection locked="0"/>
    </xf>
    <xf numFmtId="0" fontId="16" fillId="0" borderId="266" xfId="0" applyFont="1" applyBorder="1" applyAlignment="1" applyProtection="1">
      <alignment horizontal="left" vertical="top" wrapText="1"/>
      <protection locked="0"/>
    </xf>
    <xf numFmtId="0" fontId="27" fillId="0" borderId="0" xfId="0" applyFont="1" applyAlignment="1" applyProtection="1">
      <alignment horizontal="left" vertical="top"/>
      <protection locked="0"/>
    </xf>
    <xf numFmtId="0" fontId="0" fillId="0" borderId="23" xfId="0" applyBorder="1" applyAlignment="1" applyProtection="1">
      <alignment horizontal="left" vertical="top"/>
      <protection locked="0"/>
    </xf>
    <xf numFmtId="0" fontId="3" fillId="0" borderId="191" xfId="0" applyFont="1" applyBorder="1" applyAlignment="1" applyProtection="1">
      <alignment horizontal="left" vertical="top" wrapText="1"/>
      <protection locked="0"/>
    </xf>
    <xf numFmtId="0" fontId="3" fillId="0" borderId="192" xfId="0" applyFont="1" applyBorder="1" applyAlignment="1" applyProtection="1">
      <alignment horizontal="left" vertical="top" wrapText="1"/>
      <protection locked="0"/>
    </xf>
    <xf numFmtId="0" fontId="7" fillId="6" borderId="0" xfId="0" applyFont="1" applyFill="1" applyAlignment="1" applyProtection="1">
      <alignment horizontal="left" vertical="top"/>
      <protection locked="0"/>
    </xf>
    <xf numFmtId="49" fontId="18" fillId="0" borderId="0" xfId="0" applyNumberFormat="1" applyFont="1" applyAlignment="1" applyProtection="1">
      <alignment horizontal="left" vertical="top" wrapText="1"/>
      <protection locked="0"/>
    </xf>
    <xf numFmtId="0" fontId="0" fillId="0" borderId="108" xfId="0" applyBorder="1" applyAlignment="1" applyProtection="1">
      <alignment horizontal="left" vertical="top"/>
      <protection locked="0"/>
    </xf>
    <xf numFmtId="0" fontId="3" fillId="0" borderId="108" xfId="0" applyFont="1" applyBorder="1" applyAlignment="1" applyProtection="1">
      <alignment horizontal="left" vertical="top" wrapText="1"/>
      <protection locked="0"/>
    </xf>
    <xf numFmtId="0" fontId="3" fillId="0" borderId="174" xfId="0" applyFont="1" applyBorder="1" applyAlignment="1" applyProtection="1">
      <alignment horizontal="left" vertical="top" wrapText="1"/>
      <protection locked="0"/>
    </xf>
    <xf numFmtId="0" fontId="0" fillId="0" borderId="164" xfId="0" applyBorder="1" applyAlignment="1" applyProtection="1">
      <alignment horizontal="left" vertical="top"/>
      <protection locked="0"/>
    </xf>
    <xf numFmtId="0" fontId="16" fillId="0" borderId="172" xfId="0" applyFont="1" applyBorder="1" applyAlignment="1" applyProtection="1">
      <alignment horizontal="left" vertical="top" wrapText="1"/>
      <protection locked="0"/>
    </xf>
    <xf numFmtId="0" fontId="16" fillId="0" borderId="115" xfId="0" applyFont="1" applyBorder="1" applyAlignment="1" applyProtection="1">
      <alignment horizontal="left" vertical="top" wrapText="1"/>
      <protection locked="0"/>
    </xf>
    <xf numFmtId="0" fontId="3" fillId="0" borderId="115" xfId="0" applyFont="1" applyBorder="1" applyAlignment="1" applyProtection="1">
      <alignment horizontal="left" vertical="top" wrapText="1"/>
      <protection locked="0"/>
    </xf>
    <xf numFmtId="0" fontId="3" fillId="0" borderId="172" xfId="0" applyFont="1" applyBorder="1" applyAlignment="1" applyProtection="1">
      <alignment horizontal="left" vertical="top" wrapText="1"/>
      <protection locked="0"/>
    </xf>
    <xf numFmtId="49" fontId="52" fillId="0" borderId="0" xfId="0" applyNumberFormat="1" applyFont="1" applyAlignment="1" applyProtection="1">
      <alignment horizontal="left" vertical="top" wrapText="1"/>
      <protection locked="0"/>
    </xf>
    <xf numFmtId="0" fontId="31" fillId="0" borderId="0" xfId="0" applyFont="1" applyAlignment="1" applyProtection="1">
      <alignment horizontal="left" vertical="top"/>
      <protection locked="0"/>
    </xf>
    <xf numFmtId="0" fontId="31" fillId="6" borderId="0" xfId="0" applyFont="1" applyFill="1" applyAlignment="1" applyProtection="1">
      <alignment horizontal="left" vertical="top"/>
      <protection locked="0"/>
    </xf>
    <xf numFmtId="0" fontId="3" fillId="0" borderId="110" xfId="0" applyFont="1" applyBorder="1" applyAlignment="1" applyProtection="1">
      <alignment horizontal="left" vertical="top" wrapText="1"/>
      <protection locked="0"/>
    </xf>
    <xf numFmtId="0" fontId="3" fillId="0" borderId="162" xfId="0" applyFont="1" applyBorder="1" applyAlignment="1" applyProtection="1">
      <alignment horizontal="left" vertical="top" wrapText="1"/>
      <protection locked="0"/>
    </xf>
    <xf numFmtId="0" fontId="3" fillId="0" borderId="159" xfId="0" applyFont="1" applyBorder="1" applyAlignment="1" applyProtection="1">
      <alignment horizontal="left" vertical="top" wrapText="1"/>
      <protection locked="0"/>
    </xf>
    <xf numFmtId="0" fontId="3" fillId="0" borderId="160" xfId="0" applyFont="1" applyBorder="1" applyAlignment="1" applyProtection="1">
      <alignment horizontal="left" vertical="top" wrapText="1"/>
      <protection locked="0"/>
    </xf>
    <xf numFmtId="0" fontId="3" fillId="0" borderId="164" xfId="0" applyFont="1" applyBorder="1" applyAlignment="1" applyProtection="1">
      <alignment horizontal="left" vertical="top" wrapText="1"/>
      <protection locked="0"/>
    </xf>
    <xf numFmtId="0" fontId="3" fillId="0" borderId="165" xfId="0" applyFont="1" applyBorder="1" applyAlignment="1" applyProtection="1">
      <alignment horizontal="left" vertical="top" wrapText="1"/>
      <protection locked="0"/>
    </xf>
    <xf numFmtId="0" fontId="16" fillId="0" borderId="23"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91" xfId="0" applyFont="1" applyBorder="1" applyAlignment="1" applyProtection="1">
      <alignment horizontal="left" vertical="top" wrapText="1"/>
      <protection locked="0"/>
    </xf>
    <xf numFmtId="0" fontId="3" fillId="0" borderId="72" xfId="0" applyFont="1" applyBorder="1" applyAlignment="1" applyProtection="1">
      <alignment horizontal="left" vertical="top" wrapText="1"/>
      <protection locked="0"/>
    </xf>
    <xf numFmtId="0" fontId="18" fillId="0" borderId="115" xfId="0" applyFont="1" applyBorder="1" applyAlignment="1" applyProtection="1">
      <alignment horizontal="left" vertical="top"/>
      <protection locked="0"/>
    </xf>
    <xf numFmtId="0" fontId="0" fillId="0" borderId="115" xfId="0" applyBorder="1" applyAlignment="1" applyProtection="1">
      <alignment horizontal="left" vertical="top"/>
      <protection locked="0"/>
    </xf>
    <xf numFmtId="0" fontId="0" fillId="0" borderId="110" xfId="0" applyBorder="1" applyAlignment="1" applyProtection="1">
      <alignment horizontal="left" vertical="top"/>
      <protection locked="0"/>
    </xf>
    <xf numFmtId="0" fontId="41" fillId="0" borderId="107" xfId="0" applyFont="1" applyBorder="1" applyAlignment="1" applyProtection="1">
      <alignment horizontal="left" vertical="top" wrapText="1"/>
      <protection locked="0"/>
    </xf>
    <xf numFmtId="49" fontId="18" fillId="0" borderId="18" xfId="0" applyNumberFormat="1" applyFont="1" applyBorder="1" applyAlignment="1" applyProtection="1">
      <alignment horizontal="left" vertical="top" wrapText="1"/>
      <protection locked="0"/>
    </xf>
    <xf numFmtId="0" fontId="18" fillId="0" borderId="164" xfId="0" applyFont="1" applyBorder="1" applyAlignment="1" applyProtection="1">
      <alignment horizontal="left" vertical="top"/>
      <protection locked="0"/>
    </xf>
    <xf numFmtId="0" fontId="18" fillId="0" borderId="23" xfId="0" applyFont="1" applyBorder="1" applyAlignment="1" applyProtection="1">
      <alignment horizontal="left" vertical="top"/>
      <protection locked="0"/>
    </xf>
    <xf numFmtId="0" fontId="18" fillId="0" borderId="191" xfId="0" applyFont="1" applyBorder="1" applyAlignment="1" applyProtection="1">
      <alignment horizontal="left" vertical="top"/>
      <protection locked="0"/>
    </xf>
    <xf numFmtId="0" fontId="16" fillId="0" borderId="29" xfId="0" applyFont="1" applyBorder="1" applyAlignment="1" applyProtection="1">
      <alignment horizontal="left" vertical="top" wrapText="1"/>
      <protection locked="0"/>
    </xf>
    <xf numFmtId="49" fontId="29" fillId="0" borderId="160" xfId="0" applyNumberFormat="1" applyFont="1" applyBorder="1" applyAlignment="1" applyProtection="1">
      <alignment horizontal="left" vertical="top" wrapText="1"/>
      <protection locked="0"/>
    </xf>
    <xf numFmtId="49" fontId="29" fillId="0" borderId="158" xfId="0" applyNumberFormat="1" applyFont="1" applyBorder="1" applyAlignment="1" applyProtection="1">
      <alignment horizontal="left" vertical="top" wrapText="1"/>
      <protection locked="0"/>
    </xf>
    <xf numFmtId="49" fontId="29" fillId="0" borderId="159" xfId="0" applyNumberFormat="1" applyFont="1" applyBorder="1" applyAlignment="1" applyProtection="1">
      <alignment horizontal="left" vertical="top" wrapText="1"/>
      <protection locked="0"/>
    </xf>
    <xf numFmtId="49" fontId="29" fillId="0" borderId="0" xfId="0" applyNumberFormat="1" applyFont="1" applyAlignment="1" applyProtection="1">
      <alignment horizontal="left" vertical="top" wrapText="1"/>
      <protection locked="0"/>
    </xf>
    <xf numFmtId="49" fontId="29" fillId="0" borderId="162" xfId="0" applyNumberFormat="1" applyFont="1" applyBorder="1" applyAlignment="1" applyProtection="1">
      <alignment horizontal="left" vertical="top" wrapText="1"/>
      <protection locked="0"/>
    </xf>
    <xf numFmtId="49" fontId="29" fillId="0" borderId="110" xfId="0" applyNumberFormat="1" applyFont="1" applyBorder="1" applyAlignment="1" applyProtection="1">
      <alignment horizontal="left" vertical="top" wrapText="1"/>
      <protection locked="0"/>
    </xf>
    <xf numFmtId="49" fontId="16" fillId="0" borderId="0" xfId="0" applyNumberFormat="1" applyFont="1" applyAlignment="1" applyProtection="1">
      <alignment horizontal="left" vertical="top" wrapText="1"/>
      <protection locked="0"/>
    </xf>
    <xf numFmtId="49" fontId="18" fillId="0" borderId="161" xfId="0" applyNumberFormat="1" applyFont="1" applyBorder="1" applyAlignment="1" applyProtection="1">
      <alignment horizontal="left" vertical="top" wrapText="1"/>
      <protection locked="0"/>
    </xf>
    <xf numFmtId="49" fontId="18" fillId="0" borderId="110" xfId="0" applyNumberFormat="1" applyFont="1" applyBorder="1" applyAlignment="1" applyProtection="1">
      <alignment horizontal="left" vertical="top" wrapText="1"/>
      <protection locked="0"/>
    </xf>
    <xf numFmtId="49" fontId="7" fillId="0" borderId="110" xfId="0" applyNumberFormat="1" applyFont="1" applyBorder="1" applyAlignment="1" applyProtection="1">
      <alignment horizontal="left" vertical="top" wrapText="1"/>
      <protection locked="0"/>
    </xf>
    <xf numFmtId="49" fontId="22" fillId="0" borderId="110" xfId="0" applyNumberFormat="1" applyFont="1" applyBorder="1" applyAlignment="1" applyProtection="1">
      <alignment horizontal="left" vertical="top" wrapText="1"/>
      <protection locked="0"/>
    </xf>
    <xf numFmtId="49" fontId="7" fillId="0" borderId="162" xfId="0" applyNumberFormat="1" applyFont="1" applyBorder="1" applyAlignment="1" applyProtection="1">
      <alignment horizontal="left" vertical="top" wrapText="1"/>
      <protection locked="0"/>
    </xf>
    <xf numFmtId="49" fontId="7" fillId="0" borderId="0" xfId="0" applyNumberFormat="1" applyFont="1" applyAlignment="1" applyProtection="1">
      <alignment horizontal="left" vertical="top" wrapText="1"/>
      <protection locked="0"/>
    </xf>
    <xf numFmtId="49" fontId="18" fillId="0" borderId="162" xfId="0" applyNumberFormat="1" applyFont="1" applyBorder="1" applyAlignment="1" applyProtection="1">
      <alignment horizontal="left" vertical="top" wrapText="1"/>
      <protection locked="0"/>
    </xf>
    <xf numFmtId="49" fontId="18" fillId="0" borderId="164" xfId="0" applyNumberFormat="1" applyFont="1" applyBorder="1" applyAlignment="1" applyProtection="1">
      <alignment horizontal="left" vertical="top" wrapText="1"/>
      <protection locked="0"/>
    </xf>
    <xf numFmtId="49" fontId="22" fillId="0" borderId="164" xfId="0" applyNumberFormat="1" applyFont="1" applyBorder="1" applyAlignment="1" applyProtection="1">
      <alignment horizontal="left" vertical="top" wrapText="1"/>
      <protection locked="0"/>
    </xf>
    <xf numFmtId="49" fontId="41" fillId="0" borderId="164" xfId="0" applyNumberFormat="1" applyFont="1" applyBorder="1" applyAlignment="1" applyProtection="1">
      <alignment horizontal="left" vertical="top" wrapText="1"/>
      <protection locked="0"/>
    </xf>
    <xf numFmtId="49" fontId="18" fillId="0" borderId="165" xfId="0" applyNumberFormat="1" applyFont="1" applyBorder="1" applyAlignment="1" applyProtection="1">
      <alignment horizontal="left" vertical="top" wrapText="1"/>
      <protection locked="0"/>
    </xf>
    <xf numFmtId="49" fontId="20" fillId="0" borderId="0" xfId="0" applyNumberFormat="1" applyFont="1" applyAlignment="1" applyProtection="1">
      <alignment horizontal="left" vertical="top" wrapText="1"/>
      <protection locked="0"/>
    </xf>
    <xf numFmtId="49" fontId="22" fillId="0" borderId="0" xfId="0" applyNumberFormat="1" applyFont="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0" fontId="0" fillId="0" borderId="0" xfId="0" applyAlignment="1">
      <alignment vertical="top"/>
    </xf>
    <xf numFmtId="0" fontId="14" fillId="0" borderId="7" xfId="0" applyFont="1" applyBorder="1" applyAlignment="1">
      <alignment horizontal="left" vertical="top" wrapText="1"/>
    </xf>
    <xf numFmtId="0" fontId="38" fillId="0" borderId="130" xfId="0" applyFont="1" applyBorder="1" applyAlignment="1">
      <alignment horizontal="left" vertical="top" wrapText="1"/>
    </xf>
    <xf numFmtId="0" fontId="38" fillId="0" borderId="150" xfId="0" applyFont="1" applyBorder="1" applyAlignment="1">
      <alignment horizontal="left" vertical="top" wrapText="1"/>
    </xf>
    <xf numFmtId="0" fontId="38" fillId="0" borderId="147" xfId="0" applyFont="1" applyBorder="1" applyAlignment="1">
      <alignment horizontal="left" vertical="top" wrapText="1"/>
    </xf>
    <xf numFmtId="0" fontId="67" fillId="0" borderId="191" xfId="0" applyFont="1" applyBorder="1" applyAlignment="1">
      <alignment horizontal="left" vertical="top" wrapText="1"/>
    </xf>
    <xf numFmtId="0" fontId="38" fillId="0" borderId="192" xfId="0" applyFont="1" applyBorder="1" applyAlignment="1">
      <alignment horizontal="left" vertical="top" wrapText="1"/>
    </xf>
    <xf numFmtId="0" fontId="8" fillId="7" borderId="46" xfId="0" applyFont="1" applyFill="1" applyBorder="1" applyAlignment="1">
      <alignment horizontal="left" vertical="top" wrapText="1"/>
    </xf>
    <xf numFmtId="0" fontId="53" fillId="7" borderId="54" xfId="0" applyFont="1" applyFill="1" applyBorder="1" applyAlignment="1">
      <alignment horizontal="left" vertical="top" wrapText="1"/>
    </xf>
    <xf numFmtId="0" fontId="8" fillId="7" borderId="49" xfId="0" applyFont="1" applyFill="1" applyBorder="1" applyAlignment="1">
      <alignment horizontal="left" vertical="top" wrapText="1"/>
    </xf>
    <xf numFmtId="0" fontId="8" fillId="7" borderId="0" xfId="0" applyFont="1" applyFill="1" applyAlignment="1">
      <alignment horizontal="left" vertical="top" wrapText="1"/>
    </xf>
    <xf numFmtId="0" fontId="13" fillId="7" borderId="46" xfId="0" applyFont="1" applyFill="1" applyBorder="1" applyAlignment="1">
      <alignment horizontal="left" vertical="top" wrapText="1"/>
    </xf>
    <xf numFmtId="0" fontId="8" fillId="7" borderId="44" xfId="0" applyFont="1" applyFill="1" applyBorder="1" applyAlignment="1">
      <alignment horizontal="left" vertical="top" wrapText="1"/>
    </xf>
    <xf numFmtId="0" fontId="8" fillId="7" borderId="60" xfId="0" applyFont="1" applyFill="1" applyBorder="1" applyAlignment="1">
      <alignment horizontal="left" vertical="top" wrapText="1"/>
    </xf>
    <xf numFmtId="0" fontId="8" fillId="7" borderId="24" xfId="0" applyFont="1" applyFill="1" applyBorder="1" applyAlignment="1">
      <alignment horizontal="left" vertical="top" wrapText="1"/>
    </xf>
    <xf numFmtId="0" fontId="8" fillId="7" borderId="58" xfId="0" applyFont="1" applyFill="1" applyBorder="1" applyAlignment="1">
      <alignment horizontal="left" vertical="top" wrapText="1"/>
    </xf>
    <xf numFmtId="0" fontId="0" fillId="7" borderId="60" xfId="0" applyFill="1" applyBorder="1" applyAlignment="1">
      <alignment horizontal="left" vertical="top"/>
    </xf>
    <xf numFmtId="0" fontId="24" fillId="7" borderId="54" xfId="0" applyFont="1" applyFill="1" applyBorder="1" applyAlignment="1">
      <alignment horizontal="left" vertical="top" wrapText="1"/>
    </xf>
    <xf numFmtId="0" fontId="1" fillId="3" borderId="175" xfId="0" applyFont="1" applyFill="1" applyBorder="1" applyAlignment="1">
      <alignment horizontal="left" vertical="top" wrapText="1"/>
    </xf>
    <xf numFmtId="0" fontId="1" fillId="3" borderId="306" xfId="0" applyFont="1" applyFill="1" applyBorder="1" applyAlignment="1">
      <alignment horizontal="left" vertical="top" wrapText="1"/>
    </xf>
    <xf numFmtId="0" fontId="1" fillId="3" borderId="176" xfId="0" applyFont="1" applyFill="1" applyBorder="1" applyAlignment="1">
      <alignment horizontal="left" vertical="top" wrapText="1"/>
    </xf>
    <xf numFmtId="0" fontId="1" fillId="3" borderId="384" xfId="0" applyFont="1" applyFill="1" applyBorder="1" applyAlignment="1">
      <alignment horizontal="left" vertical="top" wrapText="1"/>
    </xf>
    <xf numFmtId="0" fontId="1" fillId="3" borderId="385" xfId="0" applyFont="1" applyFill="1" applyBorder="1" applyAlignment="1">
      <alignment horizontal="left" vertical="top" wrapText="1"/>
    </xf>
    <xf numFmtId="0" fontId="1" fillId="3" borderId="386" xfId="0" applyFont="1" applyFill="1" applyBorder="1" applyAlignment="1">
      <alignment horizontal="left" vertical="top" wrapText="1"/>
    </xf>
    <xf numFmtId="0" fontId="1" fillId="3" borderId="158" xfId="0" applyFont="1" applyFill="1" applyBorder="1" applyAlignment="1">
      <alignment horizontal="left" vertical="top" wrapText="1"/>
    </xf>
    <xf numFmtId="0" fontId="1" fillId="3" borderId="191" xfId="0" applyFont="1" applyFill="1" applyBorder="1" applyAlignment="1">
      <alignment horizontal="left" vertical="top" wrapText="1"/>
    </xf>
    <xf numFmtId="0" fontId="1" fillId="13" borderId="191" xfId="0" applyFont="1" applyFill="1" applyBorder="1" applyAlignment="1">
      <alignment horizontal="left" vertical="top" wrapText="1"/>
    </xf>
    <xf numFmtId="0" fontId="41" fillId="13" borderId="191" xfId="0" applyFont="1" applyFill="1" applyBorder="1" applyAlignment="1">
      <alignment horizontal="left" vertical="top" wrapText="1"/>
    </xf>
    <xf numFmtId="0" fontId="1" fillId="3" borderId="70" xfId="0" applyFont="1" applyFill="1" applyBorder="1" applyAlignment="1">
      <alignment horizontal="left" vertical="top" wrapText="1"/>
    </xf>
    <xf numFmtId="0" fontId="1" fillId="8" borderId="161" xfId="0" applyFont="1" applyFill="1" applyBorder="1" applyAlignment="1">
      <alignment horizontal="left" vertical="top" wrapText="1"/>
    </xf>
    <xf numFmtId="0" fontId="1" fillId="8" borderId="163" xfId="0" applyFont="1" applyFill="1" applyBorder="1" applyAlignment="1">
      <alignment horizontal="left" vertical="top" wrapText="1"/>
    </xf>
    <xf numFmtId="0" fontId="8" fillId="3" borderId="146" xfId="0" applyFont="1" applyFill="1" applyBorder="1" applyAlignment="1">
      <alignment horizontal="left" vertical="top" wrapText="1"/>
    </xf>
    <xf numFmtId="0" fontId="1" fillId="8" borderId="158" xfId="0" applyFont="1" applyFill="1" applyBorder="1" applyAlignment="1">
      <alignment horizontal="left" vertical="top" wrapText="1"/>
    </xf>
    <xf numFmtId="0" fontId="1" fillId="3" borderId="161" xfId="0" applyFont="1" applyFill="1" applyBorder="1" applyAlignment="1">
      <alignment horizontal="left" vertical="top" wrapText="1"/>
    </xf>
    <xf numFmtId="0" fontId="1" fillId="3" borderId="163" xfId="0" applyFont="1" applyFill="1" applyBorder="1" applyAlignment="1">
      <alignment horizontal="left" vertical="top" wrapText="1"/>
    </xf>
    <xf numFmtId="0" fontId="1" fillId="13" borderId="96" xfId="0" applyFont="1" applyFill="1" applyBorder="1" applyAlignment="1">
      <alignment horizontal="left" vertical="top" wrapText="1"/>
    </xf>
    <xf numFmtId="0" fontId="1" fillId="12" borderId="91" xfId="0" applyFont="1" applyFill="1" applyBorder="1" applyAlignment="1">
      <alignment horizontal="left" vertical="top" wrapText="1"/>
    </xf>
    <xf numFmtId="0" fontId="1" fillId="3" borderId="171" xfId="0" applyFont="1" applyFill="1" applyBorder="1" applyAlignment="1">
      <alignment horizontal="left" vertical="top" wrapText="1"/>
    </xf>
    <xf numFmtId="0" fontId="8" fillId="3" borderId="158" xfId="0" applyFont="1" applyFill="1" applyBorder="1" applyAlignment="1">
      <alignment horizontal="left" vertical="top" wrapText="1"/>
    </xf>
    <xf numFmtId="0" fontId="8" fillId="3" borderId="184" xfId="0" applyFont="1" applyFill="1" applyBorder="1" applyAlignment="1">
      <alignment horizontal="left" vertical="top" wrapText="1"/>
    </xf>
    <xf numFmtId="0" fontId="8" fillId="12" borderId="212" xfId="0" applyFont="1" applyFill="1" applyBorder="1" applyAlignment="1">
      <alignment horizontal="left" vertical="top" wrapText="1"/>
    </xf>
    <xf numFmtId="0" fontId="53" fillId="12" borderId="212" xfId="0" applyFont="1" applyFill="1" applyBorder="1" applyAlignment="1">
      <alignment horizontal="left" vertical="top" wrapText="1"/>
    </xf>
    <xf numFmtId="0" fontId="8" fillId="3" borderId="146" xfId="0" applyFont="1" applyFill="1" applyBorder="1" applyAlignment="1">
      <alignment vertical="top" wrapText="1"/>
    </xf>
    <xf numFmtId="0" fontId="1" fillId="13" borderId="159" xfId="0" applyFont="1" applyFill="1" applyBorder="1" applyAlignment="1">
      <alignment horizontal="left" vertical="top" wrapText="1"/>
    </xf>
    <xf numFmtId="0" fontId="41" fillId="13" borderId="159" xfId="0" applyFont="1" applyFill="1" applyBorder="1" applyAlignment="1">
      <alignment horizontal="left" vertical="top" wrapText="1"/>
    </xf>
    <xf numFmtId="0" fontId="1" fillId="3" borderId="316" xfId="0" applyFont="1" applyFill="1" applyBorder="1" applyAlignment="1">
      <alignment horizontal="left" vertical="top" wrapText="1"/>
    </xf>
    <xf numFmtId="0" fontId="1" fillId="13" borderId="110" xfId="0" applyFont="1" applyFill="1" applyBorder="1" applyAlignment="1">
      <alignment horizontal="left" vertical="top" wrapText="1"/>
    </xf>
    <xf numFmtId="0" fontId="41" fillId="13" borderId="110" xfId="0" applyFont="1" applyFill="1" applyBorder="1" applyAlignment="1">
      <alignment horizontal="left" vertical="top" wrapText="1"/>
    </xf>
    <xf numFmtId="0" fontId="8" fillId="13" borderId="212" xfId="0" applyFont="1" applyFill="1" applyBorder="1" applyAlignment="1">
      <alignment horizontal="left" vertical="top" wrapText="1"/>
    </xf>
    <xf numFmtId="0" fontId="53" fillId="13" borderId="212" xfId="0" applyFont="1" applyFill="1" applyBorder="1" applyAlignment="1">
      <alignment horizontal="left" vertical="top" wrapText="1"/>
    </xf>
    <xf numFmtId="0" fontId="68" fillId="0" borderId="0" xfId="0" applyFont="1" applyAlignment="1" applyProtection="1">
      <alignment horizontal="left" vertical="top" wrapText="1"/>
      <protection locked="0"/>
    </xf>
    <xf numFmtId="0" fontId="70" fillId="0" borderId="0" xfId="0" applyFont="1" applyAlignment="1" applyProtection="1">
      <alignment horizontal="left" vertical="top" wrapText="1"/>
      <protection locked="0"/>
    </xf>
    <xf numFmtId="0" fontId="71" fillId="0" borderId="0" xfId="0" applyFont="1" applyAlignment="1" applyProtection="1">
      <alignment horizontal="left" vertical="top" wrapText="1"/>
      <protection locked="0"/>
    </xf>
    <xf numFmtId="0" fontId="69" fillId="0" borderId="0" xfId="0" applyFont="1" applyAlignment="1" applyProtection="1">
      <alignment horizontal="left" vertical="top" wrapText="1"/>
      <protection locked="0"/>
    </xf>
    <xf numFmtId="0" fontId="71" fillId="0" borderId="0" xfId="0" applyFont="1" applyAlignment="1" applyProtection="1">
      <alignment horizontal="left" vertical="top"/>
      <protection locked="0"/>
    </xf>
    <xf numFmtId="0" fontId="69"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0" fontId="36" fillId="0" borderId="70" xfId="0" applyFont="1" applyBorder="1" applyAlignment="1" applyProtection="1">
      <alignment horizontal="left" vertical="top" wrapText="1"/>
      <protection locked="0"/>
    </xf>
    <xf numFmtId="0" fontId="79" fillId="0" borderId="70" xfId="0" applyFont="1" applyBorder="1" applyAlignment="1" applyProtection="1">
      <alignment horizontal="left" vertical="top" wrapText="1"/>
      <protection locked="0"/>
    </xf>
    <xf numFmtId="0" fontId="58" fillId="0" borderId="68" xfId="0" applyFont="1" applyBorder="1" applyAlignment="1" applyProtection="1">
      <alignment horizontal="left" vertical="top"/>
      <protection locked="0"/>
    </xf>
    <xf numFmtId="0" fontId="17" fillId="0" borderId="61" xfId="0" applyFont="1" applyBorder="1" applyAlignment="1" applyProtection="1">
      <alignment horizontal="left" vertical="top" wrapText="1"/>
      <protection locked="0"/>
    </xf>
    <xf numFmtId="0" fontId="7" fillId="0" borderId="159" xfId="0" applyFont="1" applyBorder="1" applyAlignment="1" applyProtection="1">
      <alignment horizontal="left" vertical="top" wrapText="1"/>
      <protection locked="0"/>
    </xf>
    <xf numFmtId="0" fontId="7" fillId="0" borderId="231" xfId="0" applyFont="1" applyBorder="1" applyAlignment="1" applyProtection="1">
      <alignment horizontal="left" vertical="top"/>
      <protection locked="0"/>
    </xf>
    <xf numFmtId="0" fontId="7" fillId="0" borderId="110" xfId="0" applyFont="1" applyBorder="1" applyAlignment="1" applyProtection="1">
      <alignment horizontal="left" vertical="top" wrapText="1"/>
      <protection locked="0"/>
    </xf>
    <xf numFmtId="0" fontId="7" fillId="0" borderId="113" xfId="0" applyFont="1" applyBorder="1" applyAlignment="1" applyProtection="1">
      <alignment horizontal="left" vertical="top"/>
      <protection locked="0"/>
    </xf>
    <xf numFmtId="0" fontId="16" fillId="0" borderId="279" xfId="0" applyFont="1" applyBorder="1" applyAlignment="1" applyProtection="1">
      <alignment horizontal="left" vertical="top" wrapText="1"/>
      <protection locked="0"/>
    </xf>
    <xf numFmtId="0" fontId="16" fillId="0" borderId="388" xfId="0" applyFont="1" applyBorder="1" applyAlignment="1" applyProtection="1">
      <alignment horizontal="left" vertical="top" wrapText="1"/>
      <protection locked="0"/>
    </xf>
    <xf numFmtId="0" fontId="16" fillId="0" borderId="389" xfId="0" applyFont="1" applyBorder="1" applyAlignment="1" applyProtection="1">
      <alignment horizontal="left" vertical="top" wrapText="1"/>
      <protection locked="0"/>
    </xf>
    <xf numFmtId="0" fontId="27" fillId="6" borderId="0" xfId="0" applyFont="1" applyFill="1" applyAlignment="1" applyProtection="1">
      <alignment horizontal="left" vertical="top"/>
      <protection locked="0"/>
    </xf>
    <xf numFmtId="0" fontId="8" fillId="0" borderId="108" xfId="0" applyFont="1" applyBorder="1" applyAlignment="1" applyProtection="1">
      <alignment horizontal="left" vertical="top" wrapText="1"/>
      <protection locked="0"/>
    </xf>
    <xf numFmtId="0" fontId="22" fillId="0" borderId="178" xfId="0" applyFont="1" applyBorder="1" applyAlignment="1" applyProtection="1">
      <alignment horizontal="left" vertical="top"/>
      <protection locked="0"/>
    </xf>
    <xf numFmtId="0" fontId="0" fillId="0" borderId="178" xfId="0" applyBorder="1" applyAlignment="1" applyProtection="1">
      <alignment horizontal="left" vertical="top"/>
      <protection locked="0"/>
    </xf>
    <xf numFmtId="0" fontId="41" fillId="0" borderId="114" xfId="0" applyFont="1" applyBorder="1" applyAlignment="1" applyProtection="1">
      <alignment horizontal="left" vertical="top" wrapText="1"/>
      <protection locked="0"/>
    </xf>
    <xf numFmtId="0" fontId="3" fillId="0" borderId="199" xfId="0" applyFont="1" applyBorder="1" applyAlignment="1" applyProtection="1">
      <alignment horizontal="left" vertical="top" wrapText="1"/>
      <protection locked="0"/>
    </xf>
    <xf numFmtId="0" fontId="3" fillId="0" borderId="204" xfId="0" applyFont="1" applyBorder="1" applyAlignment="1" applyProtection="1">
      <alignment horizontal="left" vertical="top" wrapText="1"/>
      <protection locked="0"/>
    </xf>
    <xf numFmtId="0" fontId="57" fillId="6" borderId="0" xfId="0" applyFont="1" applyFill="1" applyAlignment="1" applyProtection="1">
      <alignment horizontal="left" vertical="top"/>
      <protection locked="0"/>
    </xf>
    <xf numFmtId="0" fontId="57" fillId="0" borderId="0" xfId="0" applyFont="1" applyAlignment="1" applyProtection="1">
      <alignment horizontal="left" vertical="top"/>
      <protection locked="0"/>
    </xf>
    <xf numFmtId="0" fontId="20"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6" fillId="0" borderId="174" xfId="0" applyFont="1" applyBorder="1" applyAlignment="1" applyProtection="1">
      <alignment horizontal="left" vertical="top" wrapText="1"/>
      <protection locked="0"/>
    </xf>
    <xf numFmtId="0" fontId="16" fillId="0" borderId="108" xfId="0" applyFont="1" applyBorder="1" applyAlignment="1" applyProtection="1">
      <alignment horizontal="left" vertical="top" wrapText="1"/>
      <protection locked="0"/>
    </xf>
    <xf numFmtId="0" fontId="16" fillId="0" borderId="244" xfId="0" applyFont="1" applyBorder="1" applyAlignment="1" applyProtection="1">
      <alignment horizontal="left" vertical="top" wrapText="1"/>
      <protection locked="0"/>
    </xf>
    <xf numFmtId="0" fontId="16" fillId="0" borderId="192" xfId="0" applyFont="1" applyBorder="1" applyAlignment="1" applyProtection="1">
      <alignment horizontal="left" vertical="top" wrapText="1"/>
      <protection locked="0"/>
    </xf>
    <xf numFmtId="0" fontId="8" fillId="0" borderId="72" xfId="0" applyFont="1" applyBorder="1" applyAlignment="1" applyProtection="1">
      <alignment horizontal="left" vertical="top" wrapText="1"/>
      <protection locked="0"/>
    </xf>
    <xf numFmtId="0" fontId="8" fillId="0" borderId="164" xfId="0" applyFont="1" applyBorder="1" applyAlignment="1" applyProtection="1">
      <alignment horizontal="left" vertical="top" wrapText="1"/>
      <protection locked="0"/>
    </xf>
    <xf numFmtId="0" fontId="8" fillId="0" borderId="165" xfId="0" applyFont="1" applyBorder="1" applyAlignment="1" applyProtection="1">
      <alignment horizontal="left" vertical="top" wrapText="1"/>
      <protection locked="0"/>
    </xf>
    <xf numFmtId="0" fontId="39" fillId="0" borderId="0" xfId="0" applyFont="1" applyAlignment="1" applyProtection="1">
      <alignment horizontal="left" vertical="top"/>
      <protection locked="0"/>
    </xf>
    <xf numFmtId="0" fontId="32" fillId="0" borderId="0" xfId="0" applyFont="1" applyAlignment="1" applyProtection="1">
      <alignment horizontal="left" vertical="top"/>
      <protection locked="0"/>
    </xf>
    <xf numFmtId="0" fontId="32" fillId="0" borderId="0" xfId="0" applyFont="1" applyAlignment="1" applyProtection="1">
      <alignment horizontal="left" vertical="top" wrapText="1"/>
      <protection locked="0"/>
    </xf>
    <xf numFmtId="0" fontId="22" fillId="0" borderId="229" xfId="0" applyFont="1" applyBorder="1" applyAlignment="1" applyProtection="1">
      <alignment horizontal="left" vertical="top"/>
      <protection locked="0"/>
    </xf>
    <xf numFmtId="0" fontId="18" fillId="0" borderId="229" xfId="0" applyFont="1" applyBorder="1" applyAlignment="1" applyProtection="1">
      <alignment horizontal="left" vertical="top"/>
      <protection locked="0"/>
    </xf>
    <xf numFmtId="0" fontId="22" fillId="0" borderId="391" xfId="0" applyFont="1" applyBorder="1" applyAlignment="1" applyProtection="1">
      <alignment horizontal="left" vertical="top"/>
      <protection locked="0"/>
    </xf>
    <xf numFmtId="0" fontId="18" fillId="0" borderId="391" xfId="0" applyFont="1" applyBorder="1" applyAlignment="1" applyProtection="1">
      <alignment horizontal="left" vertical="top"/>
      <protection locked="0"/>
    </xf>
    <xf numFmtId="0" fontId="0" fillId="0" borderId="391" xfId="0" applyBorder="1" applyAlignment="1" applyProtection="1">
      <alignment horizontal="left" vertical="top" wrapText="1"/>
      <protection locked="0"/>
    </xf>
    <xf numFmtId="0" fontId="8" fillId="0" borderId="29" xfId="0" applyFont="1" applyBorder="1" applyAlignment="1" applyProtection="1">
      <alignment horizontal="left" vertical="top" wrapText="1"/>
      <protection locked="0"/>
    </xf>
    <xf numFmtId="0" fontId="22" fillId="0" borderId="108" xfId="0" applyFont="1" applyBorder="1" applyAlignment="1" applyProtection="1">
      <alignment horizontal="left" vertical="top"/>
      <protection locked="0"/>
    </xf>
    <xf numFmtId="0" fontId="18" fillId="0" borderId="108" xfId="0" applyFont="1" applyBorder="1" applyAlignment="1" applyProtection="1">
      <alignment horizontal="left" vertical="top"/>
      <protection locked="0"/>
    </xf>
    <xf numFmtId="0" fontId="22" fillId="0" borderId="205" xfId="0" applyFont="1" applyBorder="1" applyAlignment="1" applyProtection="1">
      <alignment horizontal="left" vertical="top"/>
      <protection locked="0"/>
    </xf>
    <xf numFmtId="0" fontId="18" fillId="0" borderId="205" xfId="0" applyFont="1" applyBorder="1" applyAlignment="1" applyProtection="1">
      <alignment horizontal="left" vertical="top"/>
      <protection locked="0"/>
    </xf>
    <xf numFmtId="0" fontId="0" fillId="0" borderId="110" xfId="0" applyBorder="1" applyAlignment="1" applyProtection="1">
      <alignment horizontal="left" vertical="top" wrapText="1"/>
      <protection locked="0"/>
    </xf>
    <xf numFmtId="0" fontId="22" fillId="0" borderId="164" xfId="0" applyFont="1" applyBorder="1" applyAlignment="1" applyProtection="1">
      <alignment horizontal="left" vertical="top"/>
      <protection locked="0"/>
    </xf>
    <xf numFmtId="0" fontId="0" fillId="0" borderId="164" xfId="0" applyBorder="1" applyAlignment="1" applyProtection="1">
      <alignment horizontal="left" vertical="top" wrapText="1"/>
      <protection locked="0"/>
    </xf>
    <xf numFmtId="0" fontId="22" fillId="0" borderId="191" xfId="0" applyFont="1" applyBorder="1" applyAlignment="1" applyProtection="1">
      <alignment horizontal="left" vertical="top"/>
      <protection locked="0"/>
    </xf>
    <xf numFmtId="0" fontId="29" fillId="0" borderId="209" xfId="0" applyFont="1" applyBorder="1" applyAlignment="1" applyProtection="1">
      <alignment horizontal="left" vertical="top"/>
      <protection locked="0"/>
    </xf>
    <xf numFmtId="0" fontId="29" fillId="0" borderId="198" xfId="0" applyFont="1" applyBorder="1" applyAlignment="1" applyProtection="1">
      <alignment horizontal="left" vertical="top"/>
      <protection locked="0"/>
    </xf>
    <xf numFmtId="0" fontId="29" fillId="0" borderId="23" xfId="0" applyFont="1" applyBorder="1" applyAlignment="1" applyProtection="1">
      <alignment horizontal="left" vertical="top"/>
      <protection locked="0"/>
    </xf>
    <xf numFmtId="0" fontId="29" fillId="0" borderId="164" xfId="0" applyFont="1" applyBorder="1" applyAlignment="1" applyProtection="1">
      <alignment horizontal="left" vertical="top"/>
      <protection locked="0"/>
    </xf>
    <xf numFmtId="0" fontId="29" fillId="0" borderId="165" xfId="0" applyFont="1" applyBorder="1" applyAlignment="1" applyProtection="1">
      <alignment horizontal="left" vertical="top"/>
      <protection locked="0"/>
    </xf>
    <xf numFmtId="0" fontId="29" fillId="0" borderId="0" xfId="0" applyFont="1" applyAlignment="1" applyProtection="1">
      <alignment horizontal="left" vertical="top"/>
      <protection locked="0"/>
    </xf>
    <xf numFmtId="49" fontId="29" fillId="0" borderId="231" xfId="0" applyNumberFormat="1" applyFont="1" applyBorder="1" applyAlignment="1" applyProtection="1">
      <alignment horizontal="left" vertical="top" wrapText="1"/>
      <protection locked="0"/>
    </xf>
    <xf numFmtId="49" fontId="29" fillId="0" borderId="169" xfId="0" applyNumberFormat="1" applyFont="1" applyBorder="1" applyAlignment="1" applyProtection="1">
      <alignment horizontal="left" vertical="top" wrapText="1"/>
      <protection locked="0"/>
    </xf>
    <xf numFmtId="49" fontId="29" fillId="0" borderId="161" xfId="0" applyNumberFormat="1" applyFont="1" applyBorder="1" applyAlignment="1" applyProtection="1">
      <alignment horizontal="left" vertical="top" wrapText="1"/>
      <protection locked="0"/>
    </xf>
    <xf numFmtId="49" fontId="29" fillId="0" borderId="113" xfId="0" applyNumberFormat="1" applyFont="1" applyBorder="1" applyAlignment="1" applyProtection="1">
      <alignment horizontal="left" vertical="top" wrapText="1"/>
      <protection locked="0"/>
    </xf>
    <xf numFmtId="49" fontId="29" fillId="0" borderId="112" xfId="0" applyNumberFormat="1" applyFont="1" applyBorder="1" applyAlignment="1" applyProtection="1">
      <alignment horizontal="left" vertical="top" wrapText="1"/>
      <protection locked="0"/>
    </xf>
    <xf numFmtId="49" fontId="18" fillId="0" borderId="112" xfId="0" applyNumberFormat="1" applyFont="1" applyBorder="1" applyAlignment="1" applyProtection="1">
      <alignment horizontal="left" vertical="top" wrapText="1"/>
      <protection locked="0"/>
    </xf>
    <xf numFmtId="49" fontId="7" fillId="0" borderId="113" xfId="0" applyNumberFormat="1" applyFont="1" applyBorder="1" applyAlignment="1" applyProtection="1">
      <alignment horizontal="left" vertical="top" wrapText="1"/>
      <protection locked="0"/>
    </xf>
    <xf numFmtId="49" fontId="7" fillId="0" borderId="161" xfId="0" applyNumberFormat="1" applyFont="1" applyBorder="1" applyAlignment="1" applyProtection="1">
      <alignment horizontal="left" vertical="top" wrapText="1"/>
      <protection locked="0"/>
    </xf>
    <xf numFmtId="49" fontId="7" fillId="0" borderId="112" xfId="0" applyNumberFormat="1" applyFont="1" applyBorder="1" applyAlignment="1" applyProtection="1">
      <alignment horizontal="left" vertical="top" wrapText="1"/>
      <protection locked="0"/>
    </xf>
    <xf numFmtId="49" fontId="18" fillId="0" borderId="113" xfId="0" applyNumberFormat="1" applyFont="1" applyBorder="1" applyAlignment="1" applyProtection="1">
      <alignment horizontal="left" vertical="top" wrapText="1"/>
      <protection locked="0"/>
    </xf>
    <xf numFmtId="49" fontId="17" fillId="0" borderId="170" xfId="0" applyNumberFormat="1" applyFont="1" applyBorder="1" applyAlignment="1" applyProtection="1">
      <alignment horizontal="left" vertical="top" wrapText="1"/>
      <protection locked="0"/>
    </xf>
    <xf numFmtId="49" fontId="18" fillId="0" borderId="163" xfId="0" applyNumberFormat="1" applyFont="1" applyBorder="1" applyAlignment="1" applyProtection="1">
      <alignment horizontal="left" vertical="top" wrapText="1"/>
      <protection locked="0"/>
    </xf>
    <xf numFmtId="49" fontId="18" fillId="0" borderId="198" xfId="0" applyNumberFormat="1" applyFont="1" applyBorder="1" applyAlignment="1" applyProtection="1">
      <alignment horizontal="left" vertical="top" wrapText="1"/>
      <protection locked="0"/>
    </xf>
    <xf numFmtId="49" fontId="18" fillId="0" borderId="170" xfId="0" applyNumberFormat="1" applyFont="1" applyBorder="1" applyAlignment="1" applyProtection="1">
      <alignment horizontal="left" vertical="top" wrapText="1"/>
      <protection locked="0"/>
    </xf>
    <xf numFmtId="0" fontId="22" fillId="0" borderId="200" xfId="0" applyFont="1" applyBorder="1" applyAlignment="1" applyProtection="1">
      <alignment horizontal="left" vertical="top"/>
      <protection locked="0"/>
    </xf>
    <xf numFmtId="0" fontId="0" fillId="0" borderId="200" xfId="0" applyBorder="1" applyAlignment="1" applyProtection="1">
      <alignment horizontal="left" vertical="top"/>
      <protection locked="0"/>
    </xf>
    <xf numFmtId="0" fontId="0" fillId="0" borderId="200" xfId="0" applyBorder="1" applyAlignment="1" applyProtection="1">
      <alignment horizontal="left" vertical="top" wrapText="1"/>
      <protection locked="0"/>
    </xf>
    <xf numFmtId="49" fontId="18" fillId="5" borderId="0" xfId="0" applyNumberFormat="1" applyFont="1" applyFill="1" applyAlignment="1" applyProtection="1">
      <alignment horizontal="left" vertical="top" wrapText="1"/>
      <protection locked="0"/>
    </xf>
    <xf numFmtId="0" fontId="39" fillId="0" borderId="179" xfId="0" applyFont="1" applyBorder="1" applyAlignment="1" applyProtection="1">
      <alignment horizontal="left" vertical="top"/>
      <protection locked="0"/>
    </xf>
    <xf numFmtId="0" fontId="32" fillId="0" borderId="179" xfId="0" applyFont="1" applyBorder="1" applyAlignment="1" applyProtection="1">
      <alignment horizontal="left" vertical="top"/>
      <protection locked="0"/>
    </xf>
    <xf numFmtId="0" fontId="32" fillId="0" borderId="179" xfId="0" applyFont="1" applyBorder="1" applyAlignment="1" applyProtection="1">
      <alignment horizontal="left" vertical="top" wrapText="1"/>
      <protection locked="0"/>
    </xf>
    <xf numFmtId="0" fontId="39" fillId="0" borderId="178" xfId="0" applyFont="1" applyBorder="1" applyAlignment="1" applyProtection="1">
      <alignment horizontal="left" vertical="top"/>
      <protection locked="0"/>
    </xf>
    <xf numFmtId="0" fontId="32" fillId="0" borderId="178" xfId="0" applyFont="1" applyBorder="1" applyAlignment="1" applyProtection="1">
      <alignment horizontal="left" vertical="top"/>
      <protection locked="0"/>
    </xf>
    <xf numFmtId="0" fontId="32" fillId="0" borderId="178" xfId="0" applyFont="1" applyBorder="1" applyAlignment="1" applyProtection="1">
      <alignment horizontal="left" vertical="top" wrapText="1"/>
      <protection locked="0"/>
    </xf>
    <xf numFmtId="0" fontId="39" fillId="0" borderId="200" xfId="0" applyFont="1" applyBorder="1" applyAlignment="1" applyProtection="1">
      <alignment horizontal="left" vertical="top"/>
      <protection locked="0"/>
    </xf>
    <xf numFmtId="0" fontId="32" fillId="0" borderId="200" xfId="0" applyFont="1" applyBorder="1" applyAlignment="1" applyProtection="1">
      <alignment horizontal="left" vertical="top"/>
      <protection locked="0"/>
    </xf>
    <xf numFmtId="0" fontId="32" fillId="0" borderId="200" xfId="0" applyFont="1" applyBorder="1" applyAlignment="1" applyProtection="1">
      <alignment horizontal="left" vertical="top" wrapText="1"/>
      <protection locked="0"/>
    </xf>
    <xf numFmtId="0" fontId="39" fillId="0" borderId="181" xfId="0" applyFont="1" applyBorder="1" applyAlignment="1" applyProtection="1">
      <alignment horizontal="left" vertical="top"/>
      <protection locked="0"/>
    </xf>
    <xf numFmtId="0" fontId="32" fillId="0" borderId="181" xfId="0" applyFont="1" applyBorder="1" applyAlignment="1" applyProtection="1">
      <alignment horizontal="left" vertical="top"/>
      <protection locked="0"/>
    </xf>
    <xf numFmtId="0" fontId="32" fillId="0" borderId="181" xfId="0" applyFont="1" applyBorder="1" applyAlignment="1" applyProtection="1">
      <alignment horizontal="left" vertical="top" wrapText="1"/>
      <protection locked="0"/>
    </xf>
    <xf numFmtId="0" fontId="39" fillId="0" borderId="226" xfId="0" applyFont="1" applyBorder="1" applyAlignment="1" applyProtection="1">
      <alignment horizontal="left" vertical="top"/>
      <protection locked="0"/>
    </xf>
    <xf numFmtId="0" fontId="32" fillId="0" borderId="226" xfId="0" applyFont="1" applyBorder="1" applyAlignment="1" applyProtection="1">
      <alignment horizontal="left" vertical="top"/>
      <protection locked="0"/>
    </xf>
    <xf numFmtId="0" fontId="32" fillId="0" borderId="226" xfId="0" applyFont="1" applyBorder="1" applyAlignment="1" applyProtection="1">
      <alignment horizontal="left" vertical="top" wrapText="1"/>
      <protection locked="0"/>
    </xf>
    <xf numFmtId="0" fontId="39" fillId="0" borderId="484" xfId="0" applyFont="1" applyBorder="1" applyAlignment="1" applyProtection="1">
      <alignment horizontal="left" vertical="top"/>
      <protection locked="0"/>
    </xf>
    <xf numFmtId="0" fontId="32" fillId="0" borderId="293" xfId="0" applyFont="1" applyBorder="1" applyAlignment="1" applyProtection="1">
      <alignment horizontal="left" vertical="top"/>
      <protection locked="0"/>
    </xf>
    <xf numFmtId="0" fontId="32" fillId="0" borderId="293" xfId="0" applyFont="1" applyBorder="1" applyAlignment="1" applyProtection="1">
      <alignment horizontal="left" vertical="top" wrapText="1"/>
      <protection locked="0"/>
    </xf>
    <xf numFmtId="0" fontId="39" fillId="0" borderId="228" xfId="0" applyFont="1" applyBorder="1" applyAlignment="1" applyProtection="1">
      <alignment horizontal="left" vertical="top"/>
      <protection locked="0"/>
    </xf>
    <xf numFmtId="0" fontId="32" fillId="0" borderId="229" xfId="0" applyFont="1" applyBorder="1" applyAlignment="1" applyProtection="1">
      <alignment horizontal="left" vertical="top"/>
      <protection locked="0"/>
    </xf>
    <xf numFmtId="0" fontId="39" fillId="0" borderId="268" xfId="0" applyFont="1" applyBorder="1" applyAlignment="1" applyProtection="1">
      <alignment horizontal="left" vertical="top"/>
      <protection locked="0"/>
    </xf>
    <xf numFmtId="0" fontId="32" fillId="0" borderId="268" xfId="0" applyFont="1" applyBorder="1" applyAlignment="1" applyProtection="1">
      <alignment horizontal="left" vertical="top"/>
      <protection locked="0"/>
    </xf>
    <xf numFmtId="0" fontId="32" fillId="0" borderId="268" xfId="0" applyFont="1" applyBorder="1" applyAlignment="1" applyProtection="1">
      <alignment horizontal="left" vertical="top" wrapText="1"/>
      <protection locked="0"/>
    </xf>
    <xf numFmtId="0" fontId="16" fillId="0" borderId="345" xfId="0" applyFont="1" applyBorder="1" applyAlignment="1" applyProtection="1">
      <alignment horizontal="left" vertical="top" wrapText="1"/>
      <protection locked="0"/>
    </xf>
    <xf numFmtId="0" fontId="36" fillId="0" borderId="70" xfId="0" applyFont="1" applyBorder="1" applyAlignment="1">
      <alignment horizontal="left" vertical="top" wrapText="1"/>
    </xf>
    <xf numFmtId="0" fontId="79" fillId="0" borderId="70" xfId="0" applyFont="1" applyBorder="1" applyAlignment="1">
      <alignment horizontal="left" vertical="top" wrapText="1"/>
    </xf>
    <xf numFmtId="0" fontId="53" fillId="7" borderId="0" xfId="0" applyFont="1" applyFill="1" applyAlignment="1">
      <alignment horizontal="left" vertical="top" wrapText="1"/>
    </xf>
    <xf numFmtId="0" fontId="17" fillId="0" borderId="343" xfId="0" applyFont="1" applyBorder="1" applyAlignment="1" applyProtection="1">
      <alignment horizontal="left" vertical="top" wrapText="1"/>
      <protection locked="0"/>
    </xf>
    <xf numFmtId="0" fontId="17" fillId="0" borderId="199" xfId="0" applyFont="1" applyBorder="1" applyAlignment="1" applyProtection="1">
      <alignment horizontal="left" vertical="top" wrapText="1"/>
      <protection locked="0"/>
    </xf>
    <xf numFmtId="0" fontId="1" fillId="0" borderId="189" xfId="0" applyFont="1" applyBorder="1" applyAlignment="1" applyProtection="1">
      <alignment horizontal="left" vertical="top" wrapText="1"/>
      <protection locked="0"/>
    </xf>
    <xf numFmtId="0" fontId="16" fillId="0" borderId="204" xfId="0" applyFont="1" applyBorder="1" applyAlignment="1" applyProtection="1">
      <alignment horizontal="left" vertical="top" wrapText="1"/>
      <protection locked="0"/>
    </xf>
    <xf numFmtId="0" fontId="16" fillId="0" borderId="199" xfId="0" applyFont="1" applyBorder="1" applyAlignment="1" applyProtection="1">
      <alignment horizontal="left" vertical="top" wrapText="1"/>
      <protection locked="0"/>
    </xf>
    <xf numFmtId="0" fontId="55" fillId="0" borderId="199" xfId="0" applyFont="1" applyBorder="1" applyAlignment="1" applyProtection="1">
      <alignment horizontal="left" vertical="top" wrapText="1"/>
      <protection locked="0"/>
    </xf>
    <xf numFmtId="0" fontId="41" fillId="0" borderId="113" xfId="0" applyFont="1" applyBorder="1" applyAlignment="1" applyProtection="1">
      <alignment horizontal="left" vertical="top" wrapText="1"/>
      <protection locked="0"/>
    </xf>
    <xf numFmtId="0" fontId="41" fillId="0" borderId="492" xfId="0" applyFont="1" applyBorder="1" applyAlignment="1" applyProtection="1">
      <alignment horizontal="left" vertical="top" wrapText="1"/>
      <protection locked="0"/>
    </xf>
    <xf numFmtId="0" fontId="41" fillId="0" borderId="455" xfId="0" applyFont="1" applyBorder="1" applyAlignment="1" applyProtection="1">
      <alignment horizontal="left" vertical="top" wrapText="1"/>
      <protection locked="0"/>
    </xf>
    <xf numFmtId="0" fontId="41" fillId="0" borderId="338" xfId="0" applyFont="1" applyBorder="1" applyAlignment="1" applyProtection="1">
      <alignment horizontal="left" vertical="top" wrapText="1"/>
      <protection locked="0"/>
    </xf>
    <xf numFmtId="0" fontId="30" fillId="0" borderId="475" xfId="0" applyFont="1" applyBorder="1" applyAlignment="1" applyProtection="1">
      <alignment horizontal="left" vertical="top" wrapText="1"/>
      <protection locked="0"/>
    </xf>
    <xf numFmtId="0" fontId="22" fillId="0" borderId="179" xfId="0" applyFont="1" applyBorder="1" applyAlignment="1" applyProtection="1">
      <alignment horizontal="left" vertical="top"/>
      <protection locked="0"/>
    </xf>
    <xf numFmtId="0" fontId="0" fillId="0" borderId="179" xfId="0" applyBorder="1" applyAlignment="1" applyProtection="1">
      <alignment horizontal="left" vertical="top"/>
      <protection locked="0"/>
    </xf>
    <xf numFmtId="0" fontId="0" fillId="0" borderId="179" xfId="0" applyBorder="1" applyAlignment="1" applyProtection="1">
      <alignment horizontal="left" vertical="top" wrapText="1"/>
      <protection locked="0"/>
    </xf>
    <xf numFmtId="0" fontId="1" fillId="13" borderId="76" xfId="0" applyFont="1" applyFill="1" applyBorder="1" applyAlignment="1">
      <alignment horizontal="left" vertical="top" wrapText="1"/>
    </xf>
    <xf numFmtId="0" fontId="8" fillId="3" borderId="70" xfId="0" applyFont="1" applyFill="1" applyBorder="1" applyAlignment="1">
      <alignment horizontal="left" vertical="top" wrapText="1"/>
    </xf>
    <xf numFmtId="0" fontId="53" fillId="0" borderId="191" xfId="0" applyFont="1" applyBorder="1" applyAlignment="1">
      <alignment horizontal="left" vertical="top" wrapText="1"/>
    </xf>
    <xf numFmtId="0" fontId="8" fillId="13" borderId="191" xfId="0" applyFont="1" applyFill="1" applyBorder="1" applyAlignment="1">
      <alignment horizontal="left" vertical="top" wrapText="1"/>
    </xf>
    <xf numFmtId="0" fontId="53" fillId="13" borderId="191" xfId="0" applyFont="1" applyFill="1" applyBorder="1" applyAlignment="1">
      <alignment horizontal="left" vertical="top" wrapText="1"/>
    </xf>
    <xf numFmtId="0" fontId="53" fillId="13" borderId="322" xfId="0" applyFont="1" applyFill="1" applyBorder="1" applyAlignment="1">
      <alignment horizontal="left" vertical="top" wrapText="1"/>
    </xf>
    <xf numFmtId="0" fontId="1" fillId="3" borderId="74" xfId="0" applyFont="1" applyFill="1" applyBorder="1" applyAlignment="1">
      <alignment horizontal="left" vertical="top" wrapText="1"/>
    </xf>
    <xf numFmtId="0" fontId="1" fillId="0" borderId="343" xfId="0" applyFont="1" applyBorder="1" applyAlignment="1">
      <alignment horizontal="left" vertical="top" wrapText="1"/>
    </xf>
    <xf numFmtId="0" fontId="1" fillId="13" borderId="108" xfId="0" applyFont="1" applyFill="1" applyBorder="1" applyAlignment="1">
      <alignment horizontal="left" vertical="top" wrapText="1"/>
    </xf>
    <xf numFmtId="0" fontId="1" fillId="13" borderId="199" xfId="0" applyFont="1" applyFill="1" applyBorder="1" applyAlignment="1">
      <alignment horizontal="left" vertical="top" wrapText="1"/>
    </xf>
    <xf numFmtId="0" fontId="53" fillId="3" borderId="70" xfId="0" applyFont="1" applyFill="1" applyBorder="1" applyAlignment="1">
      <alignment horizontal="left" vertical="top" wrapText="1"/>
    </xf>
    <xf numFmtId="0" fontId="53" fillId="0" borderId="250" xfId="0" applyFont="1" applyBorder="1" applyAlignment="1">
      <alignment horizontal="left" vertical="top" wrapText="1"/>
    </xf>
    <xf numFmtId="0" fontId="53" fillId="13" borderId="101" xfId="0" applyFont="1" applyFill="1" applyBorder="1" applyAlignment="1">
      <alignment horizontal="left" vertical="top" wrapText="1"/>
    </xf>
    <xf numFmtId="0" fontId="53" fillId="13" borderId="97" xfId="0" applyFont="1" applyFill="1" applyBorder="1" applyAlignment="1">
      <alignment horizontal="left" vertical="top" wrapText="1"/>
    </xf>
    <xf numFmtId="0" fontId="54" fillId="0" borderId="159" xfId="0" applyFont="1" applyBorder="1" applyAlignment="1">
      <alignment horizontal="left" vertical="top" wrapText="1"/>
    </xf>
    <xf numFmtId="0" fontId="8" fillId="13" borderId="138" xfId="0" applyFont="1" applyFill="1" applyBorder="1" applyAlignment="1">
      <alignment horizontal="left" vertical="top" wrapText="1"/>
    </xf>
    <xf numFmtId="0" fontId="53" fillId="13" borderId="138" xfId="0" applyFont="1" applyFill="1" applyBorder="1" applyAlignment="1">
      <alignment horizontal="left" vertical="top" wrapText="1"/>
    </xf>
    <xf numFmtId="0" fontId="53" fillId="13" borderId="71" xfId="0" applyFont="1" applyFill="1" applyBorder="1" applyAlignment="1">
      <alignment horizontal="left" vertical="top" wrapText="1"/>
    </xf>
    <xf numFmtId="0" fontId="8" fillId="13" borderId="493" xfId="0" applyFont="1" applyFill="1" applyBorder="1" applyAlignment="1">
      <alignment horizontal="left" vertical="top" wrapText="1"/>
    </xf>
    <xf numFmtId="0" fontId="8" fillId="3" borderId="102" xfId="0" applyFont="1" applyFill="1" applyBorder="1" applyAlignment="1">
      <alignment horizontal="left" vertical="top" wrapText="1"/>
    </xf>
    <xf numFmtId="0" fontId="8" fillId="13" borderId="97" xfId="0" applyFont="1" applyFill="1" applyBorder="1" applyAlignment="1">
      <alignment horizontal="left" vertical="top" wrapText="1"/>
    </xf>
    <xf numFmtId="0" fontId="8" fillId="13" borderId="0" xfId="0" applyFont="1" applyFill="1" applyAlignment="1">
      <alignment horizontal="left" vertical="top" wrapText="1"/>
    </xf>
    <xf numFmtId="0" fontId="1" fillId="3" borderId="112" xfId="0" applyFont="1" applyFill="1" applyBorder="1" applyAlignment="1">
      <alignment horizontal="left" vertical="top" wrapText="1"/>
    </xf>
    <xf numFmtId="0" fontId="17" fillId="13" borderId="215" xfId="0" applyFont="1" applyFill="1" applyBorder="1" applyAlignment="1">
      <alignment horizontal="left" vertical="top" wrapText="1"/>
    </xf>
    <xf numFmtId="0" fontId="1" fillId="3" borderId="114" xfId="0" applyFont="1" applyFill="1" applyBorder="1" applyAlignment="1">
      <alignment horizontal="left" vertical="top" wrapText="1"/>
    </xf>
    <xf numFmtId="0" fontId="53" fillId="3" borderId="250" xfId="0" applyFont="1" applyFill="1" applyBorder="1" applyAlignment="1">
      <alignment horizontal="left" vertical="top" wrapText="1"/>
    </xf>
    <xf numFmtId="49" fontId="57" fillId="13" borderId="91" xfId="0" applyNumberFormat="1" applyFont="1" applyFill="1" applyBorder="1" applyAlignment="1">
      <alignment horizontal="left" vertical="top" wrapText="1"/>
    </xf>
    <xf numFmtId="0" fontId="8" fillId="8" borderId="343" xfId="0" applyFont="1" applyFill="1" applyBorder="1" applyAlignment="1">
      <alignment horizontal="left" vertical="top" wrapText="1"/>
    </xf>
    <xf numFmtId="0" fontId="17" fillId="13" borderId="203" xfId="0" applyFont="1" applyFill="1" applyBorder="1" applyAlignment="1">
      <alignment horizontal="left" vertical="top" wrapText="1"/>
    </xf>
    <xf numFmtId="0" fontId="8" fillId="3" borderId="316" xfId="0" applyFont="1" applyFill="1" applyBorder="1" applyAlignment="1">
      <alignment horizontal="left" vertical="top" wrapText="1"/>
    </xf>
    <xf numFmtId="0" fontId="8" fillId="13" borderId="231" xfId="0" applyFont="1" applyFill="1" applyBorder="1" applyAlignment="1">
      <alignment horizontal="left" vertical="top" wrapText="1"/>
    </xf>
    <xf numFmtId="0" fontId="1" fillId="8" borderId="114" xfId="0" applyFont="1" applyFill="1" applyBorder="1" applyAlignment="1">
      <alignment horizontal="left" vertical="top" wrapText="1"/>
    </xf>
    <xf numFmtId="0" fontId="1" fillId="13" borderId="215" xfId="0" applyFont="1" applyFill="1" applyBorder="1" applyAlignment="1">
      <alignment horizontal="left" vertical="top" wrapText="1"/>
    </xf>
    <xf numFmtId="0" fontId="17" fillId="13" borderId="116" xfId="0" applyFont="1" applyFill="1" applyBorder="1" applyAlignment="1">
      <alignment horizontal="left" vertical="top" wrapText="1"/>
    </xf>
    <xf numFmtId="0" fontId="1" fillId="8" borderId="170" xfId="0" applyFont="1" applyFill="1" applyBorder="1" applyAlignment="1">
      <alignment horizontal="left" vertical="top" wrapText="1"/>
    </xf>
    <xf numFmtId="0" fontId="17" fillId="13" borderId="198" xfId="0" applyFont="1" applyFill="1" applyBorder="1" applyAlignment="1">
      <alignment horizontal="left" vertical="top" wrapText="1"/>
    </xf>
    <xf numFmtId="0" fontId="8" fillId="3" borderId="250" xfId="0" applyFont="1" applyFill="1" applyBorder="1" applyAlignment="1">
      <alignment horizontal="left" vertical="top" wrapText="1"/>
    </xf>
    <xf numFmtId="0" fontId="54" fillId="0" borderId="191" xfId="0" applyFont="1" applyBorder="1" applyAlignment="1">
      <alignment horizontal="left" vertical="top" wrapText="1"/>
    </xf>
    <xf numFmtId="0" fontId="8" fillId="13" borderId="159" xfId="0" applyFont="1" applyFill="1" applyBorder="1" applyAlignment="1">
      <alignment horizontal="left" vertical="top" wrapText="1"/>
    </xf>
    <xf numFmtId="0" fontId="8" fillId="3" borderId="29" xfId="0" applyFont="1" applyFill="1" applyBorder="1" applyAlignment="1">
      <alignment horizontal="left" vertical="top" wrapText="1"/>
    </xf>
    <xf numFmtId="0" fontId="1" fillId="3" borderId="214" xfId="0" applyFont="1" applyFill="1" applyBorder="1" applyAlignment="1">
      <alignment horizontal="left" vertical="top" wrapText="1"/>
    </xf>
    <xf numFmtId="0" fontId="1" fillId="13" borderId="305" xfId="0" applyFont="1" applyFill="1" applyBorder="1" applyAlignment="1">
      <alignment horizontal="left" vertical="top" wrapText="1"/>
    </xf>
    <xf numFmtId="49" fontId="32" fillId="13" borderId="303" xfId="0" applyNumberFormat="1" applyFont="1" applyFill="1" applyBorder="1" applyAlignment="1">
      <alignment horizontal="left" vertical="top" wrapText="1"/>
    </xf>
    <xf numFmtId="0" fontId="61" fillId="0" borderId="212" xfId="0" applyFont="1" applyBorder="1" applyAlignment="1">
      <alignment horizontal="left" vertical="top"/>
    </xf>
    <xf numFmtId="0" fontId="8" fillId="13" borderId="248" xfId="0" applyFont="1" applyFill="1" applyBorder="1" applyAlignment="1">
      <alignment horizontal="left" vertical="top" wrapText="1"/>
    </xf>
    <xf numFmtId="0" fontId="8" fillId="13" borderId="244" xfId="0" applyFont="1" applyFill="1" applyBorder="1" applyAlignment="1">
      <alignment horizontal="left" vertical="top" wrapText="1"/>
    </xf>
    <xf numFmtId="0" fontId="1" fillId="13" borderId="160" xfId="0" applyFont="1" applyFill="1" applyBorder="1" applyAlignment="1">
      <alignment horizontal="left" vertical="top" wrapText="1"/>
    </xf>
    <xf numFmtId="0" fontId="1" fillId="13" borderId="162" xfId="0" applyFont="1" applyFill="1" applyBorder="1" applyAlignment="1">
      <alignment horizontal="left" vertical="top" wrapText="1"/>
    </xf>
    <xf numFmtId="0" fontId="1" fillId="13" borderId="165" xfId="0" applyFont="1" applyFill="1" applyBorder="1" applyAlignment="1">
      <alignment horizontal="left" vertical="top" wrapText="1"/>
    </xf>
    <xf numFmtId="0" fontId="17" fillId="0" borderId="169" xfId="0" applyFont="1" applyBorder="1" applyAlignment="1">
      <alignment horizontal="left" vertical="top" wrapText="1"/>
    </xf>
    <xf numFmtId="0" fontId="22" fillId="0" borderId="159" xfId="0" applyFont="1" applyBorder="1" applyAlignment="1">
      <alignment horizontal="left" vertical="top"/>
    </xf>
    <xf numFmtId="0" fontId="8" fillId="3" borderId="311" xfId="0" applyFont="1" applyFill="1" applyBorder="1" applyAlignment="1">
      <alignment vertical="top" wrapText="1"/>
    </xf>
    <xf numFmtId="0" fontId="17" fillId="0" borderId="107" xfId="0" applyFont="1" applyBorder="1" applyAlignment="1">
      <alignment horizontal="left" vertical="top" wrapText="1"/>
    </xf>
    <xf numFmtId="0" fontId="41" fillId="13" borderId="108" xfId="0" applyFont="1" applyFill="1" applyBorder="1" applyAlignment="1">
      <alignment horizontal="left" vertical="top" wrapText="1"/>
    </xf>
    <xf numFmtId="0" fontId="1" fillId="3" borderId="169" xfId="0" applyFont="1" applyFill="1" applyBorder="1" applyAlignment="1">
      <alignment horizontal="left" vertical="top" wrapText="1"/>
    </xf>
    <xf numFmtId="0" fontId="1" fillId="3" borderId="223" xfId="0" applyFont="1" applyFill="1" applyBorder="1" applyAlignment="1">
      <alignment horizontal="left" vertical="top" wrapText="1"/>
    </xf>
    <xf numFmtId="0" fontId="1" fillId="3" borderId="159" xfId="0" applyFont="1" applyFill="1" applyBorder="1" applyAlignment="1">
      <alignment horizontal="left" vertical="top" wrapText="1"/>
    </xf>
    <xf numFmtId="0" fontId="1" fillId="3" borderId="164" xfId="0" applyFont="1" applyFill="1" applyBorder="1" applyAlignment="1">
      <alignment horizontal="left" vertical="top" wrapText="1"/>
    </xf>
    <xf numFmtId="0" fontId="1" fillId="13" borderId="192" xfId="0" applyFont="1" applyFill="1" applyBorder="1" applyAlignment="1">
      <alignment horizontal="left" vertical="top" wrapText="1"/>
    </xf>
    <xf numFmtId="0" fontId="61" fillId="0" borderId="191" xfId="0" applyFont="1" applyBorder="1" applyAlignment="1">
      <alignment horizontal="left" vertical="top"/>
    </xf>
    <xf numFmtId="0" fontId="20" fillId="0" borderId="191" xfId="0" applyFont="1" applyBorder="1" applyAlignment="1">
      <alignment horizontal="left" vertical="top"/>
    </xf>
    <xf numFmtId="0" fontId="8" fillId="13" borderId="302" xfId="0" applyFont="1" applyFill="1" applyBorder="1" applyAlignment="1">
      <alignment horizontal="left" vertical="top" wrapText="1"/>
    </xf>
    <xf numFmtId="0" fontId="8" fillId="13" borderId="192" xfId="0" applyFont="1" applyFill="1" applyBorder="1" applyAlignment="1">
      <alignment horizontal="left" vertical="top" wrapText="1"/>
    </xf>
    <xf numFmtId="0" fontId="1" fillId="13" borderId="174" xfId="0" applyFont="1" applyFill="1" applyBorder="1" applyAlignment="1">
      <alignment horizontal="left" vertical="top" wrapText="1"/>
    </xf>
    <xf numFmtId="0" fontId="1" fillId="13" borderId="206" xfId="0" applyFont="1" applyFill="1" applyBorder="1" applyAlignment="1">
      <alignment horizontal="left" vertical="top" wrapText="1"/>
    </xf>
    <xf numFmtId="0" fontId="1" fillId="13" borderId="494" xfId="0" applyFont="1" applyFill="1" applyBorder="1" applyAlignment="1">
      <alignment horizontal="left" vertical="top" wrapText="1"/>
    </xf>
    <xf numFmtId="49" fontId="1" fillId="13" borderId="162" xfId="0" applyNumberFormat="1" applyFont="1" applyFill="1" applyBorder="1" applyAlignment="1">
      <alignment horizontal="left" vertical="top" wrapText="1"/>
    </xf>
    <xf numFmtId="0" fontId="1" fillId="3" borderId="170" xfId="0" applyFont="1" applyFill="1" applyBorder="1" applyAlignment="1">
      <alignment horizontal="left" vertical="top" wrapText="1"/>
    </xf>
    <xf numFmtId="49" fontId="1" fillId="13" borderId="165" xfId="0" applyNumberFormat="1" applyFont="1" applyFill="1" applyBorder="1" applyAlignment="1">
      <alignment horizontal="left" vertical="top" wrapText="1"/>
    </xf>
    <xf numFmtId="0" fontId="1" fillId="13" borderId="231" xfId="0" applyFont="1" applyFill="1" applyBorder="1" applyAlignment="1">
      <alignment horizontal="left" vertical="top" wrapText="1"/>
    </xf>
    <xf numFmtId="0" fontId="8" fillId="13" borderId="322" xfId="0" applyFont="1" applyFill="1" applyBorder="1" applyAlignment="1">
      <alignment horizontal="left" vertical="top" wrapText="1"/>
    </xf>
    <xf numFmtId="0" fontId="17" fillId="0" borderId="316" xfId="0" applyFont="1" applyBorder="1" applyAlignment="1">
      <alignment horizontal="left" vertical="top" wrapText="1"/>
    </xf>
    <xf numFmtId="0" fontId="17" fillId="0" borderId="212" xfId="0" applyFont="1" applyBorder="1" applyAlignment="1">
      <alignment horizontal="left" vertical="top" wrapText="1"/>
    </xf>
    <xf numFmtId="0" fontId="41" fillId="0" borderId="322" xfId="0" applyFont="1" applyBorder="1" applyAlignment="1">
      <alignment horizontal="left" vertical="top" wrapText="1"/>
    </xf>
    <xf numFmtId="0" fontId="17" fillId="0" borderId="114" xfId="0" applyFont="1" applyBorder="1" applyAlignment="1">
      <alignment horizontal="left" vertical="top" wrapText="1"/>
    </xf>
    <xf numFmtId="0" fontId="55" fillId="0" borderId="108" xfId="0" applyFont="1" applyBorder="1" applyAlignment="1">
      <alignment horizontal="left" vertical="top" wrapText="1"/>
    </xf>
    <xf numFmtId="0" fontId="17" fillId="0" borderId="221" xfId="0" applyFont="1" applyBorder="1" applyAlignment="1">
      <alignment horizontal="left" vertical="top" wrapText="1"/>
    </xf>
    <xf numFmtId="0" fontId="41" fillId="13" borderId="214" xfId="0" applyFont="1" applyFill="1" applyBorder="1" applyAlignment="1">
      <alignment horizontal="left" vertical="top" wrapText="1"/>
    </xf>
    <xf numFmtId="0" fontId="1" fillId="13" borderId="113" xfId="0" applyFont="1" applyFill="1" applyBorder="1" applyAlignment="1">
      <alignment horizontal="left" vertical="top" wrapText="1"/>
    </xf>
    <xf numFmtId="0" fontId="17" fillId="13" borderId="204" xfId="0" applyFont="1" applyFill="1" applyBorder="1" applyAlignment="1">
      <alignment horizontal="left" vertical="top" wrapText="1"/>
    </xf>
    <xf numFmtId="0" fontId="17" fillId="13" borderId="172" xfId="0" applyFont="1" applyFill="1" applyBorder="1" applyAlignment="1">
      <alignment horizontal="left" vertical="top" wrapText="1"/>
    </xf>
    <xf numFmtId="49" fontId="52" fillId="13" borderId="204" xfId="0" applyNumberFormat="1" applyFont="1" applyFill="1" applyBorder="1" applyAlignment="1">
      <alignment horizontal="left" vertical="top" wrapText="1"/>
    </xf>
    <xf numFmtId="0" fontId="1" fillId="13" borderId="172" xfId="0" applyFont="1" applyFill="1" applyBorder="1" applyAlignment="1">
      <alignment horizontal="left" vertical="top" wrapText="1"/>
    </xf>
    <xf numFmtId="0" fontId="1" fillId="13" borderId="244" xfId="0" applyFont="1" applyFill="1" applyBorder="1" applyAlignment="1">
      <alignment horizontal="left" vertical="top" wrapText="1"/>
    </xf>
    <xf numFmtId="0" fontId="17" fillId="13" borderId="165" xfId="0" applyFont="1" applyFill="1" applyBorder="1" applyAlignment="1">
      <alignment horizontal="left" vertical="top" wrapText="1"/>
    </xf>
    <xf numFmtId="0" fontId="41" fillId="0" borderId="231" xfId="0" applyFont="1" applyBorder="1" applyAlignment="1">
      <alignment horizontal="left" vertical="top" wrapText="1"/>
    </xf>
    <xf numFmtId="0" fontId="41" fillId="0" borderId="249" xfId="0" applyFont="1" applyBorder="1" applyAlignment="1">
      <alignment horizontal="left" vertical="top" wrapText="1"/>
    </xf>
    <xf numFmtId="0" fontId="1" fillId="0" borderId="212" xfId="0" applyFont="1" applyBorder="1" applyAlignment="1">
      <alignment horizontal="left" vertical="top" wrapText="1"/>
    </xf>
    <xf numFmtId="0" fontId="1" fillId="13" borderId="212" xfId="0" applyFont="1" applyFill="1" applyBorder="1" applyAlignment="1">
      <alignment horizontal="left" vertical="top" wrapText="1"/>
    </xf>
    <xf numFmtId="0" fontId="8" fillId="13" borderId="160" xfId="0" applyFont="1" applyFill="1" applyBorder="1" applyAlignment="1">
      <alignment horizontal="left" vertical="top" wrapText="1"/>
    </xf>
    <xf numFmtId="0" fontId="17" fillId="0" borderId="249" xfId="0" applyFont="1" applyBorder="1" applyAlignment="1">
      <alignment horizontal="left" vertical="top" wrapText="1"/>
    </xf>
    <xf numFmtId="0" fontId="41" fillId="0" borderId="233" xfId="0" applyFont="1" applyBorder="1" applyAlignment="1">
      <alignment horizontal="left" vertical="top" wrapText="1"/>
    </xf>
    <xf numFmtId="0" fontId="1" fillId="0" borderId="233" xfId="0" applyFont="1" applyBorder="1" applyAlignment="1">
      <alignment horizontal="left" vertical="top" wrapText="1"/>
    </xf>
    <xf numFmtId="0" fontId="41" fillId="13" borderId="234" xfId="0" applyFont="1" applyFill="1" applyBorder="1" applyAlignment="1">
      <alignment horizontal="left" vertical="top" wrapText="1"/>
    </xf>
    <xf numFmtId="0" fontId="41" fillId="13" borderId="212" xfId="0" applyFont="1" applyFill="1" applyBorder="1" applyAlignment="1">
      <alignment horizontal="left" vertical="top" wrapText="1"/>
    </xf>
    <xf numFmtId="0" fontId="1" fillId="13" borderId="249" xfId="0" applyFont="1" applyFill="1" applyBorder="1" applyAlignment="1">
      <alignment horizontal="left" vertical="top" wrapText="1"/>
    </xf>
    <xf numFmtId="0" fontId="17" fillId="13" borderId="206" xfId="0" applyFont="1" applyFill="1" applyBorder="1" applyAlignment="1">
      <alignment horizontal="left" vertical="top" wrapText="1"/>
    </xf>
    <xf numFmtId="0" fontId="8" fillId="0" borderId="310" xfId="0" applyFont="1" applyBorder="1" applyAlignment="1" applyProtection="1">
      <alignment horizontal="left" vertical="top" wrapText="1"/>
      <protection locked="0"/>
    </xf>
    <xf numFmtId="0" fontId="8" fillId="0" borderId="306" xfId="0" applyFont="1" applyBorder="1" applyAlignment="1" applyProtection="1">
      <alignment horizontal="left" vertical="top" wrapText="1"/>
      <protection locked="0"/>
    </xf>
    <xf numFmtId="0" fontId="36" fillId="0" borderId="18" xfId="0" applyFont="1" applyBorder="1" applyAlignment="1" applyProtection="1">
      <alignment horizontal="left" vertical="top" wrapText="1"/>
      <protection locked="0"/>
    </xf>
    <xf numFmtId="0" fontId="62" fillId="0" borderId="0" xfId="0" applyFont="1" applyAlignment="1" applyProtection="1">
      <alignment horizontal="left" vertical="top" wrapText="1"/>
      <protection locked="0"/>
    </xf>
    <xf numFmtId="0" fontId="62" fillId="0" borderId="0" xfId="0" applyFont="1" applyAlignment="1" applyProtection="1">
      <alignment horizontal="left" vertical="top"/>
      <protection locked="0"/>
    </xf>
    <xf numFmtId="0" fontId="38" fillId="0" borderId="236" xfId="0" applyFont="1" applyBorder="1" applyAlignment="1" applyProtection="1">
      <alignment horizontal="left" vertical="top" wrapText="1"/>
      <protection locked="0"/>
    </xf>
    <xf numFmtId="0" fontId="62" fillId="0" borderId="68" xfId="0" applyFont="1" applyBorder="1" applyAlignment="1" applyProtection="1">
      <alignment horizontal="left" vertical="top"/>
      <protection locked="0"/>
    </xf>
    <xf numFmtId="0" fontId="62" fillId="7" borderId="37" xfId="0" applyFont="1" applyFill="1" applyBorder="1" applyAlignment="1" applyProtection="1">
      <alignment horizontal="left" vertical="top" wrapText="1"/>
      <protection locked="0"/>
    </xf>
    <xf numFmtId="0" fontId="62" fillId="0" borderId="54" xfId="0" applyFont="1" applyBorder="1" applyAlignment="1" applyProtection="1">
      <alignment horizontal="left" vertical="top"/>
      <protection locked="0"/>
    </xf>
    <xf numFmtId="0" fontId="32" fillId="0" borderId="23" xfId="0" applyFont="1" applyBorder="1" applyAlignment="1" applyProtection="1">
      <alignment horizontal="left" vertical="top"/>
      <protection locked="0"/>
    </xf>
    <xf numFmtId="0" fontId="32" fillId="0" borderId="169" xfId="0" applyFont="1" applyBorder="1" applyAlignment="1" applyProtection="1">
      <alignment horizontal="left" vertical="top"/>
      <protection locked="0"/>
    </xf>
    <xf numFmtId="0" fontId="8" fillId="0" borderId="55" xfId="0" applyFont="1" applyBorder="1" applyAlignment="1" applyProtection="1">
      <alignment horizontal="left" vertical="top" wrapText="1"/>
      <protection locked="0"/>
    </xf>
    <xf numFmtId="0" fontId="32" fillId="0" borderId="110" xfId="0" applyFont="1" applyBorder="1" applyAlignment="1" applyProtection="1">
      <alignment horizontal="left" vertical="top"/>
      <protection locked="0"/>
    </xf>
    <xf numFmtId="0" fontId="8" fillId="0" borderId="224" xfId="0" applyFont="1" applyBorder="1" applyAlignment="1" applyProtection="1">
      <alignment horizontal="left" vertical="top" wrapText="1"/>
      <protection locked="0"/>
    </xf>
    <xf numFmtId="0" fontId="32" fillId="0" borderId="159" xfId="0" applyFont="1" applyBorder="1" applyAlignment="1" applyProtection="1">
      <alignment horizontal="left" vertical="top"/>
      <protection locked="0"/>
    </xf>
    <xf numFmtId="0" fontId="1" fillId="0" borderId="75" xfId="0" applyFont="1" applyBorder="1" applyAlignment="1" applyProtection="1">
      <alignment horizontal="left" vertical="top" wrapText="1"/>
      <protection locked="0"/>
    </xf>
    <xf numFmtId="0" fontId="32" fillId="0" borderId="113" xfId="0" applyFont="1" applyBorder="1" applyAlignment="1" applyProtection="1">
      <alignment horizontal="left" vertical="top"/>
      <protection locked="0"/>
    </xf>
    <xf numFmtId="0" fontId="27" fillId="0" borderId="159" xfId="0" applyFont="1" applyBorder="1" applyAlignment="1" applyProtection="1">
      <alignment horizontal="left" vertical="top"/>
      <protection locked="0"/>
    </xf>
    <xf numFmtId="0" fontId="27" fillId="0" borderId="110" xfId="0" applyFont="1" applyBorder="1" applyAlignment="1" applyProtection="1">
      <alignment horizontal="left" vertical="top"/>
      <protection locked="0"/>
    </xf>
    <xf numFmtId="0" fontId="8" fillId="0" borderId="223" xfId="0" applyFont="1" applyBorder="1" applyAlignment="1" applyProtection="1">
      <alignment horizontal="left" vertical="top" wrapText="1"/>
      <protection locked="0"/>
    </xf>
    <xf numFmtId="0" fontId="32" fillId="0" borderId="224" xfId="0" applyFont="1" applyBorder="1" applyAlignment="1" applyProtection="1">
      <alignment horizontal="left" vertical="top"/>
      <protection locked="0"/>
    </xf>
    <xf numFmtId="0" fontId="32" fillId="6" borderId="0" xfId="0" applyFont="1" applyFill="1" applyAlignment="1" applyProtection="1">
      <alignment horizontal="left" vertical="top"/>
      <protection locked="0"/>
    </xf>
    <xf numFmtId="0" fontId="8" fillId="0" borderId="172" xfId="0" applyFont="1" applyBorder="1" applyAlignment="1" applyProtection="1">
      <alignment horizontal="left" vertical="top" wrapText="1"/>
      <protection locked="0"/>
    </xf>
    <xf numFmtId="0" fontId="8" fillId="0" borderId="46" xfId="0" applyFont="1" applyBorder="1" applyAlignment="1" applyProtection="1">
      <alignment horizontal="left" vertical="top" wrapText="1"/>
      <protection locked="0"/>
    </xf>
    <xf numFmtId="0" fontId="8" fillId="0" borderId="44" xfId="0" applyFont="1" applyBorder="1" applyAlignment="1" applyProtection="1">
      <alignment horizontal="left" vertical="top" wrapText="1"/>
      <protection locked="0"/>
    </xf>
    <xf numFmtId="0" fontId="8" fillId="0" borderId="49" xfId="0" applyFont="1" applyBorder="1" applyAlignment="1" applyProtection="1">
      <alignment horizontal="left" vertical="top" wrapText="1"/>
      <protection locked="0"/>
    </xf>
    <xf numFmtId="0" fontId="8" fillId="0" borderId="54" xfId="0" applyFont="1" applyBorder="1" applyAlignment="1" applyProtection="1">
      <alignment horizontal="left" vertical="top" wrapText="1"/>
      <protection locked="0"/>
    </xf>
    <xf numFmtId="49" fontId="32" fillId="0" borderId="125" xfId="0" applyNumberFormat="1" applyFont="1" applyBorder="1" applyAlignment="1" applyProtection="1">
      <alignment horizontal="left" vertical="top" wrapText="1"/>
      <protection locked="0"/>
    </xf>
    <xf numFmtId="0" fontId="32" fillId="0" borderId="164" xfId="0" applyFont="1" applyBorder="1" applyAlignment="1" applyProtection="1">
      <alignment horizontal="left" vertical="top"/>
      <protection locked="0"/>
    </xf>
    <xf numFmtId="0" fontId="32" fillId="0" borderId="164" xfId="0" applyFont="1" applyBorder="1" applyAlignment="1" applyProtection="1">
      <alignment horizontal="left" vertical="top" wrapText="1"/>
      <protection locked="0"/>
    </xf>
    <xf numFmtId="0" fontId="8" fillId="0" borderId="143" xfId="0" applyFont="1" applyBorder="1" applyAlignment="1" applyProtection="1">
      <alignment horizontal="left" vertical="top" wrapText="1"/>
      <protection locked="0"/>
    </xf>
    <xf numFmtId="0" fontId="8" fillId="0" borderId="64" xfId="0" applyFont="1" applyBorder="1" applyAlignment="1" applyProtection="1">
      <alignment horizontal="left" vertical="top" wrapText="1"/>
      <protection locked="0"/>
    </xf>
    <xf numFmtId="0" fontId="8" fillId="0" borderId="61" xfId="0" applyFont="1" applyBorder="1" applyAlignment="1" applyProtection="1">
      <alignment horizontal="left" vertical="top" wrapText="1"/>
      <protection locked="0"/>
    </xf>
    <xf numFmtId="0" fontId="8" fillId="6" borderId="191" xfId="0" applyFont="1" applyFill="1" applyBorder="1" applyAlignment="1" applyProtection="1">
      <alignment horizontal="left" vertical="top" wrapText="1"/>
      <protection locked="0"/>
    </xf>
    <xf numFmtId="0" fontId="8" fillId="6" borderId="192" xfId="0" applyFont="1" applyFill="1" applyBorder="1" applyAlignment="1" applyProtection="1">
      <alignment horizontal="left" vertical="top" wrapText="1"/>
      <protection locked="0"/>
    </xf>
    <xf numFmtId="0" fontId="41" fillId="0" borderId="198" xfId="0" applyFont="1" applyBorder="1" applyAlignment="1" applyProtection="1">
      <alignment horizontal="left" vertical="top" wrapText="1"/>
      <protection locked="0"/>
    </xf>
    <xf numFmtId="0" fontId="32" fillId="0" borderId="160" xfId="0" applyFont="1" applyBorder="1" applyAlignment="1" applyProtection="1">
      <alignment horizontal="left" vertical="top"/>
      <protection locked="0"/>
    </xf>
    <xf numFmtId="0" fontId="17" fillId="0" borderId="257" xfId="0" applyFont="1" applyBorder="1" applyAlignment="1" applyProtection="1">
      <alignment horizontal="left" vertical="top" wrapText="1"/>
      <protection locked="0"/>
    </xf>
    <xf numFmtId="0" fontId="32" fillId="0" borderId="158" xfId="0" applyFont="1" applyBorder="1" applyAlignment="1" applyProtection="1">
      <alignment horizontal="left" vertical="top"/>
      <protection locked="0"/>
    </xf>
    <xf numFmtId="0" fontId="32" fillId="0" borderId="162" xfId="0" applyFont="1" applyBorder="1" applyAlignment="1" applyProtection="1">
      <alignment horizontal="left" vertical="top"/>
      <protection locked="0"/>
    </xf>
    <xf numFmtId="0" fontId="32" fillId="0" borderId="115" xfId="0" applyFont="1" applyBorder="1" applyAlignment="1" applyProtection="1">
      <alignment horizontal="left" vertical="top"/>
      <protection locked="0"/>
    </xf>
    <xf numFmtId="0" fontId="32" fillId="0" borderId="172" xfId="0" applyFont="1" applyBorder="1" applyAlignment="1" applyProtection="1">
      <alignment horizontal="left" vertical="top"/>
      <protection locked="0"/>
    </xf>
    <xf numFmtId="0" fontId="1" fillId="0" borderId="72" xfId="0" applyFont="1" applyBorder="1" applyAlignment="1" applyProtection="1">
      <alignment horizontal="left" vertical="top" wrapText="1"/>
      <protection locked="0"/>
    </xf>
    <xf numFmtId="0" fontId="32" fillId="0" borderId="159" xfId="0" applyFont="1" applyBorder="1" applyAlignment="1" applyProtection="1">
      <alignment horizontal="left" vertical="top" wrapText="1"/>
      <protection locked="0"/>
    </xf>
    <xf numFmtId="0" fontId="32" fillId="0" borderId="165" xfId="0" applyFont="1" applyBorder="1" applyAlignment="1" applyProtection="1">
      <alignment horizontal="left" vertical="top"/>
      <protection locked="0"/>
    </xf>
    <xf numFmtId="0" fontId="32" fillId="0" borderId="192" xfId="0" applyFont="1" applyBorder="1" applyAlignment="1" applyProtection="1">
      <alignment horizontal="left" vertical="top" wrapText="1"/>
      <protection locked="0"/>
    </xf>
    <xf numFmtId="0" fontId="32" fillId="0" borderId="192" xfId="0" applyFont="1" applyBorder="1" applyAlignment="1" applyProtection="1">
      <alignment horizontal="left" vertical="top"/>
      <protection locked="0"/>
    </xf>
    <xf numFmtId="0" fontId="32" fillId="0" borderId="191" xfId="0" applyFont="1" applyBorder="1" applyAlignment="1" applyProtection="1">
      <alignment horizontal="left" vertical="top"/>
      <protection locked="0"/>
    </xf>
    <xf numFmtId="0" fontId="32" fillId="0" borderId="165" xfId="0" applyFont="1" applyBorder="1" applyAlignment="1" applyProtection="1">
      <alignment horizontal="left" vertical="top" wrapText="1"/>
      <protection locked="0"/>
    </xf>
    <xf numFmtId="0" fontId="32" fillId="0" borderId="162" xfId="0" applyFont="1" applyBorder="1" applyAlignment="1" applyProtection="1">
      <alignment horizontal="left" vertical="top" wrapText="1"/>
      <protection locked="0"/>
    </xf>
    <xf numFmtId="0" fontId="38" fillId="0" borderId="236" xfId="0" applyFont="1" applyBorder="1" applyAlignment="1">
      <alignment horizontal="left" vertical="top" wrapText="1"/>
    </xf>
    <xf numFmtId="0" fontId="62" fillId="7" borderId="37" xfId="0" applyFont="1" applyFill="1" applyBorder="1" applyAlignment="1">
      <alignment horizontal="left" vertical="top" wrapText="1"/>
    </xf>
    <xf numFmtId="0" fontId="38" fillId="0" borderId="122" xfId="0" applyFont="1" applyBorder="1" applyAlignment="1">
      <alignment horizontal="left" vertical="top" wrapText="1"/>
    </xf>
    <xf numFmtId="0" fontId="38" fillId="0" borderId="42" xfId="0" applyFont="1" applyBorder="1" applyAlignment="1">
      <alignment horizontal="left" vertical="top" wrapText="1"/>
    </xf>
    <xf numFmtId="0" fontId="38" fillId="0" borderId="321" xfId="0" applyFont="1" applyBorder="1" applyAlignment="1">
      <alignment horizontal="left" vertical="top" wrapText="1"/>
    </xf>
    <xf numFmtId="0" fontId="38" fillId="0" borderId="37" xfId="0" applyFont="1" applyBorder="1" applyAlignment="1">
      <alignment horizontal="left" vertical="top" wrapText="1"/>
    </xf>
    <xf numFmtId="0" fontId="38" fillId="0" borderId="149" xfId="0" applyFont="1" applyBorder="1" applyAlignment="1">
      <alignment horizontal="left" vertical="top" wrapText="1"/>
    </xf>
    <xf numFmtId="0" fontId="38" fillId="0" borderId="0" xfId="0" applyFont="1" applyAlignment="1">
      <alignment horizontal="left" vertical="top" wrapText="1"/>
    </xf>
    <xf numFmtId="0" fontId="38" fillId="0" borderId="29" xfId="0" applyFont="1" applyBorder="1" applyAlignment="1">
      <alignment horizontal="left" vertical="top" wrapText="1"/>
    </xf>
    <xf numFmtId="0" fontId="36" fillId="7" borderId="37" xfId="0" applyFont="1" applyFill="1" applyBorder="1" applyAlignment="1">
      <alignment horizontal="left" vertical="top" wrapText="1"/>
    </xf>
    <xf numFmtId="0" fontId="49" fillId="7" borderId="37" xfId="0" applyFont="1" applyFill="1" applyBorder="1" applyAlignment="1">
      <alignment horizontal="left" vertical="top" wrapText="1"/>
    </xf>
    <xf numFmtId="0" fontId="17" fillId="7" borderId="37" xfId="0" applyFont="1" applyFill="1" applyBorder="1" applyAlignment="1">
      <alignment horizontal="left" vertical="top" wrapText="1"/>
    </xf>
    <xf numFmtId="0" fontId="62" fillId="7" borderId="37" xfId="0" applyFont="1" applyFill="1" applyBorder="1" applyAlignment="1">
      <alignment horizontal="left" vertical="top"/>
    </xf>
    <xf numFmtId="0" fontId="1" fillId="3" borderId="262" xfId="0" applyFont="1" applyFill="1" applyBorder="1" applyAlignment="1">
      <alignment horizontal="left" vertical="top" wrapText="1"/>
    </xf>
    <xf numFmtId="0" fontId="1" fillId="13" borderId="198" xfId="0" applyFont="1" applyFill="1" applyBorder="1" applyAlignment="1">
      <alignment horizontal="left" vertical="top" wrapText="1"/>
    </xf>
    <xf numFmtId="0" fontId="1" fillId="13" borderId="158" xfId="0" applyFont="1" applyFill="1" applyBorder="1" applyAlignment="1">
      <alignment horizontal="left" vertical="top" wrapText="1"/>
    </xf>
    <xf numFmtId="0" fontId="1" fillId="13" borderId="161" xfId="0" applyFont="1" applyFill="1" applyBorder="1" applyAlignment="1">
      <alignment horizontal="left" vertical="top" wrapText="1"/>
    </xf>
    <xf numFmtId="0" fontId="1" fillId="13" borderId="163" xfId="0" applyFont="1" applyFill="1" applyBorder="1" applyAlignment="1">
      <alignment horizontal="left" vertical="top" wrapText="1"/>
    </xf>
    <xf numFmtId="0" fontId="1" fillId="3" borderId="311" xfId="0" applyFont="1" applyFill="1" applyBorder="1" applyAlignment="1">
      <alignment horizontal="left" vertical="top" wrapText="1"/>
    </xf>
    <xf numFmtId="0" fontId="8" fillId="8" borderId="168" xfId="0" applyFont="1" applyFill="1" applyBorder="1" applyAlignment="1">
      <alignment horizontal="left" vertical="top" wrapText="1"/>
    </xf>
    <xf numFmtId="0" fontId="1" fillId="13" borderId="221" xfId="0" applyFont="1" applyFill="1" applyBorder="1" applyAlignment="1">
      <alignment horizontal="left" vertical="top" wrapText="1"/>
    </xf>
    <xf numFmtId="0" fontId="1" fillId="13" borderId="116" xfId="0" applyFont="1" applyFill="1" applyBorder="1" applyAlignment="1">
      <alignment horizontal="left" vertical="top" wrapText="1"/>
    </xf>
    <xf numFmtId="0" fontId="1" fillId="3" borderId="168" xfId="0" applyFont="1" applyFill="1" applyBorder="1" applyAlignment="1">
      <alignment horizontal="left" vertical="top" wrapText="1"/>
    </xf>
    <xf numFmtId="0" fontId="1" fillId="13" borderId="322" xfId="0" applyFont="1" applyFill="1" applyBorder="1" applyAlignment="1">
      <alignment horizontal="left" vertical="top" wrapText="1"/>
    </xf>
    <xf numFmtId="0" fontId="1" fillId="3" borderId="173" xfId="0" applyFont="1" applyFill="1" applyBorder="1" applyAlignment="1">
      <alignment horizontal="left" vertical="top" wrapText="1"/>
    </xf>
    <xf numFmtId="0" fontId="1" fillId="3" borderId="305" xfId="0" applyFont="1" applyFill="1" applyBorder="1" applyAlignment="1">
      <alignment horizontal="left" vertical="top" wrapText="1"/>
    </xf>
    <xf numFmtId="0" fontId="1" fillId="13" borderId="214" xfId="0" applyFont="1" applyFill="1" applyBorder="1" applyAlignment="1">
      <alignment horizontal="left" vertical="top" wrapText="1"/>
    </xf>
    <xf numFmtId="0" fontId="1" fillId="3" borderId="303" xfId="0" applyFont="1" applyFill="1" applyBorder="1" applyAlignment="1">
      <alignment horizontal="left" vertical="top" wrapText="1"/>
    </xf>
    <xf numFmtId="0" fontId="1" fillId="13" borderId="224" xfId="0" applyFont="1" applyFill="1" applyBorder="1" applyAlignment="1">
      <alignment horizontal="left" vertical="top" wrapText="1"/>
    </xf>
    <xf numFmtId="0" fontId="1" fillId="3" borderId="29" xfId="0" applyFont="1" applyFill="1" applyBorder="1" applyAlignment="1">
      <alignment horizontal="left" vertical="top" wrapText="1"/>
    </xf>
    <xf numFmtId="0" fontId="1" fillId="13" borderId="219" xfId="0" applyFont="1" applyFill="1" applyBorder="1" applyAlignment="1">
      <alignment horizontal="left" vertical="top" wrapText="1"/>
    </xf>
    <xf numFmtId="0" fontId="1" fillId="3" borderId="215" xfId="0" applyFont="1" applyFill="1" applyBorder="1" applyAlignment="1">
      <alignment horizontal="left" vertical="top" wrapText="1"/>
    </xf>
    <xf numFmtId="0" fontId="1" fillId="13" borderId="320" xfId="0" applyFont="1" applyFill="1" applyBorder="1" applyAlignment="1">
      <alignment horizontal="left" vertical="top" wrapText="1"/>
    </xf>
    <xf numFmtId="0" fontId="1" fillId="13" borderId="217" xfId="0" applyFont="1" applyFill="1" applyBorder="1" applyAlignment="1">
      <alignment horizontal="left" vertical="top" wrapText="1"/>
    </xf>
    <xf numFmtId="0" fontId="1" fillId="3" borderId="96" xfId="0" applyFont="1" applyFill="1" applyBorder="1" applyAlignment="1">
      <alignment horizontal="left" vertical="top" wrapText="1"/>
    </xf>
    <xf numFmtId="0" fontId="1" fillId="3" borderId="122" xfId="0" applyFont="1" applyFill="1" applyBorder="1" applyAlignment="1">
      <alignment horizontal="left" vertical="top" wrapText="1"/>
    </xf>
    <xf numFmtId="0" fontId="1" fillId="13" borderId="303" xfId="0" applyFont="1" applyFill="1" applyBorder="1" applyAlignment="1">
      <alignment horizontal="left" vertical="top" wrapText="1"/>
    </xf>
    <xf numFmtId="0" fontId="8" fillId="0" borderId="175" xfId="0" applyFont="1" applyBorder="1" applyAlignment="1">
      <alignment vertical="top" wrapText="1"/>
    </xf>
    <xf numFmtId="0" fontId="8" fillId="0" borderId="70" xfId="0" applyFont="1" applyBorder="1" applyAlignment="1">
      <alignment vertical="top" wrapText="1"/>
    </xf>
    <xf numFmtId="0" fontId="1" fillId="13" borderId="257" xfId="0" applyFont="1" applyFill="1" applyBorder="1" applyAlignment="1">
      <alignment horizontal="left" vertical="top" wrapText="1"/>
    </xf>
    <xf numFmtId="0" fontId="30" fillId="3" borderId="311" xfId="0" applyFont="1" applyFill="1" applyBorder="1" applyAlignment="1" applyProtection="1">
      <alignment horizontal="left" vertical="top" wrapText="1"/>
      <protection locked="0"/>
    </xf>
    <xf numFmtId="0" fontId="38" fillId="0" borderId="486" xfId="0" applyFont="1" applyBorder="1" applyAlignment="1">
      <alignment horizontal="left" vertical="top" wrapText="1"/>
    </xf>
    <xf numFmtId="0" fontId="1" fillId="3" borderId="268" xfId="0" applyFont="1" applyFill="1" applyBorder="1" applyAlignment="1">
      <alignment horizontal="left" vertical="top" wrapText="1"/>
    </xf>
    <xf numFmtId="0" fontId="1" fillId="13" borderId="331" xfId="0" applyFont="1" applyFill="1" applyBorder="1" applyAlignment="1">
      <alignment horizontal="left" vertical="top" wrapText="1"/>
    </xf>
    <xf numFmtId="0" fontId="1" fillId="13" borderId="272" xfId="0" applyFont="1" applyFill="1" applyBorder="1" applyAlignment="1">
      <alignment horizontal="left" vertical="top" wrapText="1"/>
    </xf>
    <xf numFmtId="0" fontId="1" fillId="3" borderId="177" xfId="0" applyFont="1" applyFill="1" applyBorder="1" applyAlignment="1">
      <alignment horizontal="left" vertical="top" wrapText="1"/>
    </xf>
    <xf numFmtId="0" fontId="1" fillId="13" borderId="271" xfId="0" applyFont="1" applyFill="1" applyBorder="1" applyAlignment="1">
      <alignment horizontal="left" vertical="top" wrapText="1"/>
    </xf>
    <xf numFmtId="0" fontId="1" fillId="3" borderId="265" xfId="0" applyFont="1" applyFill="1" applyBorder="1" applyAlignment="1">
      <alignment horizontal="left" vertical="top" wrapText="1"/>
    </xf>
    <xf numFmtId="0" fontId="1" fillId="13" borderId="273" xfId="0" applyFont="1" applyFill="1" applyBorder="1" applyAlignment="1">
      <alignment horizontal="left" vertical="top" wrapText="1"/>
    </xf>
    <xf numFmtId="0" fontId="1" fillId="3" borderId="260" xfId="0" applyFont="1" applyFill="1" applyBorder="1" applyAlignment="1">
      <alignment horizontal="left" vertical="top" wrapText="1"/>
    </xf>
    <xf numFmtId="0" fontId="1" fillId="13" borderId="307" xfId="0" applyFont="1" applyFill="1" applyBorder="1" applyAlignment="1">
      <alignment horizontal="left" vertical="top" wrapText="1"/>
    </xf>
    <xf numFmtId="0" fontId="1" fillId="3" borderId="328" xfId="0" applyFont="1" applyFill="1" applyBorder="1" applyAlignment="1">
      <alignment horizontal="left" vertical="top" wrapText="1"/>
    </xf>
    <xf numFmtId="0" fontId="1" fillId="13" borderId="263" xfId="0" applyFont="1" applyFill="1" applyBorder="1" applyAlignment="1">
      <alignment horizontal="left" vertical="top" wrapText="1"/>
    </xf>
    <xf numFmtId="0" fontId="17" fillId="7" borderId="47" xfId="0" applyFont="1" applyFill="1" applyBorder="1" applyAlignment="1">
      <alignment horizontal="left" vertical="top" wrapText="1"/>
    </xf>
    <xf numFmtId="0" fontId="55" fillId="7" borderId="55" xfId="0" applyFont="1" applyFill="1" applyBorder="1" applyAlignment="1">
      <alignment horizontal="left" vertical="top" wrapText="1"/>
    </xf>
    <xf numFmtId="0" fontId="1" fillId="13" borderId="175" xfId="0" applyFont="1" applyFill="1" applyBorder="1" applyAlignment="1">
      <alignment horizontal="left" vertical="top" wrapText="1"/>
    </xf>
    <xf numFmtId="49" fontId="32" fillId="13" borderId="198" xfId="0" applyNumberFormat="1" applyFont="1" applyFill="1" applyBorder="1" applyAlignment="1">
      <alignment horizontal="left" vertical="top" wrapText="1"/>
    </xf>
    <xf numFmtId="0" fontId="14" fillId="3" borderId="70" xfId="0" applyFont="1" applyFill="1" applyBorder="1" applyAlignment="1">
      <alignment horizontal="left" vertical="top" wrapText="1"/>
    </xf>
    <xf numFmtId="0" fontId="14" fillId="3" borderId="212" xfId="0" applyFont="1" applyFill="1" applyBorder="1" applyAlignment="1">
      <alignment horizontal="left" vertical="top" wrapText="1"/>
    </xf>
    <xf numFmtId="0" fontId="14" fillId="13" borderId="322" xfId="0" applyFont="1" applyFill="1" applyBorder="1" applyAlignment="1">
      <alignment horizontal="left" vertical="top" wrapText="1"/>
    </xf>
    <xf numFmtId="0" fontId="8" fillId="3" borderId="42" xfId="0" applyFont="1" applyFill="1" applyBorder="1" applyAlignment="1">
      <alignment horizontal="left" vertical="top" wrapText="1"/>
    </xf>
    <xf numFmtId="0" fontId="1" fillId="0" borderId="334" xfId="0" applyFont="1" applyBorder="1" applyAlignment="1">
      <alignment horizontal="left" vertical="top" wrapText="1"/>
    </xf>
    <xf numFmtId="0" fontId="1" fillId="0" borderId="260" xfId="0" applyFont="1" applyBorder="1" applyAlignment="1">
      <alignment horizontal="left" vertical="top" wrapText="1"/>
    </xf>
    <xf numFmtId="0" fontId="1" fillId="13" borderId="260" xfId="0" applyFont="1" applyFill="1" applyBorder="1" applyAlignment="1">
      <alignment horizontal="left" vertical="top" wrapText="1"/>
    </xf>
    <xf numFmtId="0" fontId="1" fillId="0" borderId="333" xfId="0" applyFont="1" applyBorder="1" applyAlignment="1">
      <alignment horizontal="left" vertical="top" wrapText="1"/>
    </xf>
    <xf numFmtId="0" fontId="1" fillId="0" borderId="263" xfId="0" applyFont="1" applyBorder="1" applyAlignment="1">
      <alignment horizontal="left" vertical="top" wrapText="1"/>
    </xf>
    <xf numFmtId="0" fontId="1" fillId="3" borderId="113" xfId="0" applyFont="1" applyFill="1" applyBorder="1" applyAlignment="1">
      <alignment horizontal="left" vertical="top" wrapText="1"/>
    </xf>
    <xf numFmtId="0" fontId="8" fillId="3" borderId="262" xfId="0" applyFont="1" applyFill="1" applyBorder="1" applyAlignment="1">
      <alignment horizontal="left" vertical="top" wrapText="1"/>
    </xf>
    <xf numFmtId="0" fontId="8" fillId="8" borderId="173" xfId="0" applyFont="1" applyFill="1" applyBorder="1" applyAlignment="1">
      <alignment horizontal="left" vertical="top" wrapText="1"/>
    </xf>
    <xf numFmtId="0" fontId="1" fillId="3" borderId="92" xfId="0" applyFont="1" applyFill="1" applyBorder="1" applyAlignment="1">
      <alignment horizontal="left" vertical="top" wrapText="1"/>
    </xf>
    <xf numFmtId="0" fontId="1" fillId="13" borderId="97" xfId="0" applyFont="1" applyFill="1" applyBorder="1" applyAlignment="1">
      <alignment horizontal="left" vertical="top" wrapText="1"/>
    </xf>
    <xf numFmtId="0" fontId="8" fillId="3" borderId="168" xfId="0" applyFont="1" applyFill="1" applyBorder="1" applyAlignment="1">
      <alignment horizontal="left" vertical="top" wrapText="1"/>
    </xf>
    <xf numFmtId="0" fontId="17" fillId="3" borderId="70" xfId="0" applyFont="1" applyFill="1" applyBorder="1" applyAlignment="1">
      <alignment horizontal="left" vertical="top" wrapText="1"/>
    </xf>
    <xf numFmtId="0" fontId="17" fillId="0" borderId="250" xfId="0" applyFont="1" applyBorder="1" applyAlignment="1">
      <alignment horizontal="left" vertical="top" wrapText="1"/>
    </xf>
    <xf numFmtId="0" fontId="8" fillId="3" borderId="41" xfId="0" applyFont="1" applyFill="1" applyBorder="1" applyAlignment="1">
      <alignment horizontal="left" vertical="top" wrapText="1"/>
    </xf>
    <xf numFmtId="0" fontId="1" fillId="3" borderId="198" xfId="0" applyFont="1" applyFill="1" applyBorder="1" applyAlignment="1">
      <alignment horizontal="left" vertical="top" wrapText="1"/>
    </xf>
    <xf numFmtId="0" fontId="30" fillId="0" borderId="310" xfId="0" applyFont="1" applyBorder="1" applyAlignment="1" applyProtection="1">
      <alignment vertical="top" wrapText="1"/>
      <protection locked="0"/>
    </xf>
    <xf numFmtId="0" fontId="30" fillId="0" borderId="311" xfId="0" applyFont="1" applyBorder="1" applyAlignment="1" applyProtection="1">
      <alignment vertical="top" wrapText="1"/>
      <protection locked="0"/>
    </xf>
    <xf numFmtId="0" fontId="1" fillId="13" borderId="298" xfId="0" applyFont="1" applyFill="1" applyBorder="1" applyAlignment="1">
      <alignment horizontal="left" vertical="top" wrapText="1"/>
    </xf>
    <xf numFmtId="0" fontId="1" fillId="13" borderId="278" xfId="0" applyFont="1" applyFill="1" applyBorder="1" applyAlignment="1">
      <alignment horizontal="left" vertical="top" wrapText="1"/>
    </xf>
    <xf numFmtId="0" fontId="1" fillId="13" borderId="313"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39" xfId="0" applyFont="1" applyFill="1" applyBorder="1" applyAlignment="1">
      <alignment horizontal="left" vertical="top" wrapText="1"/>
    </xf>
    <xf numFmtId="0" fontId="1" fillId="3" borderId="211" xfId="0" applyFont="1" applyFill="1" applyBorder="1" applyAlignment="1">
      <alignment horizontal="left" vertical="top" wrapText="1"/>
    </xf>
    <xf numFmtId="0" fontId="1" fillId="8" borderId="70" xfId="0" applyFont="1" applyFill="1" applyBorder="1" applyAlignment="1">
      <alignment horizontal="left" vertical="top" wrapText="1"/>
    </xf>
    <xf numFmtId="0" fontId="8" fillId="0" borderId="42" xfId="0" applyFont="1" applyBorder="1" applyAlignment="1">
      <alignment vertical="top" wrapText="1"/>
    </xf>
    <xf numFmtId="0" fontId="1" fillId="8" borderId="259" xfId="0" applyFont="1" applyFill="1" applyBorder="1" applyAlignment="1">
      <alignment horizontal="left" vertical="top" wrapText="1"/>
    </xf>
    <xf numFmtId="0" fontId="1" fillId="0" borderId="240" xfId="0" applyFont="1" applyBorder="1" applyAlignment="1">
      <alignment horizontal="left" vertical="top" wrapText="1"/>
    </xf>
    <xf numFmtId="0" fontId="1" fillId="0" borderId="241" xfId="0" applyFont="1" applyBorder="1" applyAlignment="1">
      <alignment horizontal="left" vertical="top" wrapText="1"/>
    </xf>
    <xf numFmtId="0" fontId="1" fillId="0" borderId="383" xfId="0" applyFont="1" applyBorder="1" applyAlignment="1">
      <alignment horizontal="left" vertical="top" wrapText="1"/>
    </xf>
    <xf numFmtId="0" fontId="18" fillId="7" borderId="0" xfId="0" applyFont="1" applyFill="1" applyAlignment="1">
      <alignment horizontal="left" vertical="top"/>
    </xf>
    <xf numFmtId="0" fontId="23" fillId="0" borderId="96" xfId="0" applyFont="1" applyBorder="1" applyAlignment="1">
      <alignment horizontal="center" vertical="center" wrapText="1"/>
    </xf>
    <xf numFmtId="0" fontId="8" fillId="0" borderId="70" xfId="0" applyFont="1" applyBorder="1" applyAlignment="1">
      <alignment vertical="center" wrapText="1"/>
    </xf>
    <xf numFmtId="0" fontId="8" fillId="0" borderId="70" xfId="0" applyFont="1" applyBorder="1" applyAlignment="1">
      <alignment horizontal="center" vertical="center" wrapText="1"/>
    </xf>
    <xf numFmtId="0" fontId="24" fillId="7" borderId="54" xfId="0" applyFont="1" applyFill="1" applyBorder="1" applyAlignment="1">
      <alignment horizontal="left" vertical="center" wrapText="1"/>
    </xf>
    <xf numFmtId="0" fontId="83" fillId="7" borderId="0" xfId="0" applyFont="1" applyFill="1" applyAlignment="1">
      <alignment horizontal="left" vertical="top"/>
    </xf>
    <xf numFmtId="0" fontId="39" fillId="7" borderId="0" xfId="0" applyFont="1" applyFill="1" applyAlignment="1">
      <alignment horizontal="left" vertical="top"/>
    </xf>
    <xf numFmtId="0" fontId="53" fillId="0" borderId="70" xfId="0" applyFont="1" applyBorder="1" applyAlignment="1">
      <alignment horizontal="center" vertical="center" wrapText="1"/>
    </xf>
    <xf numFmtId="0" fontId="53" fillId="0" borderId="70" xfId="0" applyFont="1" applyBorder="1" applyAlignment="1">
      <alignment horizontal="left" vertical="center" wrapText="1"/>
    </xf>
    <xf numFmtId="0" fontId="8" fillId="7" borderId="46" xfId="0" applyFont="1" applyFill="1" applyBorder="1" applyAlignment="1">
      <alignment horizontal="center" vertical="center" wrapText="1"/>
    </xf>
    <xf numFmtId="0" fontId="53" fillId="7" borderId="54" xfId="0" applyFont="1" applyFill="1" applyBorder="1" applyAlignment="1">
      <alignment horizontal="center" vertical="center" wrapText="1"/>
    </xf>
    <xf numFmtId="0" fontId="8" fillId="7" borderId="49" xfId="0" applyFont="1" applyFill="1" applyBorder="1" applyAlignment="1">
      <alignment horizontal="center" vertical="center" wrapText="1"/>
    </xf>
    <xf numFmtId="0" fontId="8" fillId="7" borderId="0" xfId="0" applyFont="1" applyFill="1" applyAlignment="1">
      <alignment horizontal="center" vertical="center" wrapText="1"/>
    </xf>
    <xf numFmtId="0" fontId="53" fillId="7" borderId="0" xfId="0" applyFont="1" applyFill="1" applyAlignment="1">
      <alignment horizontal="left" vertical="center" wrapText="1"/>
    </xf>
    <xf numFmtId="0" fontId="13" fillId="7" borderId="46" xfId="0" applyFont="1" applyFill="1" applyBorder="1" applyAlignment="1">
      <alignment horizontal="center" vertical="center" wrapText="1"/>
    </xf>
    <xf numFmtId="0" fontId="8" fillId="7" borderId="44" xfId="0" applyFont="1" applyFill="1" applyBorder="1" applyAlignment="1">
      <alignment horizontal="center" vertical="center" wrapText="1"/>
    </xf>
    <xf numFmtId="0" fontId="8" fillId="7" borderId="60"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8" fillId="7" borderId="58" xfId="0" applyFont="1" applyFill="1" applyBorder="1" applyAlignment="1">
      <alignment horizontal="center" vertical="center" wrapText="1"/>
    </xf>
    <xf numFmtId="0" fontId="1" fillId="3" borderId="491" xfId="0" applyFont="1" applyFill="1" applyBorder="1" applyAlignment="1">
      <alignment horizontal="left" vertical="top" wrapText="1"/>
    </xf>
    <xf numFmtId="0" fontId="1" fillId="8" borderId="168" xfId="0" applyFont="1" applyFill="1" applyBorder="1" applyAlignment="1">
      <alignment horizontal="left" wrapText="1"/>
    </xf>
    <xf numFmtId="0" fontId="1" fillId="13" borderId="490" xfId="0" applyFont="1" applyFill="1" applyBorder="1" applyAlignment="1">
      <alignment horizontal="left" vertical="center" wrapText="1"/>
    </xf>
    <xf numFmtId="0" fontId="1" fillId="13" borderId="71" xfId="0" applyFont="1" applyFill="1" applyBorder="1" applyAlignment="1">
      <alignment horizontal="left" vertical="top" wrapText="1"/>
    </xf>
    <xf numFmtId="0" fontId="41" fillId="0" borderId="191" xfId="0" applyFont="1" applyBorder="1" applyAlignment="1">
      <alignment horizontal="center" vertical="center" wrapText="1"/>
    </xf>
    <xf numFmtId="0" fontId="30" fillId="0" borderId="29" xfId="0" applyFont="1" applyBorder="1" applyAlignment="1" applyProtection="1">
      <alignment vertical="top" wrapText="1"/>
      <protection locked="0"/>
    </xf>
    <xf numFmtId="0" fontId="30" fillId="0" borderId="426" xfId="0" applyFont="1" applyBorder="1" applyAlignment="1" applyProtection="1">
      <alignment vertical="top" wrapText="1"/>
      <protection locked="0"/>
    </xf>
    <xf numFmtId="0" fontId="1" fillId="13" borderId="198" xfId="0" applyFont="1" applyFill="1" applyBorder="1" applyAlignment="1" applyProtection="1">
      <alignment horizontal="left" vertical="top" wrapText="1"/>
      <protection locked="0"/>
    </xf>
    <xf numFmtId="0" fontId="1" fillId="13" borderId="110" xfId="0" applyFont="1" applyFill="1" applyBorder="1" applyAlignment="1" applyProtection="1">
      <alignment horizontal="left" vertical="top" wrapText="1"/>
      <protection locked="0"/>
    </xf>
    <xf numFmtId="0" fontId="8" fillId="13" borderId="175" xfId="0" applyFont="1" applyFill="1" applyBorder="1" applyAlignment="1">
      <alignment horizontal="left" vertical="top" wrapText="1"/>
    </xf>
    <xf numFmtId="0" fontId="32" fillId="13" borderId="110" xfId="0" applyFont="1" applyFill="1" applyBorder="1" applyAlignment="1">
      <alignment horizontal="left" vertical="top"/>
    </xf>
    <xf numFmtId="0" fontId="0" fillId="7" borderId="0" xfId="0" applyFill="1" applyAlignment="1">
      <alignment horizontal="left" vertical="top"/>
    </xf>
    <xf numFmtId="0" fontId="8" fillId="3" borderId="158" xfId="0" applyFont="1" applyFill="1" applyBorder="1" applyAlignment="1">
      <alignment vertical="top" wrapText="1"/>
    </xf>
    <xf numFmtId="0" fontId="1" fillId="3" borderId="161" xfId="0" applyFont="1" applyFill="1" applyBorder="1" applyAlignment="1">
      <alignment vertical="top" wrapText="1"/>
    </xf>
    <xf numFmtId="0" fontId="8" fillId="3" borderId="103" xfId="0" applyFont="1" applyFill="1" applyBorder="1" applyAlignment="1">
      <alignment vertical="top" wrapText="1"/>
    </xf>
    <xf numFmtId="0" fontId="8" fillId="3" borderId="161" xfId="0" applyFont="1" applyFill="1" applyBorder="1" applyAlignment="1">
      <alignment horizontal="left" vertical="top" wrapText="1"/>
    </xf>
    <xf numFmtId="0" fontId="30" fillId="0" borderId="129" xfId="0" applyFont="1" applyBorder="1" applyAlignment="1" applyProtection="1">
      <alignment vertical="top" wrapText="1"/>
      <protection locked="0"/>
    </xf>
    <xf numFmtId="0" fontId="8" fillId="0" borderId="243" xfId="0" applyFont="1" applyBorder="1" applyAlignment="1" applyProtection="1">
      <alignment horizontal="left" vertical="top" wrapText="1"/>
      <protection locked="0"/>
    </xf>
    <xf numFmtId="0" fontId="7" fillId="7" borderId="0" xfId="0" applyFont="1" applyFill="1" applyAlignment="1">
      <alignment horizontal="left" vertical="top"/>
    </xf>
    <xf numFmtId="0" fontId="1" fillId="0" borderId="70" xfId="0" applyFont="1" applyBorder="1" applyAlignment="1">
      <alignment horizontal="left" vertical="top" wrapText="1"/>
    </xf>
    <xf numFmtId="0" fontId="1" fillId="0" borderId="42" xfId="0" applyFont="1" applyBorder="1" applyAlignment="1">
      <alignment horizontal="left" vertical="top" wrapText="1"/>
    </xf>
    <xf numFmtId="0" fontId="1" fillId="3" borderId="471" xfId="0" applyFont="1" applyFill="1" applyBorder="1" applyAlignment="1">
      <alignment horizontal="left" vertical="top" wrapText="1"/>
    </xf>
    <xf numFmtId="0" fontId="8" fillId="0" borderId="245" xfId="0" applyFont="1" applyBorder="1" applyAlignment="1" applyProtection="1">
      <alignment horizontal="left" vertical="top" wrapText="1"/>
      <protection locked="0"/>
    </xf>
    <xf numFmtId="0" fontId="30" fillId="0" borderId="303" xfId="0" applyFont="1" applyBorder="1" applyAlignment="1" applyProtection="1">
      <alignment vertical="top" wrapText="1"/>
      <protection locked="0"/>
    </xf>
    <xf numFmtId="0" fontId="1" fillId="13" borderId="164" xfId="0" applyFont="1" applyFill="1" applyBorder="1" applyAlignment="1" applyProtection="1">
      <alignment horizontal="left" vertical="top" wrapText="1"/>
      <protection locked="0"/>
    </xf>
    <xf numFmtId="0" fontId="17" fillId="13" borderId="110" xfId="0" applyFont="1" applyFill="1" applyBorder="1" applyAlignment="1">
      <alignment horizontal="left" vertical="top" wrapText="1"/>
    </xf>
    <xf numFmtId="0" fontId="17" fillId="13" borderId="175" xfId="0" applyFont="1" applyFill="1" applyBorder="1" applyAlignment="1">
      <alignment horizontal="left" vertical="top" wrapText="1"/>
    </xf>
    <xf numFmtId="0" fontId="1" fillId="13" borderId="107" xfId="0" applyFont="1" applyFill="1" applyBorder="1" applyAlignment="1">
      <alignment horizontal="left" vertical="top" wrapText="1"/>
    </xf>
    <xf numFmtId="0" fontId="8" fillId="13" borderId="70" xfId="0" applyFont="1" applyFill="1" applyBorder="1" applyAlignment="1">
      <alignment horizontal="left" vertical="top" wrapText="1"/>
    </xf>
    <xf numFmtId="0" fontId="8" fillId="13" borderId="169" xfId="0" applyFont="1" applyFill="1" applyBorder="1" applyAlignment="1">
      <alignment horizontal="left" vertical="top" wrapText="1"/>
    </xf>
    <xf numFmtId="0" fontId="1" fillId="13" borderId="70" xfId="0" applyFont="1" applyFill="1" applyBorder="1" applyAlignment="1">
      <alignment horizontal="left" vertical="top" wrapText="1"/>
    </xf>
    <xf numFmtId="0" fontId="1" fillId="13" borderId="164" xfId="0" applyFont="1" applyFill="1" applyBorder="1" applyAlignment="1">
      <alignment horizontal="left" vertical="top" wrapText="1"/>
    </xf>
    <xf numFmtId="0" fontId="30" fillId="13" borderId="212" xfId="0" applyFont="1" applyFill="1" applyBorder="1" applyAlignment="1">
      <alignment horizontal="left" vertical="top" wrapText="1"/>
    </xf>
    <xf numFmtId="0" fontId="0" fillId="13" borderId="159" xfId="0" applyFill="1" applyBorder="1" applyAlignment="1">
      <alignment horizontal="left" vertical="top"/>
    </xf>
    <xf numFmtId="0" fontId="1" fillId="13" borderId="169" xfId="0" applyFont="1" applyFill="1" applyBorder="1" applyAlignment="1">
      <alignment horizontal="left" vertical="top" wrapText="1"/>
    </xf>
    <xf numFmtId="0" fontId="30" fillId="13" borderId="159" xfId="0" applyFont="1" applyFill="1" applyBorder="1" applyAlignment="1">
      <alignment horizontal="left" vertical="top" wrapText="1"/>
    </xf>
    <xf numFmtId="0" fontId="8" fillId="3" borderId="305" xfId="0" applyFont="1" applyFill="1" applyBorder="1" applyAlignment="1">
      <alignment horizontal="left" vertical="top" wrapText="1"/>
    </xf>
    <xf numFmtId="0" fontId="1" fillId="3" borderId="259" xfId="0" applyFont="1" applyFill="1" applyBorder="1" applyAlignment="1">
      <alignment horizontal="left" vertical="top" wrapText="1"/>
    </xf>
    <xf numFmtId="0" fontId="1" fillId="8" borderId="168" xfId="0" applyFont="1" applyFill="1" applyBorder="1" applyAlignment="1">
      <alignment horizontal="left" vertical="top" wrapText="1"/>
    </xf>
    <xf numFmtId="0" fontId="17" fillId="13" borderId="159" xfId="0" applyFont="1" applyFill="1" applyBorder="1" applyAlignment="1">
      <alignment horizontal="left" vertical="top" wrapText="1"/>
    </xf>
    <xf numFmtId="0" fontId="55" fillId="13" borderId="159" xfId="0" applyFont="1" applyFill="1" applyBorder="1" applyAlignment="1">
      <alignment horizontal="left" vertical="top" wrapText="1"/>
    </xf>
    <xf numFmtId="0" fontId="8" fillId="0" borderId="236" xfId="0" applyFont="1" applyBorder="1" applyAlignment="1" applyProtection="1">
      <alignment horizontal="left" vertical="top" wrapText="1"/>
      <protection locked="0"/>
    </xf>
    <xf numFmtId="0" fontId="17" fillId="13" borderId="169" xfId="0" applyFont="1" applyFill="1" applyBorder="1" applyAlignment="1">
      <alignment horizontal="left" vertical="top" wrapText="1"/>
    </xf>
    <xf numFmtId="0" fontId="14" fillId="13" borderId="191" xfId="0" applyFont="1" applyFill="1" applyBorder="1" applyAlignment="1">
      <alignment horizontal="left" vertical="top" wrapText="1"/>
    </xf>
    <xf numFmtId="0" fontId="8" fillId="3" borderId="74" xfId="0" applyFont="1" applyFill="1" applyBorder="1" applyAlignment="1">
      <alignment vertical="top" wrapText="1"/>
    </xf>
    <xf numFmtId="0" fontId="1" fillId="13" borderId="112" xfId="0" applyFont="1" applyFill="1" applyBorder="1" applyAlignment="1">
      <alignment horizontal="left" vertical="top" wrapText="1"/>
    </xf>
    <xf numFmtId="0" fontId="0" fillId="13" borderId="110" xfId="0" applyFill="1" applyBorder="1" applyAlignment="1">
      <alignment horizontal="left" vertical="top"/>
    </xf>
    <xf numFmtId="0" fontId="1" fillId="13" borderId="334" xfId="0" applyFont="1" applyFill="1" applyBorder="1" applyAlignment="1">
      <alignment horizontal="left" vertical="top" wrapText="1"/>
    </xf>
    <xf numFmtId="0" fontId="22" fillId="13" borderId="159" xfId="0" applyFont="1" applyFill="1" applyBorder="1" applyAlignment="1">
      <alignment horizontal="left" vertical="top"/>
    </xf>
    <xf numFmtId="0" fontId="18" fillId="13" borderId="159" xfId="0" applyFont="1" applyFill="1" applyBorder="1" applyAlignment="1">
      <alignment horizontal="left" vertical="top"/>
    </xf>
    <xf numFmtId="0" fontId="1" fillId="3" borderId="184" xfId="0" applyFont="1" applyFill="1" applyBorder="1" applyAlignment="1">
      <alignment horizontal="left" vertical="top" wrapText="1"/>
    </xf>
    <xf numFmtId="0" fontId="8" fillId="13" borderId="249" xfId="0" applyFont="1" applyFill="1" applyBorder="1" applyAlignment="1">
      <alignment horizontal="left" vertical="top" wrapText="1"/>
    </xf>
    <xf numFmtId="0" fontId="8" fillId="13" borderId="42" xfId="0" applyFont="1" applyFill="1" applyBorder="1" applyAlignment="1">
      <alignment horizontal="left" vertical="top" wrapText="1"/>
    </xf>
    <xf numFmtId="0" fontId="52" fillId="13" borderId="316" xfId="0" applyFont="1" applyFill="1" applyBorder="1" applyAlignment="1">
      <alignment horizontal="left" vertical="top" wrapText="1"/>
    </xf>
    <xf numFmtId="0" fontId="20" fillId="13" borderId="212" xfId="0" applyFont="1" applyFill="1" applyBorder="1" applyAlignment="1">
      <alignment horizontal="left" vertical="top" wrapText="1"/>
    </xf>
    <xf numFmtId="0" fontId="17" fillId="13" borderId="316" xfId="0" applyFont="1" applyFill="1" applyBorder="1" applyAlignment="1">
      <alignment horizontal="left" vertical="top" wrapText="1"/>
    </xf>
    <xf numFmtId="0" fontId="17" fillId="13" borderId="231" xfId="0" applyFont="1" applyFill="1" applyBorder="1" applyAlignment="1">
      <alignment horizontal="left" vertical="top" wrapText="1"/>
    </xf>
    <xf numFmtId="0" fontId="17" fillId="13" borderId="212" xfId="0" applyFont="1" applyFill="1" applyBorder="1" applyAlignment="1">
      <alignment horizontal="left" vertical="top" wrapText="1"/>
    </xf>
    <xf numFmtId="0" fontId="41" fillId="13" borderId="231" xfId="0" applyFont="1" applyFill="1" applyBorder="1" applyAlignment="1">
      <alignment horizontal="left" vertical="top" wrapText="1"/>
    </xf>
    <xf numFmtId="0" fontId="8" fillId="0" borderId="176" xfId="0" applyFont="1" applyBorder="1" applyAlignment="1" applyProtection="1">
      <alignment horizontal="left" vertical="top" wrapText="1"/>
      <protection locked="0"/>
    </xf>
    <xf numFmtId="0" fontId="30" fillId="0" borderId="148" xfId="0" applyFont="1" applyBorder="1" applyAlignment="1" applyProtection="1">
      <alignment vertical="top" wrapText="1"/>
      <protection locked="0"/>
    </xf>
    <xf numFmtId="0" fontId="30" fillId="0" borderId="461" xfId="0" applyFont="1" applyBorder="1" applyAlignment="1" applyProtection="1">
      <alignment vertical="top" wrapText="1"/>
      <protection locked="0"/>
    </xf>
    <xf numFmtId="0" fontId="7" fillId="0" borderId="68" xfId="0" applyFont="1" applyBorder="1" applyAlignment="1">
      <alignment horizontal="left" vertical="top"/>
    </xf>
    <xf numFmtId="0" fontId="28" fillId="0" borderId="0" xfId="0" applyFont="1" applyAlignment="1">
      <alignment vertical="top"/>
    </xf>
    <xf numFmtId="0" fontId="1" fillId="0" borderId="106" xfId="0" applyFont="1" applyBorder="1" applyAlignment="1" applyProtection="1">
      <alignment horizontal="left" vertical="top" wrapText="1"/>
      <protection locked="0"/>
    </xf>
    <xf numFmtId="0" fontId="1" fillId="0" borderId="333" xfId="0" applyFont="1" applyBorder="1" applyAlignment="1" applyProtection="1">
      <alignment vertical="top" wrapText="1"/>
      <protection locked="0"/>
    </xf>
    <xf numFmtId="0" fontId="1" fillId="0" borderId="263" xfId="0" applyFont="1" applyBorder="1" applyAlignment="1" applyProtection="1">
      <alignment vertical="top" wrapText="1"/>
      <protection locked="0"/>
    </xf>
    <xf numFmtId="0" fontId="1" fillId="0" borderId="264" xfId="0" applyFont="1" applyBorder="1" applyAlignment="1" applyProtection="1">
      <alignment vertical="top" wrapText="1"/>
      <protection locked="0"/>
    </xf>
    <xf numFmtId="0" fontId="1" fillId="0" borderId="280" xfId="0" applyFont="1" applyBorder="1" applyAlignment="1" applyProtection="1">
      <alignment vertical="top" wrapText="1"/>
      <protection locked="0"/>
    </xf>
    <xf numFmtId="0" fontId="1" fillId="0" borderId="178" xfId="0" applyFont="1" applyBorder="1" applyAlignment="1" applyProtection="1">
      <alignment vertical="top" wrapText="1"/>
      <protection locked="0"/>
    </xf>
    <xf numFmtId="0" fontId="1" fillId="0" borderId="180" xfId="0" applyFont="1" applyBorder="1" applyAlignment="1" applyProtection="1">
      <alignment vertical="top" wrapText="1"/>
      <protection locked="0"/>
    </xf>
    <xf numFmtId="0" fontId="1" fillId="0" borderId="210" xfId="0" applyFont="1" applyBorder="1" applyAlignment="1" applyProtection="1">
      <alignment vertical="top" wrapText="1"/>
      <protection locked="0"/>
    </xf>
    <xf numFmtId="0" fontId="1" fillId="0" borderId="200" xfId="0" applyFont="1" applyBorder="1" applyAlignment="1" applyProtection="1">
      <alignment vertical="top" wrapText="1"/>
      <protection locked="0"/>
    </xf>
    <xf numFmtId="0" fontId="1" fillId="0" borderId="282" xfId="0" applyFont="1" applyBorder="1" applyAlignment="1" applyProtection="1">
      <alignment vertical="top" wrapText="1"/>
      <protection locked="0"/>
    </xf>
    <xf numFmtId="0" fontId="1" fillId="0" borderId="500" xfId="0" applyFont="1" applyBorder="1" applyAlignment="1" applyProtection="1">
      <alignment horizontal="left" vertical="top" wrapText="1"/>
      <protection locked="0"/>
    </xf>
    <xf numFmtId="0" fontId="41" fillId="0" borderId="303" xfId="0" applyFont="1" applyBorder="1" applyAlignment="1">
      <alignment horizontal="left" vertical="top" wrapText="1"/>
    </xf>
    <xf numFmtId="0" fontId="1" fillId="0" borderId="161" xfId="0" applyFont="1" applyBorder="1" applyAlignment="1" applyProtection="1">
      <alignment vertical="top" wrapText="1"/>
      <protection locked="0"/>
    </xf>
    <xf numFmtId="0" fontId="1" fillId="0" borderId="163" xfId="0" applyFont="1" applyBorder="1" applyAlignment="1" applyProtection="1">
      <alignment vertical="top" wrapText="1"/>
      <protection locked="0"/>
    </xf>
    <xf numFmtId="0" fontId="1" fillId="0" borderId="306" xfId="0" applyFont="1" applyBorder="1" applyAlignment="1" applyProtection="1">
      <alignment vertical="top" wrapText="1"/>
      <protection locked="0"/>
    </xf>
    <xf numFmtId="0" fontId="1" fillId="0" borderId="176" xfId="0" applyFont="1" applyBorder="1" applyAlignment="1" applyProtection="1">
      <alignment vertical="top" wrapText="1"/>
      <protection locked="0"/>
    </xf>
    <xf numFmtId="49" fontId="32" fillId="13" borderId="164" xfId="0" applyNumberFormat="1" applyFont="1" applyFill="1" applyBorder="1" applyAlignment="1">
      <alignment horizontal="left" vertical="top" wrapText="1"/>
    </xf>
    <xf numFmtId="0" fontId="17" fillId="13" borderId="110" xfId="0" applyFont="1" applyFill="1" applyBorder="1" applyAlignment="1" applyProtection="1">
      <alignment horizontal="left" vertical="top" wrapText="1"/>
      <protection locked="0"/>
    </xf>
    <xf numFmtId="0" fontId="38" fillId="0" borderId="247" xfId="0" applyFont="1" applyBorder="1" applyAlignment="1">
      <alignment horizontal="left" vertical="top" wrapText="1"/>
    </xf>
    <xf numFmtId="0" fontId="13" fillId="7" borderId="0" xfId="0" applyFont="1" applyFill="1" applyAlignment="1">
      <alignment horizontal="left" vertical="top" wrapText="1"/>
    </xf>
    <xf numFmtId="0" fontId="41" fillId="7" borderId="0" xfId="0" applyFont="1" applyFill="1" applyAlignment="1">
      <alignment horizontal="left" vertical="top" wrapText="1"/>
    </xf>
    <xf numFmtId="0" fontId="17" fillId="13" borderId="107" xfId="0" applyFont="1" applyFill="1" applyBorder="1" applyAlignment="1">
      <alignment horizontal="left" vertical="top" wrapText="1"/>
    </xf>
    <xf numFmtId="0" fontId="17" fillId="13" borderId="108" xfId="0" applyFont="1" applyFill="1" applyBorder="1" applyAlignment="1">
      <alignment horizontal="left" vertical="top" wrapText="1"/>
    </xf>
    <xf numFmtId="0" fontId="1" fillId="13" borderId="173" xfId="0" applyFont="1" applyFill="1" applyBorder="1" applyAlignment="1">
      <alignment horizontal="left" vertical="top" wrapText="1"/>
    </xf>
    <xf numFmtId="49" fontId="32" fillId="13" borderId="108" xfId="0" applyNumberFormat="1" applyFont="1" applyFill="1" applyBorder="1" applyAlignment="1">
      <alignment horizontal="left" vertical="top" wrapText="1"/>
    </xf>
    <xf numFmtId="49" fontId="32" fillId="13" borderId="110" xfId="0" applyNumberFormat="1" applyFont="1" applyFill="1" applyBorder="1" applyAlignment="1">
      <alignment horizontal="left" vertical="top" wrapText="1"/>
    </xf>
    <xf numFmtId="0" fontId="7" fillId="13" borderId="158" xfId="0" applyFont="1" applyFill="1" applyBorder="1" applyAlignment="1">
      <alignment horizontal="left" vertical="top"/>
    </xf>
    <xf numFmtId="0" fontId="17" fillId="13" borderId="161" xfId="0" applyFont="1" applyFill="1" applyBorder="1" applyAlignment="1">
      <alignment horizontal="left" vertical="top" wrapText="1"/>
    </xf>
    <xf numFmtId="0" fontId="17" fillId="13" borderId="163" xfId="0" applyFont="1" applyFill="1" applyBorder="1" applyAlignment="1">
      <alignment horizontal="left" vertical="top" wrapText="1"/>
    </xf>
    <xf numFmtId="0" fontId="1" fillId="13" borderId="42" xfId="0" applyFont="1" applyFill="1" applyBorder="1" applyAlignment="1">
      <alignment vertical="top" wrapText="1"/>
    </xf>
    <xf numFmtId="0" fontId="17" fillId="13" borderId="169" xfId="0" applyFont="1" applyFill="1" applyBorder="1" applyAlignment="1">
      <alignment vertical="top" wrapText="1"/>
    </xf>
    <xf numFmtId="0" fontId="17" fillId="13" borderId="159" xfId="0" applyFont="1" applyFill="1" applyBorder="1" applyAlignment="1">
      <alignment vertical="top" wrapText="1"/>
    </xf>
    <xf numFmtId="0" fontId="55" fillId="13" borderId="159" xfId="0" applyFont="1" applyFill="1" applyBorder="1" applyAlignment="1">
      <alignment vertical="top" wrapText="1"/>
    </xf>
    <xf numFmtId="0" fontId="1" fillId="13" borderId="159" xfId="0" applyFont="1" applyFill="1" applyBorder="1" applyAlignment="1">
      <alignment vertical="top" wrapText="1"/>
    </xf>
    <xf numFmtId="0" fontId="41" fillId="13" borderId="159" xfId="0" applyFont="1" applyFill="1" applyBorder="1" applyAlignment="1">
      <alignment vertical="top" wrapText="1"/>
    </xf>
    <xf numFmtId="0" fontId="1" fillId="13" borderId="113" xfId="0" applyFont="1" applyFill="1" applyBorder="1" applyAlignment="1">
      <alignment vertical="top" wrapText="1"/>
    </xf>
    <xf numFmtId="49" fontId="32" fillId="13" borderId="198" xfId="0" applyNumberFormat="1" applyFont="1" applyFill="1" applyBorder="1" applyAlignment="1">
      <alignment vertical="top" wrapText="1"/>
    </xf>
    <xf numFmtId="0" fontId="14" fillId="3" borderId="101" xfId="0" applyFont="1" applyFill="1" applyBorder="1" applyAlignment="1">
      <alignment vertical="top" wrapText="1"/>
    </xf>
    <xf numFmtId="0" fontId="30" fillId="13" borderId="322" xfId="0" applyFont="1" applyFill="1" applyBorder="1" applyAlignment="1">
      <alignment vertical="top" wrapText="1"/>
    </xf>
    <xf numFmtId="0" fontId="14" fillId="13" borderId="70" xfId="0" applyFont="1" applyFill="1" applyBorder="1" applyAlignment="1">
      <alignment vertical="top" wrapText="1"/>
    </xf>
    <xf numFmtId="0" fontId="30" fillId="13" borderId="250" xfId="0" applyFont="1" applyFill="1" applyBorder="1" applyAlignment="1">
      <alignment vertical="top" wrapText="1"/>
    </xf>
    <xf numFmtId="0" fontId="30" fillId="13" borderId="191" xfId="0" applyFont="1" applyFill="1" applyBorder="1" applyAlignment="1">
      <alignment vertical="top" wrapText="1"/>
    </xf>
    <xf numFmtId="0" fontId="14" fillId="13" borderId="191" xfId="0" applyFont="1" applyFill="1" applyBorder="1" applyAlignment="1">
      <alignment vertical="top" wrapText="1"/>
    </xf>
    <xf numFmtId="0" fontId="1" fillId="3" borderId="381" xfId="0" applyFont="1" applyFill="1" applyBorder="1" applyAlignment="1">
      <alignment vertical="top" wrapText="1"/>
    </xf>
    <xf numFmtId="0" fontId="1" fillId="13" borderId="499" xfId="0" applyFont="1" applyFill="1" applyBorder="1" applyAlignment="1">
      <alignment vertical="top" wrapText="1"/>
    </xf>
    <xf numFmtId="0" fontId="1" fillId="13" borderId="258" xfId="0" applyFont="1" applyFill="1" applyBorder="1" applyAlignment="1">
      <alignment vertical="top" wrapText="1"/>
    </xf>
    <xf numFmtId="0" fontId="1" fillId="13" borderId="498" xfId="0" applyFont="1" applyFill="1" applyBorder="1" applyAlignment="1">
      <alignment vertical="top" wrapText="1"/>
    </xf>
    <xf numFmtId="0" fontId="1" fillId="13" borderId="162" xfId="0" applyFont="1" applyFill="1" applyBorder="1" applyAlignment="1">
      <alignment vertical="top" wrapText="1"/>
    </xf>
    <xf numFmtId="0" fontId="1" fillId="13" borderId="165" xfId="0" applyFont="1" applyFill="1" applyBorder="1" applyAlignment="1">
      <alignment vertical="top" wrapText="1"/>
    </xf>
    <xf numFmtId="0" fontId="1" fillId="3" borderId="69" xfId="0" applyFont="1" applyFill="1" applyBorder="1" applyAlignment="1">
      <alignment horizontal="left" vertical="top" wrapText="1"/>
    </xf>
    <xf numFmtId="0" fontId="1" fillId="13" borderId="30" xfId="0" applyFont="1" applyFill="1" applyBorder="1" applyAlignment="1">
      <alignment horizontal="left" vertical="top" wrapText="1"/>
    </xf>
    <xf numFmtId="0" fontId="1" fillId="13" borderId="42" xfId="0" applyFont="1" applyFill="1" applyBorder="1" applyAlignment="1">
      <alignment horizontal="left" vertical="top" wrapText="1"/>
    </xf>
    <xf numFmtId="0" fontId="1" fillId="13" borderId="31" xfId="0" applyFont="1" applyFill="1" applyBorder="1" applyAlignment="1">
      <alignment horizontal="left" vertical="top" wrapText="1"/>
    </xf>
    <xf numFmtId="0" fontId="1" fillId="13" borderId="132" xfId="0" applyFont="1" applyFill="1" applyBorder="1" applyAlignment="1">
      <alignment horizontal="left" vertical="top" wrapText="1"/>
    </xf>
    <xf numFmtId="0" fontId="1" fillId="13" borderId="155" xfId="0" applyFont="1" applyFill="1" applyBorder="1" applyAlignment="1">
      <alignment horizontal="left" vertical="top" wrapText="1"/>
    </xf>
    <xf numFmtId="0" fontId="32" fillId="13" borderId="159" xfId="0" applyFont="1" applyFill="1" applyBorder="1" applyAlignment="1">
      <alignment horizontal="left" vertical="top"/>
    </xf>
    <xf numFmtId="49" fontId="29" fillId="13" borderId="116" xfId="0" applyNumberFormat="1" applyFont="1" applyFill="1" applyBorder="1" applyAlignment="1">
      <alignment horizontal="left" vertical="top" wrapText="1"/>
    </xf>
    <xf numFmtId="0" fontId="1" fillId="13" borderId="393" xfId="0" applyFont="1" applyFill="1" applyBorder="1" applyAlignment="1">
      <alignment horizontal="left" vertical="top" wrapText="1"/>
    </xf>
    <xf numFmtId="0" fontId="29" fillId="13" borderId="212" xfId="0" applyFont="1" applyFill="1" applyBorder="1" applyAlignment="1">
      <alignment horizontal="left" vertical="top" wrapText="1"/>
    </xf>
    <xf numFmtId="0" fontId="32" fillId="13" borderId="212" xfId="0" applyFont="1" applyFill="1" applyBorder="1" applyAlignment="1">
      <alignment horizontal="left" vertical="top" wrapText="1"/>
    </xf>
    <xf numFmtId="0" fontId="27" fillId="13" borderId="159" xfId="0" applyFont="1" applyFill="1" applyBorder="1" applyAlignment="1">
      <alignment horizontal="left" vertical="top"/>
    </xf>
    <xf numFmtId="0" fontId="27" fillId="13" borderId="113" xfId="0" applyFont="1" applyFill="1" applyBorder="1" applyAlignment="1">
      <alignment horizontal="left" vertical="top" wrapText="1"/>
    </xf>
    <xf numFmtId="49" fontId="29" fillId="13" borderId="322" xfId="0" applyNumberFormat="1" applyFont="1" applyFill="1" applyBorder="1" applyAlignment="1">
      <alignment horizontal="left" vertical="top" wrapText="1"/>
    </xf>
    <xf numFmtId="0" fontId="1" fillId="13" borderId="323" xfId="0" applyFont="1" applyFill="1" applyBorder="1" applyAlignment="1">
      <alignment horizontal="left" vertical="top" wrapText="1"/>
    </xf>
    <xf numFmtId="0" fontId="27" fillId="13" borderId="191" xfId="0" applyFont="1" applyFill="1" applyBorder="1" applyAlignment="1">
      <alignment horizontal="left" vertical="top"/>
    </xf>
    <xf numFmtId="0" fontId="1" fillId="3" borderId="314" xfId="0" applyFont="1" applyFill="1" applyBorder="1" applyAlignment="1">
      <alignment horizontal="left" vertical="top" wrapText="1"/>
    </xf>
    <xf numFmtId="0" fontId="1" fillId="13" borderId="101" xfId="0" applyFont="1" applyFill="1" applyBorder="1" applyAlignment="1">
      <alignment horizontal="left" vertical="top" wrapText="1"/>
    </xf>
    <xf numFmtId="0" fontId="1" fillId="13" borderId="100" xfId="0" applyFont="1" applyFill="1" applyBorder="1" applyAlignment="1">
      <alignment horizontal="left" vertical="top" wrapText="1"/>
    </xf>
    <xf numFmtId="0" fontId="14" fillId="13" borderId="70" xfId="0" applyFont="1" applyFill="1" applyBorder="1" applyAlignment="1">
      <alignment horizontal="left" vertical="top" wrapText="1"/>
    </xf>
    <xf numFmtId="0" fontId="1" fillId="0" borderId="369" xfId="0" applyFont="1" applyBorder="1" applyAlignment="1" applyProtection="1">
      <alignment horizontal="left" vertical="top" wrapText="1"/>
      <protection locked="0"/>
    </xf>
    <xf numFmtId="0" fontId="1" fillId="0" borderId="506" xfId="0" applyFont="1" applyBorder="1" applyAlignment="1" applyProtection="1">
      <alignment horizontal="left" vertical="top" wrapText="1"/>
      <protection locked="0"/>
    </xf>
    <xf numFmtId="0" fontId="1" fillId="13" borderId="76" xfId="0" applyFont="1" applyFill="1" applyBorder="1" applyAlignment="1" applyProtection="1">
      <alignment horizontal="left" vertical="top" wrapText="1"/>
      <protection locked="0"/>
    </xf>
    <xf numFmtId="0" fontId="1" fillId="0" borderId="482" xfId="0" applyFont="1" applyBorder="1" applyAlignment="1" applyProtection="1">
      <alignment horizontal="left" vertical="top" wrapText="1"/>
      <protection locked="0"/>
    </xf>
    <xf numFmtId="0" fontId="1" fillId="13" borderId="65" xfId="0" applyFont="1" applyFill="1" applyBorder="1" applyAlignment="1">
      <alignment horizontal="left" vertical="top" wrapText="1"/>
    </xf>
    <xf numFmtId="0" fontId="8" fillId="3" borderId="245" xfId="0" applyFont="1" applyFill="1" applyBorder="1" applyAlignment="1">
      <alignment horizontal="left" vertical="top" wrapText="1"/>
    </xf>
    <xf numFmtId="0" fontId="1" fillId="13" borderId="505" xfId="0" applyFont="1" applyFill="1" applyBorder="1" applyAlignment="1">
      <alignment horizontal="left" vertical="top" wrapText="1"/>
    </xf>
    <xf numFmtId="0" fontId="1" fillId="3" borderId="116" xfId="0" applyFont="1" applyFill="1" applyBorder="1" applyAlignment="1">
      <alignment horizontal="left" vertical="top" wrapText="1"/>
    </xf>
    <xf numFmtId="0" fontId="1" fillId="13" borderId="204" xfId="0" applyFont="1" applyFill="1" applyBorder="1" applyAlignment="1">
      <alignment horizontal="left" vertical="top" wrapText="1"/>
    </xf>
    <xf numFmtId="0" fontId="1" fillId="13" borderId="316" xfId="0" applyFont="1" applyFill="1" applyBorder="1" applyAlignment="1">
      <alignment horizontal="left" vertical="top" wrapText="1"/>
    </xf>
    <xf numFmtId="0" fontId="32" fillId="13" borderId="212" xfId="0" applyFont="1" applyFill="1" applyBorder="1" applyAlignment="1">
      <alignment horizontal="left" vertical="top"/>
    </xf>
    <xf numFmtId="0" fontId="30" fillId="13" borderId="158" xfId="0" applyFont="1" applyFill="1" applyBorder="1" applyAlignment="1">
      <alignment horizontal="left" vertical="top" wrapText="1"/>
    </xf>
    <xf numFmtId="0" fontId="1" fillId="13" borderId="369" xfId="0" applyFont="1" applyFill="1" applyBorder="1" applyAlignment="1">
      <alignment horizontal="left" vertical="top" wrapText="1"/>
    </xf>
    <xf numFmtId="0" fontId="1" fillId="13" borderId="506" xfId="0" applyFont="1" applyFill="1" applyBorder="1" applyAlignment="1">
      <alignment horizontal="left" vertical="top" wrapText="1"/>
    </xf>
    <xf numFmtId="49" fontId="32" fillId="13" borderId="206" xfId="0" applyNumberFormat="1" applyFont="1" applyFill="1" applyBorder="1" applyAlignment="1">
      <alignment horizontal="left" vertical="top" wrapText="1"/>
    </xf>
    <xf numFmtId="0" fontId="17" fillId="13" borderId="158" xfId="0" applyFont="1" applyFill="1" applyBorder="1" applyAlignment="1">
      <alignment horizontal="left" vertical="top" wrapText="1"/>
    </xf>
    <xf numFmtId="0" fontId="1" fillId="13" borderId="503" xfId="0" applyFont="1" applyFill="1" applyBorder="1" applyAlignment="1">
      <alignment horizontal="left" vertical="top" wrapText="1"/>
    </xf>
    <xf numFmtId="0" fontId="1" fillId="13" borderId="504" xfId="0" applyFont="1" applyFill="1" applyBorder="1" applyAlignment="1">
      <alignment horizontal="left" vertical="top" wrapText="1"/>
    </xf>
    <xf numFmtId="0" fontId="32" fillId="13" borderId="480" xfId="0" applyFont="1" applyFill="1" applyBorder="1" applyAlignment="1">
      <alignment horizontal="left" vertical="top"/>
    </xf>
    <xf numFmtId="0" fontId="1" fillId="13" borderId="4" xfId="0" applyFont="1" applyFill="1" applyBorder="1" applyAlignment="1">
      <alignment horizontal="left" vertical="top" wrapText="1"/>
    </xf>
    <xf numFmtId="0" fontId="1" fillId="13" borderId="18" xfId="0" applyFont="1" applyFill="1" applyBorder="1" applyAlignment="1">
      <alignment horizontal="left" vertical="top" wrapText="1"/>
    </xf>
    <xf numFmtId="0" fontId="1" fillId="13" borderId="7" xfId="0" applyFont="1" applyFill="1" applyBorder="1" applyAlignment="1">
      <alignment horizontal="left" vertical="top" wrapText="1"/>
    </xf>
    <xf numFmtId="0" fontId="8" fillId="8" borderId="161" xfId="0" applyFont="1" applyFill="1" applyBorder="1" applyAlignment="1">
      <alignment horizontal="left" vertical="top" wrapText="1"/>
    </xf>
    <xf numFmtId="0" fontId="1" fillId="13" borderId="475" xfId="0" applyFont="1" applyFill="1" applyBorder="1" applyAlignment="1">
      <alignment horizontal="left" vertical="top" wrapText="1"/>
    </xf>
    <xf numFmtId="0" fontId="1" fillId="13" borderId="153" xfId="0" applyFont="1" applyFill="1" applyBorder="1" applyAlignment="1">
      <alignment horizontal="left" vertical="top" wrapText="1"/>
    </xf>
    <xf numFmtId="0" fontId="1" fillId="13" borderId="474" xfId="0" applyFont="1" applyFill="1" applyBorder="1" applyAlignment="1">
      <alignment horizontal="left" vertical="top" wrapText="1"/>
    </xf>
    <xf numFmtId="0" fontId="17" fillId="13" borderId="470" xfId="0" applyFont="1" applyFill="1" applyBorder="1" applyAlignment="1">
      <alignment horizontal="left" vertical="top" wrapText="1"/>
    </xf>
    <xf numFmtId="0" fontId="1" fillId="13" borderId="138" xfId="0" applyFont="1" applyFill="1" applyBorder="1" applyAlignment="1">
      <alignment horizontal="left" vertical="top" wrapText="1"/>
    </xf>
    <xf numFmtId="0" fontId="17" fillId="13" borderId="74" xfId="0" applyFont="1" applyFill="1" applyBorder="1" applyAlignment="1">
      <alignment horizontal="left" vertical="top" wrapText="1"/>
    </xf>
    <xf numFmtId="0" fontId="17" fillId="13" borderId="101" xfId="0" applyFont="1" applyFill="1" applyBorder="1" applyAlignment="1">
      <alignment horizontal="left" vertical="top" wrapText="1"/>
    </xf>
    <xf numFmtId="0" fontId="1" fillId="0" borderId="65" xfId="0" applyFont="1" applyBorder="1" applyAlignment="1">
      <alignment horizontal="left" vertical="top" wrapText="1"/>
    </xf>
    <xf numFmtId="0" fontId="81" fillId="0" borderId="148" xfId="0" applyFont="1" applyBorder="1" applyAlignment="1">
      <alignment horizontal="left" vertical="top" wrapText="1"/>
    </xf>
    <xf numFmtId="0" fontId="8" fillId="13" borderId="159" xfId="0" applyFont="1" applyFill="1" applyBorder="1" applyAlignment="1" applyProtection="1">
      <alignment horizontal="left" vertical="top" wrapText="1"/>
      <protection locked="0"/>
    </xf>
    <xf numFmtId="0" fontId="8" fillId="13" borderId="110" xfId="0" applyFont="1" applyFill="1" applyBorder="1" applyAlignment="1" applyProtection="1">
      <alignment horizontal="left" vertical="top" wrapText="1"/>
      <protection locked="0"/>
    </xf>
    <xf numFmtId="0" fontId="8" fillId="13" borderId="169" xfId="0" applyFont="1" applyFill="1" applyBorder="1" applyAlignment="1" applyProtection="1">
      <alignment horizontal="left" vertical="top" wrapText="1"/>
      <protection locked="0"/>
    </xf>
    <xf numFmtId="0" fontId="38" fillId="0" borderId="148" xfId="0" applyFont="1" applyBorder="1" applyAlignment="1">
      <alignment vertical="top" wrapText="1"/>
    </xf>
    <xf numFmtId="0" fontId="8" fillId="13" borderId="168" xfId="0" applyFont="1" applyFill="1" applyBorder="1" applyAlignment="1">
      <alignment horizontal="left" vertical="top" wrapText="1"/>
    </xf>
    <xf numFmtId="0" fontId="8" fillId="3" borderId="173" xfId="0" applyFont="1" applyFill="1" applyBorder="1" applyAlignment="1">
      <alignment horizontal="left" vertical="top" wrapText="1"/>
    </xf>
    <xf numFmtId="0" fontId="8" fillId="13" borderId="173" xfId="0" applyFont="1" applyFill="1" applyBorder="1" applyAlignment="1">
      <alignment horizontal="left" vertical="top" wrapText="1"/>
    </xf>
    <xf numFmtId="0" fontId="8" fillId="13" borderId="108" xfId="0" applyFont="1" applyFill="1" applyBorder="1" applyAlignment="1">
      <alignment horizontal="left" vertical="top" wrapText="1"/>
    </xf>
    <xf numFmtId="0" fontId="8" fillId="13" borderId="158" xfId="0" applyFont="1" applyFill="1" applyBorder="1" applyAlignment="1">
      <alignment horizontal="left" vertical="top" wrapText="1"/>
    </xf>
    <xf numFmtId="0" fontId="32" fillId="13" borderId="160" xfId="0" applyFont="1" applyFill="1" applyBorder="1" applyAlignment="1">
      <alignment horizontal="left" vertical="top" wrapText="1"/>
    </xf>
    <xf numFmtId="0" fontId="32" fillId="13" borderId="162" xfId="0" applyFont="1" applyFill="1" applyBorder="1" applyAlignment="1">
      <alignment horizontal="left" vertical="top" wrapText="1"/>
    </xf>
    <xf numFmtId="0" fontId="8" fillId="13" borderId="403" xfId="0" applyFont="1" applyFill="1" applyBorder="1" applyAlignment="1">
      <alignment horizontal="left" vertical="top" wrapText="1"/>
    </xf>
    <xf numFmtId="0" fontId="1" fillId="13" borderId="372" xfId="0" applyFont="1" applyFill="1" applyBorder="1" applyAlignment="1">
      <alignment horizontal="left" vertical="top" wrapText="1"/>
    </xf>
    <xf numFmtId="0" fontId="1" fillId="13" borderId="469" xfId="0" applyFont="1" applyFill="1" applyBorder="1" applyAlignment="1">
      <alignment horizontal="left" vertical="top" wrapText="1"/>
    </xf>
    <xf numFmtId="49" fontId="32" fillId="13" borderId="176" xfId="0" applyNumberFormat="1" applyFont="1" applyFill="1" applyBorder="1" applyAlignment="1">
      <alignment horizontal="left" vertical="top" wrapText="1"/>
    </xf>
    <xf numFmtId="0" fontId="8" fillId="13" borderId="110" xfId="0" applyFont="1" applyFill="1" applyBorder="1" applyAlignment="1">
      <alignment horizontal="left" vertical="top" wrapText="1"/>
    </xf>
    <xf numFmtId="0" fontId="8" fillId="0" borderId="175" xfId="0" applyFont="1" applyBorder="1" applyAlignment="1">
      <alignment horizontal="left" vertical="top" wrapText="1"/>
    </xf>
    <xf numFmtId="0" fontId="35" fillId="3" borderId="161" xfId="0" applyFont="1" applyFill="1" applyBorder="1" applyAlignment="1">
      <alignment horizontal="left" vertical="top" wrapText="1"/>
    </xf>
    <xf numFmtId="0" fontId="1" fillId="13" borderId="258" xfId="0" applyFont="1" applyFill="1" applyBorder="1" applyAlignment="1" applyProtection="1">
      <alignment horizontal="left" vertical="top" wrapText="1"/>
      <protection locked="0"/>
    </xf>
    <xf numFmtId="0" fontId="1" fillId="13" borderId="1" xfId="0" applyFont="1" applyFill="1" applyBorder="1" applyAlignment="1" applyProtection="1">
      <alignment horizontal="left" vertical="top" wrapText="1"/>
      <protection locked="0"/>
    </xf>
    <xf numFmtId="0" fontId="1" fillId="13" borderId="90" xfId="0" applyFont="1" applyFill="1" applyBorder="1" applyAlignment="1" applyProtection="1">
      <alignment horizontal="left" vertical="top" wrapText="1"/>
      <protection locked="0"/>
    </xf>
    <xf numFmtId="0" fontId="1" fillId="13" borderId="157" xfId="0" applyFont="1" applyFill="1" applyBorder="1" applyAlignment="1" applyProtection="1">
      <alignment horizontal="left" vertical="top" wrapText="1"/>
      <protection locked="0"/>
    </xf>
    <xf numFmtId="0" fontId="55" fillId="13" borderId="110" xfId="0" applyFont="1" applyFill="1" applyBorder="1" applyAlignment="1">
      <alignment horizontal="left" vertical="top" wrapText="1"/>
    </xf>
    <xf numFmtId="0" fontId="39" fillId="0" borderId="115" xfId="0" applyFont="1" applyBorder="1" applyAlignment="1">
      <alignment horizontal="left" vertical="top"/>
    </xf>
    <xf numFmtId="0" fontId="39" fillId="0" borderId="172" xfId="0" applyFont="1" applyBorder="1" applyAlignment="1">
      <alignment horizontal="left" vertical="top"/>
    </xf>
    <xf numFmtId="0" fontId="1" fillId="13" borderId="91" xfId="0" applyFont="1" applyFill="1" applyBorder="1" applyAlignment="1" applyProtection="1">
      <alignment horizontal="left" vertical="top" wrapText="1"/>
      <protection locked="0"/>
    </xf>
    <xf numFmtId="0" fontId="17" fillId="13" borderId="91" xfId="0" applyFont="1" applyFill="1" applyBorder="1" applyAlignment="1" applyProtection="1">
      <alignment horizontal="left" vertical="top" wrapText="1"/>
      <protection locked="0"/>
    </xf>
    <xf numFmtId="0" fontId="1" fillId="13" borderId="91" xfId="0" applyFont="1" applyFill="1" applyBorder="1" applyAlignment="1">
      <alignment horizontal="left" vertical="top" wrapText="1"/>
    </xf>
    <xf numFmtId="0" fontId="3" fillId="0" borderId="91" xfId="0" applyFont="1" applyBorder="1" applyAlignment="1">
      <alignment horizontal="left" vertical="top" wrapText="1"/>
    </xf>
    <xf numFmtId="0" fontId="3" fillId="0" borderId="72" xfId="0" applyFont="1" applyBorder="1" applyAlignment="1">
      <alignment horizontal="left" vertical="top" wrapText="1"/>
    </xf>
    <xf numFmtId="0" fontId="30" fillId="0" borderId="328" xfId="0" applyFont="1" applyBorder="1" applyAlignment="1" applyProtection="1">
      <alignment horizontal="left" vertical="top" wrapText="1"/>
      <protection locked="0"/>
    </xf>
    <xf numFmtId="0" fontId="30" fillId="0" borderId="274" xfId="0" applyFont="1" applyBorder="1" applyAlignment="1" applyProtection="1">
      <alignment horizontal="left" vertical="top" wrapText="1"/>
      <protection locked="0"/>
    </xf>
    <xf numFmtId="0" fontId="30" fillId="0" borderId="275" xfId="0" applyFont="1" applyBorder="1" applyAlignment="1" applyProtection="1">
      <alignment horizontal="left" vertical="top" wrapText="1"/>
      <protection locked="0"/>
    </xf>
    <xf numFmtId="0" fontId="30" fillId="0" borderId="351" xfId="0" applyFont="1" applyBorder="1" applyAlignment="1" applyProtection="1">
      <alignment horizontal="left" vertical="top" wrapText="1"/>
      <protection locked="0"/>
    </xf>
    <xf numFmtId="0" fontId="30" fillId="0" borderId="368" xfId="0" applyFont="1" applyBorder="1" applyAlignment="1" applyProtection="1">
      <alignment horizontal="left" vertical="top" wrapText="1"/>
      <protection locked="0"/>
    </xf>
    <xf numFmtId="0" fontId="30" fillId="0" borderId="378" xfId="0" applyFont="1" applyBorder="1" applyAlignment="1" applyProtection="1">
      <alignment horizontal="left" vertical="top" wrapText="1"/>
      <protection locked="0"/>
    </xf>
    <xf numFmtId="0" fontId="30" fillId="0" borderId="311" xfId="0" applyFont="1" applyBorder="1" applyAlignment="1" applyProtection="1">
      <alignment horizontal="left" vertical="top" wrapText="1"/>
      <protection locked="0"/>
    </xf>
    <xf numFmtId="0" fontId="14" fillId="13" borderId="249" xfId="0" applyFont="1" applyFill="1" applyBorder="1" applyAlignment="1">
      <alignment horizontal="left" vertical="top" wrapText="1"/>
    </xf>
    <xf numFmtId="0" fontId="14" fillId="13" borderId="42" xfId="0" applyFont="1" applyFill="1" applyBorder="1" applyAlignment="1">
      <alignment horizontal="left" vertical="top" wrapText="1"/>
    </xf>
    <xf numFmtId="0" fontId="30" fillId="13" borderId="316" xfId="0" applyFont="1" applyFill="1" applyBorder="1" applyAlignment="1">
      <alignment horizontal="left" vertical="top" wrapText="1"/>
    </xf>
    <xf numFmtId="0" fontId="8" fillId="13" borderId="250" xfId="0" applyFont="1" applyFill="1" applyBorder="1" applyAlignment="1">
      <alignment horizontal="left" vertical="top" wrapText="1"/>
    </xf>
    <xf numFmtId="0" fontId="1" fillId="12" borderId="198" xfId="0" applyFont="1" applyFill="1" applyBorder="1" applyAlignment="1">
      <alignment horizontal="left" vertical="top" wrapText="1"/>
    </xf>
    <xf numFmtId="0" fontId="1" fillId="12" borderId="322" xfId="0" applyFont="1" applyFill="1" applyBorder="1" applyAlignment="1">
      <alignment horizontal="left" vertical="top" wrapText="1"/>
    </xf>
    <xf numFmtId="0" fontId="1" fillId="12" borderId="221" xfId="0" applyFont="1" applyFill="1" applyBorder="1" applyAlignment="1">
      <alignment horizontal="left" vertical="top" wrapText="1"/>
    </xf>
    <xf numFmtId="49" fontId="52" fillId="12" borderId="146" xfId="0" applyNumberFormat="1" applyFont="1" applyFill="1" applyBorder="1" applyAlignment="1">
      <alignment horizontal="left" vertical="top" wrapText="1"/>
    </xf>
    <xf numFmtId="0" fontId="30" fillId="12" borderId="231" xfId="0" applyFont="1" applyFill="1" applyBorder="1" applyAlignment="1">
      <alignment horizontal="left" vertical="top" wrapText="1"/>
    </xf>
    <xf numFmtId="0" fontId="30" fillId="12" borderId="113" xfId="0" applyFont="1" applyFill="1" applyBorder="1" applyAlignment="1">
      <alignment horizontal="left" vertical="top" wrapText="1"/>
    </xf>
    <xf numFmtId="0" fontId="30" fillId="12" borderId="116" xfId="0" applyFont="1" applyFill="1" applyBorder="1" applyAlignment="1">
      <alignment horizontal="left" vertical="top" wrapText="1"/>
    </xf>
    <xf numFmtId="0" fontId="30" fillId="12" borderId="198" xfId="0" applyFont="1" applyFill="1" applyBorder="1" applyAlignment="1">
      <alignment horizontal="left" vertical="top" wrapText="1"/>
    </xf>
    <xf numFmtId="0" fontId="8" fillId="12" borderId="249" xfId="0" applyFont="1" applyFill="1" applyBorder="1" applyAlignment="1">
      <alignment horizontal="left" vertical="top" wrapText="1"/>
    </xf>
    <xf numFmtId="0" fontId="30" fillId="12" borderId="322" xfId="0" applyFont="1" applyFill="1" applyBorder="1" applyAlignment="1">
      <alignment horizontal="left" vertical="top" wrapText="1"/>
    </xf>
    <xf numFmtId="0" fontId="12" fillId="4" borderId="12" xfId="0" applyFont="1" applyFill="1" applyBorder="1" applyAlignment="1">
      <alignment horizontal="center" vertical="top" wrapText="1"/>
    </xf>
    <xf numFmtId="0" fontId="1" fillId="0" borderId="0" xfId="0" applyFont="1" applyAlignment="1" applyProtection="1">
      <alignment horizontal="left" vertical="top"/>
      <protection locked="0"/>
    </xf>
    <xf numFmtId="0" fontId="35" fillId="0" borderId="110" xfId="0" applyFont="1" applyBorder="1" applyAlignment="1" applyProtection="1">
      <alignment horizontal="left" vertical="top" wrapText="1"/>
      <protection locked="0"/>
    </xf>
    <xf numFmtId="0" fontId="35" fillId="0" borderId="115" xfId="0" applyFont="1" applyBorder="1" applyAlignment="1" applyProtection="1">
      <alignment horizontal="left" vertical="top" wrapText="1"/>
      <protection locked="0"/>
    </xf>
    <xf numFmtId="0" fontId="35" fillId="0" borderId="164" xfId="0" applyFont="1" applyBorder="1" applyAlignment="1" applyProtection="1">
      <alignment horizontal="left" vertical="top" wrapText="1"/>
      <protection locked="0"/>
    </xf>
    <xf numFmtId="0" fontId="35" fillId="0" borderId="221" xfId="0" applyFont="1" applyBorder="1" applyAlignment="1" applyProtection="1">
      <alignment horizontal="left" vertical="top" wrapText="1"/>
      <protection locked="0"/>
    </xf>
    <xf numFmtId="0" fontId="35" fillId="0" borderId="113" xfId="0" applyFont="1" applyBorder="1" applyAlignment="1" applyProtection="1">
      <alignment horizontal="left" vertical="top" wrapText="1"/>
      <protection locked="0"/>
    </xf>
    <xf numFmtId="0" fontId="35" fillId="0" borderId="198" xfId="0" applyFont="1" applyBorder="1" applyAlignment="1" applyProtection="1">
      <alignment horizontal="left" vertical="top" wrapText="1"/>
      <protection locked="0"/>
    </xf>
    <xf numFmtId="0" fontId="1" fillId="8" borderId="23" xfId="0" applyFont="1" applyFill="1" applyBorder="1" applyAlignment="1">
      <alignment horizontal="left" vertical="top" wrapText="1"/>
    </xf>
    <xf numFmtId="0" fontId="16" fillId="0" borderId="509" xfId="0" applyFont="1" applyBorder="1" applyAlignment="1" applyProtection="1">
      <alignment horizontal="left" vertical="top" wrapText="1"/>
      <protection locked="0"/>
    </xf>
    <xf numFmtId="0" fontId="17" fillId="0" borderId="72" xfId="0" applyFont="1" applyBorder="1" applyAlignment="1" applyProtection="1">
      <alignment horizontal="left" vertical="top" wrapText="1"/>
      <protection locked="0"/>
    </xf>
    <xf numFmtId="0" fontId="16" fillId="0" borderId="510" xfId="0" applyFont="1" applyBorder="1" applyAlignment="1" applyProtection="1">
      <alignment horizontal="left" vertical="top" wrapText="1"/>
      <protection locked="0"/>
    </xf>
    <xf numFmtId="0" fontId="1" fillId="13" borderId="93" xfId="0" applyFont="1" applyFill="1" applyBorder="1" applyAlignment="1">
      <alignment horizontal="left" vertical="top" wrapText="1"/>
    </xf>
    <xf numFmtId="0" fontId="17" fillId="7" borderId="0" xfId="0" applyFont="1" applyFill="1" applyAlignment="1" applyProtection="1">
      <alignment horizontal="left" vertical="top" wrapText="1"/>
      <protection locked="0"/>
    </xf>
    <xf numFmtId="0" fontId="18" fillId="7" borderId="0" xfId="0" applyFont="1" applyFill="1" applyAlignment="1" applyProtection="1">
      <alignment horizontal="left" vertical="top" wrapText="1"/>
      <protection locked="0"/>
    </xf>
    <xf numFmtId="0" fontId="29" fillId="7" borderId="0" xfId="3" applyFont="1" applyFill="1" applyAlignment="1" applyProtection="1">
      <alignment horizontal="left" vertical="top"/>
      <protection locked="0"/>
    </xf>
    <xf numFmtId="0" fontId="0" fillId="0" borderId="29" xfId="0" applyBorder="1" applyAlignment="1">
      <alignment horizontal="left" vertical="top"/>
    </xf>
    <xf numFmtId="0" fontId="35" fillId="0" borderId="116" xfId="0" applyFont="1" applyBorder="1" applyAlignment="1" applyProtection="1">
      <alignment horizontal="left" vertical="top" wrapText="1"/>
      <protection locked="0"/>
    </xf>
    <xf numFmtId="0" fontId="7" fillId="0" borderId="191" xfId="0" applyFont="1" applyBorder="1" applyAlignment="1" applyProtection="1">
      <alignment horizontal="left" vertical="top"/>
      <protection locked="0"/>
    </xf>
    <xf numFmtId="0" fontId="7" fillId="0" borderId="108" xfId="0" applyFont="1" applyBorder="1" applyAlignment="1" applyProtection="1">
      <alignment horizontal="left" vertical="top" wrapText="1"/>
      <protection locked="0"/>
    </xf>
    <xf numFmtId="0" fontId="7" fillId="0" borderId="164" xfId="0" applyFont="1" applyBorder="1" applyAlignment="1" applyProtection="1">
      <alignment horizontal="left" vertical="top" wrapText="1"/>
      <protection locked="0"/>
    </xf>
    <xf numFmtId="0" fontId="30" fillId="3" borderId="74" xfId="0" applyFont="1" applyFill="1" applyBorder="1" applyAlignment="1" applyProtection="1">
      <alignment horizontal="left" vertical="top" wrapText="1"/>
      <protection locked="0"/>
    </xf>
    <xf numFmtId="0" fontId="30" fillId="3" borderId="103" xfId="0" applyFont="1" applyFill="1" applyBorder="1" applyAlignment="1" applyProtection="1">
      <alignment horizontal="left" vertical="top" wrapText="1"/>
      <protection locked="0"/>
    </xf>
    <xf numFmtId="0" fontId="1" fillId="0" borderId="42" xfId="0" applyFont="1" applyBorder="1" applyAlignment="1" applyProtection="1">
      <alignment horizontal="left" vertical="top" wrapText="1"/>
      <protection locked="0"/>
    </xf>
    <xf numFmtId="0" fontId="1" fillId="0" borderId="74" xfId="0" applyFont="1" applyBorder="1" applyAlignment="1" applyProtection="1">
      <alignment horizontal="left" vertical="top" wrapText="1"/>
      <protection locked="0"/>
    </xf>
    <xf numFmtId="0" fontId="1" fillId="3" borderId="42" xfId="0" applyFont="1" applyFill="1" applyBorder="1" applyAlignment="1" applyProtection="1">
      <alignment horizontal="left" vertical="top" wrapText="1"/>
      <protection locked="0"/>
    </xf>
    <xf numFmtId="0" fontId="1" fillId="3" borderId="103" xfId="0" applyFont="1" applyFill="1" applyBorder="1" applyAlignment="1" applyProtection="1">
      <alignment horizontal="left" vertical="top" wrapText="1"/>
      <protection locked="0"/>
    </xf>
    <xf numFmtId="0" fontId="17" fillId="0" borderId="103" xfId="0" applyFont="1" applyBorder="1" applyAlignment="1" applyProtection="1">
      <alignment horizontal="left" vertical="top" wrapText="1"/>
      <protection locked="0"/>
    </xf>
    <xf numFmtId="0" fontId="1" fillId="0" borderId="316" xfId="0" applyFont="1" applyBorder="1" applyAlignment="1" applyProtection="1">
      <alignment horizontal="left" vertical="top" wrapText="1"/>
      <protection locked="0"/>
    </xf>
    <xf numFmtId="0" fontId="1" fillId="0" borderId="121" xfId="0" applyFont="1" applyBorder="1" applyAlignment="1" applyProtection="1">
      <alignment horizontal="left" vertical="top" wrapText="1"/>
      <protection locked="0"/>
    </xf>
    <xf numFmtId="0" fontId="8" fillId="0" borderId="42" xfId="0" applyFont="1" applyBorder="1" applyAlignment="1">
      <alignment horizontal="left" vertical="top" wrapText="1"/>
    </xf>
    <xf numFmtId="0" fontId="17" fillId="0" borderId="146" xfId="0" applyFont="1" applyBorder="1" applyAlignment="1" applyProtection="1">
      <alignment horizontal="left" vertical="top" wrapText="1"/>
      <protection locked="0"/>
    </xf>
    <xf numFmtId="0" fontId="41" fillId="0" borderId="68" xfId="0" applyFont="1" applyBorder="1" applyAlignment="1" applyProtection="1">
      <alignment horizontal="left" vertical="top" wrapText="1"/>
      <protection locked="0"/>
    </xf>
    <xf numFmtId="0" fontId="8" fillId="0" borderId="146" xfId="0" applyFont="1" applyBorder="1" applyAlignment="1" applyProtection="1">
      <alignment horizontal="left" vertical="top" wrapText="1"/>
      <protection locked="0"/>
    </xf>
    <xf numFmtId="0" fontId="16" fillId="0" borderId="316" xfId="0" applyFont="1" applyBorder="1" applyAlignment="1" applyProtection="1">
      <alignment horizontal="left" vertical="top" wrapText="1"/>
      <protection locked="0"/>
    </xf>
    <xf numFmtId="0" fontId="16" fillId="0" borderId="343" xfId="0" applyFont="1" applyBorder="1" applyAlignment="1" applyProtection="1">
      <alignment horizontal="left" vertical="top" wrapText="1"/>
      <protection locked="0"/>
    </xf>
    <xf numFmtId="0" fontId="1" fillId="13" borderId="207" xfId="0" applyFont="1" applyFill="1" applyBorder="1" applyAlignment="1">
      <alignment horizontal="left" vertical="top" wrapText="1"/>
    </xf>
    <xf numFmtId="0" fontId="1" fillId="13" borderId="515" xfId="0" applyFont="1" applyFill="1" applyBorder="1" applyAlignment="1">
      <alignment horizontal="left" vertical="top" wrapText="1"/>
    </xf>
    <xf numFmtId="0" fontId="1" fillId="13" borderId="516" xfId="0" applyFont="1" applyFill="1" applyBorder="1" applyAlignment="1">
      <alignment horizontal="left" vertical="top" wrapText="1"/>
    </xf>
    <xf numFmtId="0" fontId="1" fillId="0" borderId="517" xfId="0" applyFont="1" applyBorder="1" applyAlignment="1" applyProtection="1">
      <alignment horizontal="left" vertical="top" wrapText="1"/>
      <protection locked="0"/>
    </xf>
    <xf numFmtId="0" fontId="1" fillId="0" borderId="434" xfId="0" applyFont="1" applyBorder="1" applyAlignment="1" applyProtection="1">
      <alignment horizontal="left" vertical="top" wrapText="1"/>
      <protection locked="0"/>
    </xf>
    <xf numFmtId="0" fontId="1" fillId="13" borderId="518" xfId="0" applyFont="1" applyFill="1" applyBorder="1" applyAlignment="1">
      <alignment horizontal="left" vertical="top" wrapText="1"/>
    </xf>
    <xf numFmtId="0" fontId="1" fillId="13" borderId="519" xfId="0" applyFont="1" applyFill="1" applyBorder="1" applyAlignment="1">
      <alignment horizontal="left" vertical="top" wrapText="1"/>
    </xf>
    <xf numFmtId="0" fontId="1" fillId="0" borderId="514" xfId="0" applyFont="1" applyBorder="1" applyAlignment="1">
      <alignment horizontal="left" vertical="top" wrapText="1"/>
    </xf>
    <xf numFmtId="0" fontId="1" fillId="13" borderId="520" xfId="0" applyFont="1" applyFill="1" applyBorder="1" applyAlignment="1">
      <alignment horizontal="left" vertical="top" wrapText="1"/>
    </xf>
    <xf numFmtId="0" fontId="1" fillId="13" borderId="521" xfId="0" applyFont="1" applyFill="1" applyBorder="1" applyAlignment="1">
      <alignment horizontal="left" vertical="top" wrapText="1"/>
    </xf>
    <xf numFmtId="0" fontId="1" fillId="13" borderId="522" xfId="0" applyFont="1" applyFill="1" applyBorder="1" applyAlignment="1">
      <alignment horizontal="left" vertical="top" wrapText="1"/>
    </xf>
    <xf numFmtId="0" fontId="1" fillId="0" borderId="523" xfId="0" applyFont="1" applyBorder="1" applyAlignment="1" applyProtection="1">
      <alignment horizontal="left" vertical="top" wrapText="1"/>
      <protection locked="0"/>
    </xf>
    <xf numFmtId="0" fontId="18" fillId="0" borderId="76" xfId="0" applyFont="1" applyBorder="1" applyAlignment="1">
      <alignment horizontal="left" vertical="top"/>
    </xf>
    <xf numFmtId="0" fontId="32" fillId="13" borderId="516" xfId="0" applyFont="1" applyFill="1" applyBorder="1" applyAlignment="1">
      <alignment horizontal="left" vertical="top"/>
    </xf>
    <xf numFmtId="0" fontId="1" fillId="13" borderId="507" xfId="0" applyFont="1" applyFill="1" applyBorder="1" applyAlignment="1">
      <alignment horizontal="left" vertical="top" wrapText="1"/>
    </xf>
    <xf numFmtId="0" fontId="32" fillId="13" borderId="518" xfId="0" applyFont="1" applyFill="1" applyBorder="1" applyAlignment="1">
      <alignment horizontal="left" vertical="top"/>
    </xf>
    <xf numFmtId="0" fontId="32" fillId="13" borderId="519" xfId="0" applyFont="1" applyFill="1" applyBorder="1" applyAlignment="1">
      <alignment horizontal="left" vertical="top" wrapText="1"/>
    </xf>
    <xf numFmtId="0" fontId="1" fillId="0" borderId="525" xfId="0" applyFont="1" applyBorder="1" applyAlignment="1" applyProtection="1">
      <alignment horizontal="left" vertical="top" wrapText="1"/>
      <protection locked="0"/>
    </xf>
    <xf numFmtId="0" fontId="32" fillId="13" borderId="249" xfId="0" applyFont="1" applyFill="1" applyBorder="1" applyAlignment="1">
      <alignment horizontal="left" vertical="top" wrapText="1"/>
    </xf>
    <xf numFmtId="0" fontId="32" fillId="13" borderId="526" xfId="0" applyFont="1" applyFill="1" applyBorder="1" applyAlignment="1">
      <alignment horizontal="left" vertical="top" wrapText="1"/>
    </xf>
    <xf numFmtId="0" fontId="1" fillId="13" borderId="526" xfId="0" applyFont="1" applyFill="1" applyBorder="1" applyAlignment="1">
      <alignment horizontal="left" vertical="top" wrapText="1"/>
    </xf>
    <xf numFmtId="0" fontId="1" fillId="0" borderId="527" xfId="0" applyFont="1" applyBorder="1" applyAlignment="1" applyProtection="1">
      <alignment horizontal="left" vertical="top" wrapText="1"/>
      <protection locked="0"/>
    </xf>
    <xf numFmtId="0" fontId="8" fillId="13" borderId="528" xfId="0" applyFont="1" applyFill="1" applyBorder="1" applyAlignment="1">
      <alignment horizontal="left" vertical="top" wrapText="1"/>
    </xf>
    <xf numFmtId="0" fontId="1" fillId="0" borderId="530" xfId="0" applyFont="1" applyBorder="1" applyAlignment="1" applyProtection="1">
      <alignment horizontal="left" vertical="top" wrapText="1"/>
      <protection locked="0"/>
    </xf>
    <xf numFmtId="0" fontId="14" fillId="13" borderId="244" xfId="0" applyFont="1" applyFill="1" applyBorder="1" applyAlignment="1">
      <alignment horizontal="left" vertical="top" wrapText="1"/>
    </xf>
    <xf numFmtId="0" fontId="1" fillId="13" borderId="529" xfId="0" applyFont="1" applyFill="1" applyBorder="1" applyAlignment="1">
      <alignment horizontal="left" vertical="top" wrapText="1"/>
    </xf>
    <xf numFmtId="0" fontId="30" fillId="13" borderId="191" xfId="0" applyFont="1" applyFill="1" applyBorder="1" applyAlignment="1">
      <alignment horizontal="left" vertical="top" wrapText="1"/>
    </xf>
    <xf numFmtId="0" fontId="1" fillId="13" borderId="205" xfId="0" applyFont="1" applyFill="1" applyBorder="1" applyAlignment="1">
      <alignment horizontal="left" vertical="top" wrapText="1"/>
    </xf>
    <xf numFmtId="0" fontId="1" fillId="13" borderId="514" xfId="0" applyFont="1" applyFill="1" applyBorder="1" applyAlignment="1">
      <alignment horizontal="left" vertical="top" wrapText="1"/>
    </xf>
    <xf numFmtId="0" fontId="1" fillId="0" borderId="514" xfId="0" applyFont="1" applyBorder="1" applyAlignment="1" applyProtection="1">
      <alignment horizontal="left" vertical="top" wrapText="1"/>
      <protection locked="0"/>
    </xf>
    <xf numFmtId="0" fontId="1" fillId="0" borderId="526" xfId="0" applyFont="1" applyBorder="1" applyAlignment="1" applyProtection="1">
      <alignment horizontal="left" vertical="top" wrapText="1"/>
      <protection locked="0"/>
    </xf>
    <xf numFmtId="0" fontId="8" fillId="3" borderId="516" xfId="0" applyFont="1" applyFill="1" applyBorder="1" applyAlignment="1">
      <alignment vertical="top" wrapText="1"/>
    </xf>
    <xf numFmtId="0" fontId="32" fillId="0" borderId="212" xfId="0" applyFont="1" applyBorder="1" applyAlignment="1">
      <alignment horizontal="left" vertical="top"/>
    </xf>
    <xf numFmtId="0" fontId="30" fillId="3" borderId="527" xfId="0" applyFont="1" applyFill="1" applyBorder="1" applyAlignment="1" applyProtection="1">
      <alignment horizontal="left" vertical="top" wrapText="1"/>
      <protection locked="0"/>
    </xf>
    <xf numFmtId="0" fontId="1" fillId="13" borderId="312" xfId="0" applyFont="1" applyFill="1" applyBorder="1" applyAlignment="1">
      <alignment horizontal="left" vertical="top" wrapText="1"/>
    </xf>
    <xf numFmtId="0" fontId="1" fillId="3" borderId="103" xfId="0" applyFont="1" applyFill="1" applyBorder="1" applyAlignment="1">
      <alignment horizontal="left" vertical="top" wrapText="1"/>
    </xf>
    <xf numFmtId="0" fontId="1" fillId="0" borderId="103" xfId="0" applyFont="1" applyBorder="1" applyAlignment="1">
      <alignment horizontal="left" vertical="top" wrapText="1"/>
    </xf>
    <xf numFmtId="0" fontId="1" fillId="13" borderId="149" xfId="0" applyFont="1" applyFill="1" applyBorder="1" applyAlignment="1">
      <alignment horizontal="left" vertical="top" wrapText="1"/>
    </xf>
    <xf numFmtId="0" fontId="1" fillId="13" borderId="532" xfId="0" applyFont="1" applyFill="1" applyBorder="1" applyAlignment="1">
      <alignment horizontal="left" vertical="top" wrapText="1"/>
    </xf>
    <xf numFmtId="0" fontId="1" fillId="13" borderId="15" xfId="0" applyFont="1" applyFill="1" applyBorder="1" applyAlignment="1">
      <alignment horizontal="left" vertical="top" wrapText="1"/>
    </xf>
    <xf numFmtId="0" fontId="1" fillId="8" borderId="69" xfId="0" applyFont="1" applyFill="1" applyBorder="1" applyAlignment="1">
      <alignment horizontal="left" vertical="top" wrapText="1"/>
    </xf>
    <xf numFmtId="0" fontId="1" fillId="8" borderId="533" xfId="0" applyFont="1" applyFill="1" applyBorder="1" applyAlignment="1">
      <alignment horizontal="left" vertical="top" wrapText="1"/>
    </xf>
    <xf numFmtId="0" fontId="1" fillId="13" borderId="41" xfId="0" applyFont="1" applyFill="1" applyBorder="1" applyAlignment="1">
      <alignment horizontal="left" vertical="top" wrapText="1"/>
    </xf>
    <xf numFmtId="0" fontId="81" fillId="0" borderId="68" xfId="0" applyFont="1" applyBorder="1" applyAlignment="1" applyProtection="1">
      <alignment horizontal="left" vertical="top" wrapText="1"/>
      <protection locked="0"/>
    </xf>
    <xf numFmtId="0" fontId="81" fillId="0" borderId="83" xfId="0" applyFont="1" applyBorder="1" applyAlignment="1">
      <alignment horizontal="left" vertical="top" wrapText="1"/>
    </xf>
    <xf numFmtId="0" fontId="1" fillId="13" borderId="250" xfId="0" applyFont="1" applyFill="1" applyBorder="1" applyAlignment="1">
      <alignment horizontal="left" vertical="top" wrapText="1"/>
    </xf>
    <xf numFmtId="0" fontId="1" fillId="13" borderId="69" xfId="0" applyFont="1" applyFill="1" applyBorder="1" applyAlignment="1">
      <alignment horizontal="left" vertical="top" wrapText="1"/>
    </xf>
    <xf numFmtId="0" fontId="8" fillId="13" borderId="221" xfId="0" applyFont="1" applyFill="1" applyBorder="1" applyAlignment="1">
      <alignment horizontal="left" vertical="top" wrapText="1"/>
    </xf>
    <xf numFmtId="0" fontId="8" fillId="13" borderId="107" xfId="0" applyFont="1" applyFill="1" applyBorder="1" applyAlignment="1">
      <alignment horizontal="left" vertical="top" wrapText="1"/>
    </xf>
    <xf numFmtId="0" fontId="52" fillId="13" borderId="191" xfId="0" applyFont="1" applyFill="1" applyBorder="1" applyAlignment="1">
      <alignment horizontal="left" vertical="top"/>
    </xf>
    <xf numFmtId="0" fontId="8" fillId="13" borderId="199" xfId="0" applyFont="1" applyFill="1" applyBorder="1" applyAlignment="1">
      <alignment horizontal="left" vertical="top" wrapText="1"/>
    </xf>
    <xf numFmtId="0" fontId="8" fillId="0" borderId="535" xfId="0" applyFont="1" applyBorder="1" applyAlignment="1" applyProtection="1">
      <alignment horizontal="left" vertical="top" wrapText="1"/>
      <protection locked="0"/>
    </xf>
    <xf numFmtId="0" fontId="52" fillId="13" borderId="42" xfId="0" applyFont="1" applyFill="1" applyBorder="1" applyAlignment="1">
      <alignment horizontal="left" vertical="top"/>
    </xf>
    <xf numFmtId="0" fontId="52" fillId="3" borderId="42" xfId="0" applyFont="1" applyFill="1" applyBorder="1" applyAlignment="1">
      <alignment horizontal="left" vertical="top"/>
    </xf>
    <xf numFmtId="0" fontId="14" fillId="3" borderId="42" xfId="0" applyFont="1" applyFill="1" applyBorder="1" applyAlignment="1">
      <alignment vertical="top" wrapText="1"/>
    </xf>
    <xf numFmtId="0" fontId="1" fillId="8" borderId="184" xfId="0" applyFont="1" applyFill="1" applyBorder="1" applyAlignment="1">
      <alignment horizontal="left" vertical="top" wrapText="1"/>
    </xf>
    <xf numFmtId="0" fontId="32" fillId="0" borderId="70" xfId="0" applyFont="1" applyBorder="1" applyAlignment="1">
      <alignment horizontal="left" vertical="top"/>
    </xf>
    <xf numFmtId="0" fontId="1" fillId="8" borderId="209" xfId="0" applyFont="1" applyFill="1" applyBorder="1" applyAlignment="1">
      <alignment horizontal="left" vertical="top" wrapText="1"/>
    </xf>
    <xf numFmtId="0" fontId="1" fillId="13" borderId="103" xfId="0" applyFont="1" applyFill="1" applyBorder="1" applyAlignment="1">
      <alignment horizontal="left" vertical="top" wrapText="1"/>
    </xf>
    <xf numFmtId="0" fontId="8" fillId="13" borderId="514" xfId="0" applyFont="1" applyFill="1" applyBorder="1" applyAlignment="1">
      <alignment horizontal="left" vertical="top" wrapText="1"/>
    </xf>
    <xf numFmtId="0" fontId="8" fillId="13" borderId="516" xfId="0" applyFont="1" applyFill="1" applyBorder="1" applyAlignment="1">
      <alignment horizontal="left" vertical="top" wrapText="1"/>
    </xf>
    <xf numFmtId="0" fontId="8" fillId="13" borderId="520" xfId="0" applyFont="1" applyFill="1" applyBorder="1" applyAlignment="1">
      <alignment horizontal="left" vertical="top" wrapText="1"/>
    </xf>
    <xf numFmtId="0" fontId="1" fillId="0" borderId="536" xfId="0" applyFont="1" applyBorder="1" applyAlignment="1" applyProtection="1">
      <alignment horizontal="left" vertical="top" wrapText="1"/>
      <protection locked="0"/>
    </xf>
    <xf numFmtId="0" fontId="8" fillId="3" borderId="74" xfId="0" applyFont="1" applyFill="1" applyBorder="1" applyAlignment="1">
      <alignment horizontal="left" vertical="top" wrapText="1"/>
    </xf>
    <xf numFmtId="0" fontId="8" fillId="13" borderId="70" xfId="0" applyFont="1" applyFill="1" applyBorder="1" applyAlignment="1" applyProtection="1">
      <alignment horizontal="left" vertical="top" wrapText="1"/>
      <protection locked="0"/>
    </xf>
    <xf numFmtId="0" fontId="8" fillId="13" borderId="538" xfId="0" applyFont="1" applyFill="1" applyBorder="1" applyAlignment="1">
      <alignment horizontal="left" vertical="top" wrapText="1"/>
    </xf>
    <xf numFmtId="0" fontId="8" fillId="0" borderId="539" xfId="0" applyFont="1" applyBorder="1" applyAlignment="1" applyProtection="1">
      <alignment horizontal="left" vertical="top" wrapText="1"/>
      <protection locked="0"/>
    </xf>
    <xf numFmtId="0" fontId="30" fillId="0" borderId="527" xfId="0" applyFont="1" applyBorder="1" applyAlignment="1" applyProtection="1">
      <alignment vertical="top" wrapText="1"/>
      <protection locked="0"/>
    </xf>
    <xf numFmtId="0" fontId="8" fillId="13" borderId="203" xfId="0" applyFont="1" applyFill="1" applyBorder="1" applyAlignment="1">
      <alignment horizontal="left" vertical="top" wrapText="1"/>
    </xf>
    <xf numFmtId="0" fontId="8" fillId="13" borderId="74" xfId="0" applyFont="1" applyFill="1" applyBorder="1" applyAlignment="1">
      <alignment horizontal="left" vertical="top" wrapText="1"/>
    </xf>
    <xf numFmtId="0" fontId="8" fillId="13" borderId="540" xfId="0" applyFont="1" applyFill="1" applyBorder="1" applyAlignment="1">
      <alignment horizontal="left" vertical="top" wrapText="1"/>
    </xf>
    <xf numFmtId="0" fontId="8" fillId="13" borderId="541" xfId="0" applyFont="1" applyFill="1" applyBorder="1" applyAlignment="1">
      <alignment horizontal="left" vertical="top" wrapText="1"/>
    </xf>
    <xf numFmtId="0" fontId="30" fillId="0" borderId="527" xfId="0" applyFont="1" applyBorder="1" applyAlignment="1" applyProtection="1">
      <alignment horizontal="left" vertical="top" wrapText="1"/>
      <protection locked="0"/>
    </xf>
    <xf numFmtId="0" fontId="8" fillId="13" borderId="515" xfId="0" applyFont="1" applyFill="1" applyBorder="1" applyAlignment="1">
      <alignment horizontal="left" vertical="top" wrapText="1"/>
    </xf>
    <xf numFmtId="0" fontId="17" fillId="0" borderId="207" xfId="0" applyFont="1" applyBorder="1" applyAlignment="1" applyProtection="1">
      <alignment horizontal="left" vertical="top" wrapText="1"/>
      <protection locked="0"/>
    </xf>
    <xf numFmtId="0" fontId="1" fillId="0" borderId="473" xfId="0" applyFont="1" applyBorder="1" applyAlignment="1" applyProtection="1">
      <alignment horizontal="left" vertical="top" wrapText="1"/>
      <protection locked="0"/>
    </xf>
    <xf numFmtId="0" fontId="35" fillId="0" borderId="108" xfId="0" applyFont="1" applyBorder="1" applyAlignment="1" applyProtection="1">
      <alignment horizontal="left" vertical="top" wrapText="1"/>
      <protection locked="0"/>
    </xf>
    <xf numFmtId="0" fontId="1" fillId="0" borderId="542" xfId="0" applyFont="1" applyBorder="1" applyAlignment="1" applyProtection="1">
      <alignment horizontal="left" vertical="top" wrapText="1"/>
      <protection locked="0"/>
    </xf>
    <xf numFmtId="0" fontId="1" fillId="0" borderId="543" xfId="0" applyFont="1" applyBorder="1" applyAlignment="1" applyProtection="1">
      <alignment horizontal="left" vertical="top" wrapText="1"/>
      <protection locked="0"/>
    </xf>
    <xf numFmtId="0" fontId="1" fillId="13" borderId="538" xfId="0" applyFont="1" applyFill="1" applyBorder="1" applyAlignment="1">
      <alignment horizontal="left" vertical="top" wrapText="1"/>
    </xf>
    <xf numFmtId="0" fontId="30" fillId="3" borderId="544" xfId="0" applyFont="1" applyFill="1" applyBorder="1" applyAlignment="1" applyProtection="1">
      <alignment horizontal="left" vertical="top" wrapText="1"/>
      <protection locked="0"/>
    </xf>
    <xf numFmtId="0" fontId="35" fillId="0" borderId="545" xfId="0" applyFont="1" applyBorder="1" applyAlignment="1" applyProtection="1">
      <alignment horizontal="left" vertical="top" wrapText="1"/>
      <protection locked="0"/>
    </xf>
    <xf numFmtId="0" fontId="35" fillId="0" borderId="525" xfId="0" applyFont="1" applyBorder="1" applyAlignment="1" applyProtection="1">
      <alignment horizontal="left" vertical="top" wrapText="1"/>
      <protection locked="0"/>
    </xf>
    <xf numFmtId="0" fontId="32" fillId="13" borderId="514" xfId="0" applyFont="1" applyFill="1" applyBorder="1" applyAlignment="1">
      <alignment horizontal="left" vertical="top" wrapText="1"/>
    </xf>
    <xf numFmtId="0" fontId="17" fillId="0" borderId="284" xfId="0" applyFont="1" applyBorder="1" applyAlignment="1" applyProtection="1">
      <alignment horizontal="left" vertical="top" wrapText="1"/>
      <protection locked="0"/>
    </xf>
    <xf numFmtId="0" fontId="17" fillId="0" borderId="222" xfId="0" applyFont="1" applyBorder="1" applyAlignment="1" applyProtection="1">
      <alignment horizontal="left" vertical="top" wrapText="1"/>
      <protection locked="0"/>
    </xf>
    <xf numFmtId="0" fontId="17" fillId="0" borderId="412" xfId="0" applyFont="1" applyBorder="1" applyAlignment="1" applyProtection="1">
      <alignment horizontal="left" vertical="top" wrapText="1"/>
      <protection locked="0"/>
    </xf>
    <xf numFmtId="0" fontId="17" fillId="0" borderId="260" xfId="0" applyFont="1" applyBorder="1" applyAlignment="1" applyProtection="1">
      <alignment horizontal="left" vertical="top" wrapText="1"/>
      <protection locked="0"/>
    </xf>
    <xf numFmtId="0" fontId="17" fillId="0" borderId="413" xfId="0" applyFont="1" applyBorder="1" applyAlignment="1" applyProtection="1">
      <alignment horizontal="left" vertical="top" wrapText="1"/>
      <protection locked="0"/>
    </xf>
    <xf numFmtId="0" fontId="17" fillId="0" borderId="261" xfId="0" applyFont="1" applyBorder="1" applyAlignment="1" applyProtection="1">
      <alignment horizontal="left" vertical="top" wrapText="1"/>
      <protection locked="0"/>
    </xf>
    <xf numFmtId="0" fontId="1" fillId="3" borderId="527" xfId="0" applyFont="1" applyFill="1" applyBorder="1" applyAlignment="1" applyProtection="1">
      <alignment vertical="top" wrapText="1"/>
      <protection locked="0"/>
    </xf>
    <xf numFmtId="0" fontId="1" fillId="3" borderId="311" xfId="0" applyFont="1" applyFill="1" applyBorder="1" applyAlignment="1" applyProtection="1">
      <alignment vertical="top" wrapText="1"/>
      <protection locked="0"/>
    </xf>
    <xf numFmtId="0" fontId="1" fillId="13" borderId="211" xfId="0" applyFont="1" applyFill="1" applyBorder="1" applyAlignment="1">
      <alignment horizontal="left" vertical="top" wrapText="1"/>
    </xf>
    <xf numFmtId="0" fontId="1" fillId="0" borderId="545" xfId="0" applyFont="1" applyBorder="1" applyAlignment="1" applyProtection="1">
      <alignment horizontal="left" vertical="top" wrapText="1"/>
      <protection locked="0"/>
    </xf>
    <xf numFmtId="0" fontId="1" fillId="3" borderId="311" xfId="0" applyFont="1" applyFill="1" applyBorder="1" applyAlignment="1" applyProtection="1">
      <alignment horizontal="left" vertical="top" wrapText="1"/>
      <protection locked="0"/>
    </xf>
    <xf numFmtId="0" fontId="1" fillId="3" borderId="218" xfId="0" applyFont="1" applyFill="1" applyBorder="1" applyAlignment="1" applyProtection="1">
      <alignment vertical="top" wrapText="1"/>
      <protection locked="0"/>
    </xf>
    <xf numFmtId="0" fontId="1" fillId="0" borderId="516" xfId="0" applyFont="1" applyBorder="1" applyAlignment="1" applyProtection="1">
      <alignment horizontal="left" vertical="top" wrapText="1"/>
      <protection locked="0"/>
    </xf>
    <xf numFmtId="0" fontId="1" fillId="0" borderId="314" xfId="0" applyFont="1" applyBorder="1" applyAlignment="1" applyProtection="1">
      <alignment horizontal="left" vertical="top" wrapText="1"/>
      <protection locked="0"/>
    </xf>
    <xf numFmtId="0" fontId="1" fillId="13" borderId="314" xfId="0" applyFont="1" applyFill="1" applyBorder="1" applyAlignment="1">
      <alignment horizontal="left" vertical="top" wrapText="1"/>
    </xf>
    <xf numFmtId="49" fontId="29" fillId="13" borderId="21" xfId="0" applyNumberFormat="1" applyFont="1" applyFill="1" applyBorder="1" applyAlignment="1">
      <alignment horizontal="left" vertical="top" wrapText="1"/>
    </xf>
    <xf numFmtId="49" fontId="29" fillId="13" borderId="514" xfId="0" applyNumberFormat="1" applyFont="1" applyFill="1" applyBorder="1" applyAlignment="1">
      <alignment horizontal="left" vertical="top" wrapText="1"/>
    </xf>
    <xf numFmtId="0" fontId="41" fillId="13" borderId="520" xfId="0" applyFont="1" applyFill="1" applyBorder="1" applyAlignment="1">
      <alignment horizontal="left" vertical="top" wrapText="1"/>
    </xf>
    <xf numFmtId="0" fontId="1" fillId="0" borderId="515" xfId="0" applyFont="1" applyBorder="1" applyAlignment="1" applyProtection="1">
      <alignment horizontal="left" vertical="top" wrapText="1"/>
      <protection locked="0"/>
    </xf>
    <xf numFmtId="0" fontId="1" fillId="0" borderId="516" xfId="0" applyFont="1" applyBorder="1" applyAlignment="1">
      <alignment horizontal="left" vertical="top" wrapText="1"/>
    </xf>
    <xf numFmtId="49" fontId="29" fillId="13" borderId="249" xfId="0" applyNumberFormat="1" applyFont="1" applyFill="1" applyBorder="1" applyAlignment="1">
      <alignment horizontal="left" vertical="top" wrapText="1"/>
    </xf>
    <xf numFmtId="0" fontId="27" fillId="13" borderId="526" xfId="0" applyFont="1" applyFill="1" applyBorder="1" applyAlignment="1">
      <alignment horizontal="left" vertical="top" wrapText="1"/>
    </xf>
    <xf numFmtId="0" fontId="27" fillId="13" borderId="221" xfId="0" applyFont="1" applyFill="1" applyBorder="1" applyAlignment="1">
      <alignment horizontal="left" vertical="top" wrapText="1"/>
    </xf>
    <xf numFmtId="49" fontId="29" fillId="13" borderId="515" xfId="0" applyNumberFormat="1" applyFont="1" applyFill="1" applyBorder="1" applyAlignment="1">
      <alignment horizontal="left" vertical="top" wrapText="1"/>
    </xf>
    <xf numFmtId="0" fontId="1" fillId="13" borderId="551" xfId="0" applyFont="1" applyFill="1" applyBorder="1" applyAlignment="1">
      <alignment horizontal="left" vertical="top" wrapText="1"/>
    </xf>
    <xf numFmtId="0" fontId="41" fillId="13" borderId="551" xfId="0" applyFont="1" applyFill="1" applyBorder="1" applyAlignment="1">
      <alignment horizontal="left" vertical="top" wrapText="1"/>
    </xf>
    <xf numFmtId="0" fontId="1" fillId="13" borderId="541" xfId="0" applyFont="1" applyFill="1" applyBorder="1" applyAlignment="1">
      <alignment horizontal="left" vertical="top" wrapText="1"/>
    </xf>
    <xf numFmtId="0" fontId="1" fillId="13" borderId="553" xfId="0" applyFont="1" applyFill="1" applyBorder="1" applyAlignment="1">
      <alignment horizontal="left" vertical="top" wrapText="1"/>
    </xf>
    <xf numFmtId="0" fontId="1" fillId="13" borderId="472" xfId="0" applyFont="1" applyFill="1" applyBorder="1" applyAlignment="1">
      <alignment horizontal="left" vertical="top" wrapText="1"/>
    </xf>
    <xf numFmtId="0" fontId="32" fillId="13" borderId="108" xfId="0" applyFont="1" applyFill="1" applyBorder="1" applyAlignment="1">
      <alignment horizontal="left" vertical="top"/>
    </xf>
    <xf numFmtId="0" fontId="0" fillId="13" borderId="108" xfId="0" applyFill="1" applyBorder="1" applyAlignment="1">
      <alignment horizontal="left" vertical="top"/>
    </xf>
    <xf numFmtId="0" fontId="1" fillId="13" borderId="540" xfId="0" applyFont="1" applyFill="1" applyBorder="1" applyAlignment="1">
      <alignment horizontal="left" vertical="top" wrapText="1"/>
    </xf>
    <xf numFmtId="0" fontId="1" fillId="0" borderId="529" xfId="0" applyFont="1" applyBorder="1" applyAlignment="1" applyProtection="1">
      <alignment horizontal="left" vertical="top" wrapText="1"/>
      <protection locked="0"/>
    </xf>
    <xf numFmtId="0" fontId="1" fillId="13" borderId="74" xfId="0" applyFont="1" applyFill="1" applyBorder="1" applyAlignment="1">
      <alignment horizontal="left" vertical="top" wrapText="1"/>
    </xf>
    <xf numFmtId="0" fontId="1" fillId="13" borderId="102" xfId="0" applyFont="1" applyFill="1" applyBorder="1" applyAlignment="1">
      <alignment horizontal="left" vertical="top" wrapText="1"/>
    </xf>
    <xf numFmtId="0" fontId="1" fillId="13" borderId="174" xfId="0" applyFont="1" applyFill="1" applyBorder="1" applyAlignment="1">
      <alignment vertical="top" wrapText="1"/>
    </xf>
    <xf numFmtId="0" fontId="1" fillId="13" borderId="514" xfId="0" applyFont="1" applyFill="1" applyBorder="1" applyAlignment="1">
      <alignment vertical="top" wrapText="1"/>
    </xf>
    <xf numFmtId="0" fontId="1" fillId="13" borderId="554" xfId="0" applyFont="1" applyFill="1" applyBorder="1" applyAlignment="1">
      <alignment vertical="top" wrapText="1"/>
    </xf>
    <xf numFmtId="0" fontId="1" fillId="13" borderId="184" xfId="0" applyFont="1" applyFill="1" applyBorder="1" applyAlignment="1">
      <alignment vertical="top" wrapText="1"/>
    </xf>
    <xf numFmtId="0" fontId="1" fillId="0" borderId="545" xfId="0" applyFont="1" applyBorder="1" applyAlignment="1" applyProtection="1">
      <alignment vertical="top" wrapText="1"/>
      <protection locked="0"/>
    </xf>
    <xf numFmtId="0" fontId="1" fillId="13" borderId="212" xfId="0" applyFont="1" applyFill="1" applyBorder="1" applyAlignment="1">
      <alignment vertical="top" wrapText="1"/>
    </xf>
    <xf numFmtId="0" fontId="1" fillId="0" borderId="525" xfId="0" applyFont="1" applyBorder="1" applyAlignment="1" applyProtection="1">
      <alignment vertical="top" wrapText="1"/>
      <protection locked="0"/>
    </xf>
    <xf numFmtId="0" fontId="1" fillId="0" borderId="311" xfId="0" applyFont="1" applyBorder="1" applyAlignment="1" applyProtection="1">
      <alignment vertical="top" wrapText="1"/>
      <protection locked="0"/>
    </xf>
    <xf numFmtId="0" fontId="1" fillId="3" borderId="527" xfId="0" applyFont="1" applyFill="1" applyBorder="1" applyAlignment="1" applyProtection="1">
      <alignment horizontal="left" vertical="top" wrapText="1"/>
      <protection locked="0"/>
    </xf>
    <xf numFmtId="0" fontId="1" fillId="13" borderId="203" xfId="0" applyFont="1" applyFill="1" applyBorder="1" applyAlignment="1">
      <alignment horizontal="left" vertical="top" wrapText="1"/>
    </xf>
    <xf numFmtId="0" fontId="8" fillId="13" borderId="249" xfId="0" applyFont="1" applyFill="1" applyBorder="1" applyAlignment="1">
      <alignment vertical="top" wrapText="1"/>
    </xf>
    <xf numFmtId="0" fontId="8" fillId="13" borderId="160" xfId="0" applyFont="1" applyFill="1" applyBorder="1" applyAlignment="1">
      <alignment vertical="top" wrapText="1"/>
    </xf>
    <xf numFmtId="0" fontId="1" fillId="13" borderId="191" xfId="0" applyFont="1" applyFill="1" applyBorder="1" applyAlignment="1">
      <alignment vertical="top" wrapText="1"/>
    </xf>
    <xf numFmtId="0" fontId="1" fillId="0" borderId="221" xfId="0" applyFont="1" applyBorder="1" applyAlignment="1" applyProtection="1">
      <alignment vertical="top" wrapText="1"/>
      <protection locked="0"/>
    </xf>
    <xf numFmtId="0" fontId="1" fillId="13" borderId="537" xfId="0" applyFont="1" applyFill="1" applyBorder="1" applyAlignment="1">
      <alignment horizontal="left" vertical="top" wrapText="1"/>
    </xf>
    <xf numFmtId="0" fontId="8" fillId="0" borderId="516" xfId="0" applyFont="1" applyBorder="1" applyAlignment="1">
      <alignment vertical="top" wrapText="1"/>
    </xf>
    <xf numFmtId="0" fontId="16" fillId="0" borderId="520" xfId="0" applyFont="1" applyBorder="1" applyAlignment="1">
      <alignment horizontal="left" vertical="top" wrapText="1"/>
    </xf>
    <xf numFmtId="16" fontId="1" fillId="0" borderId="108" xfId="0" applyNumberFormat="1" applyFont="1" applyBorder="1" applyAlignment="1" applyProtection="1">
      <alignment horizontal="left" vertical="top" wrapText="1"/>
      <protection locked="0"/>
    </xf>
    <xf numFmtId="16" fontId="1" fillId="0" borderId="221" xfId="0" applyNumberFormat="1" applyFont="1" applyBorder="1" applyAlignment="1" applyProtection="1">
      <alignment horizontal="left" vertical="top" wrapText="1"/>
      <protection locked="0"/>
    </xf>
    <xf numFmtId="0" fontId="1" fillId="0" borderId="539" xfId="0" applyFont="1" applyBorder="1" applyAlignment="1" applyProtection="1">
      <alignment horizontal="left" vertical="top" wrapText="1"/>
      <protection locked="0"/>
    </xf>
    <xf numFmtId="0" fontId="7" fillId="0" borderId="108" xfId="0" applyFont="1" applyBorder="1" applyAlignment="1">
      <alignment horizontal="left" vertical="top"/>
    </xf>
    <xf numFmtId="0" fontId="27" fillId="0" borderId="108" xfId="0" applyFont="1" applyBorder="1" applyAlignment="1">
      <alignment horizontal="left" vertical="top"/>
    </xf>
    <xf numFmtId="0" fontId="1" fillId="13" borderId="168" xfId="0" applyFont="1" applyFill="1" applyBorder="1" applyAlignment="1">
      <alignment horizontal="left" vertical="top" wrapText="1"/>
    </xf>
    <xf numFmtId="0" fontId="7" fillId="0" borderId="191" xfId="0" applyFont="1" applyBorder="1" applyAlignment="1">
      <alignment horizontal="left" vertical="top"/>
    </xf>
    <xf numFmtId="0" fontId="1" fillId="13" borderId="471" xfId="0" applyFont="1" applyFill="1" applyBorder="1" applyAlignment="1">
      <alignment horizontal="left" vertical="top" wrapText="1"/>
    </xf>
    <xf numFmtId="0" fontId="1" fillId="0" borderId="288" xfId="0" applyFont="1" applyBorder="1" applyAlignment="1" applyProtection="1">
      <alignment horizontal="left" vertical="top" wrapText="1"/>
      <protection locked="0"/>
    </xf>
    <xf numFmtId="0" fontId="1" fillId="0" borderId="471" xfId="0" applyFont="1" applyBorder="1" applyAlignment="1">
      <alignment horizontal="left" vertical="top" wrapText="1"/>
    </xf>
    <xf numFmtId="0" fontId="1" fillId="0" borderId="556" xfId="0" applyFont="1" applyBorder="1" applyAlignment="1">
      <alignment horizontal="left" vertical="top" wrapText="1"/>
    </xf>
    <xf numFmtId="0" fontId="1" fillId="0" borderId="419" xfId="0" applyFont="1" applyBorder="1" applyAlignment="1" applyProtection="1">
      <alignment horizontal="left" vertical="top" wrapText="1"/>
      <protection locked="0"/>
    </xf>
    <xf numFmtId="0" fontId="1" fillId="0" borderId="557" xfId="0" applyFont="1" applyBorder="1" applyAlignment="1" applyProtection="1">
      <alignment horizontal="left" vertical="top" wrapText="1"/>
      <protection locked="0"/>
    </xf>
    <xf numFmtId="0" fontId="1" fillId="0" borderId="491" xfId="0" applyFont="1" applyBorder="1" applyAlignment="1">
      <alignment horizontal="left" vertical="top" wrapText="1"/>
    </xf>
    <xf numFmtId="0" fontId="1" fillId="3" borderId="295" xfId="0" applyFont="1" applyFill="1" applyBorder="1" applyAlignment="1">
      <alignment vertical="top" wrapText="1"/>
    </xf>
    <xf numFmtId="49" fontId="1" fillId="13" borderId="514" xfId="0" applyNumberFormat="1" applyFont="1" applyFill="1" applyBorder="1" applyAlignment="1">
      <alignment horizontal="left" vertical="top" wrapText="1"/>
    </xf>
    <xf numFmtId="49" fontId="1" fillId="13" borderId="174" xfId="0" applyNumberFormat="1" applyFont="1" applyFill="1" applyBorder="1" applyAlignment="1">
      <alignment horizontal="left" vertical="top" wrapText="1"/>
    </xf>
    <xf numFmtId="0" fontId="17" fillId="13" borderId="218" xfId="0" applyFont="1" applyFill="1" applyBorder="1" applyAlignment="1">
      <alignment horizontal="left" vertical="top" wrapText="1"/>
    </xf>
    <xf numFmtId="0" fontId="17" fillId="13" borderId="219" xfId="0" applyFont="1" applyFill="1" applyBorder="1" applyAlignment="1">
      <alignment horizontal="left" vertical="top" wrapText="1"/>
    </xf>
    <xf numFmtId="0" fontId="17" fillId="13" borderId="320" xfId="0" applyFont="1" applyFill="1" applyBorder="1" applyAlignment="1">
      <alignment horizontal="left" vertical="top" wrapText="1"/>
    </xf>
    <xf numFmtId="0" fontId="17" fillId="13" borderId="516" xfId="0" applyFont="1" applyFill="1" applyBorder="1" applyAlignment="1">
      <alignment horizontal="left" vertical="top" wrapText="1"/>
    </xf>
    <xf numFmtId="0" fontId="1" fillId="0" borderId="520" xfId="0" applyFont="1" applyBorder="1" applyAlignment="1" applyProtection="1">
      <alignment horizontal="left" vertical="top" wrapText="1"/>
      <protection locked="0"/>
    </xf>
    <xf numFmtId="49" fontId="8" fillId="13" borderId="514" xfId="0" applyNumberFormat="1" applyFont="1" applyFill="1" applyBorder="1" applyAlignment="1">
      <alignment horizontal="left" vertical="top" wrapText="1"/>
    </xf>
    <xf numFmtId="0" fontId="30" fillId="0" borderId="558" xfId="0" applyFont="1" applyBorder="1" applyAlignment="1" applyProtection="1">
      <alignment horizontal="left" vertical="top" wrapText="1"/>
      <protection locked="0"/>
    </xf>
    <xf numFmtId="0" fontId="41" fillId="13" borderId="22" xfId="0" applyFont="1" applyFill="1" applyBorder="1" applyAlignment="1">
      <alignment horizontal="left" vertical="top" wrapText="1"/>
    </xf>
    <xf numFmtId="0" fontId="1" fillId="3" borderId="212" xfId="0" applyFont="1" applyFill="1" applyBorder="1" applyAlignment="1">
      <alignment horizontal="left" vertical="top" wrapText="1"/>
    </xf>
    <xf numFmtId="0" fontId="8" fillId="13" borderId="523" xfId="0" applyFont="1" applyFill="1" applyBorder="1" applyAlignment="1">
      <alignment horizontal="left" vertical="top" wrapText="1"/>
    </xf>
    <xf numFmtId="0" fontId="1" fillId="8" borderId="435" xfId="0" applyFont="1" applyFill="1" applyBorder="1" applyAlignment="1">
      <alignment horizontal="left" vertical="top" wrapText="1"/>
    </xf>
    <xf numFmtId="0" fontId="0" fillId="13" borderId="520" xfId="0" applyFill="1" applyBorder="1" applyAlignment="1">
      <alignment horizontal="left" vertical="top"/>
    </xf>
    <xf numFmtId="0" fontId="1" fillId="0" borderId="559" xfId="0" applyFont="1" applyBorder="1" applyAlignment="1" applyProtection="1">
      <alignment horizontal="left" vertical="top" wrapText="1"/>
      <protection locked="0"/>
    </xf>
    <xf numFmtId="0" fontId="30" fillId="0" borderId="560" xfId="0" applyFont="1" applyBorder="1" applyAlignment="1" applyProtection="1">
      <alignment vertical="top" wrapText="1"/>
      <protection locked="0"/>
    </xf>
    <xf numFmtId="0" fontId="1" fillId="0" borderId="561" xfId="0" applyFont="1" applyBorder="1" applyAlignment="1" applyProtection="1">
      <alignment horizontal="left" vertical="top" wrapText="1"/>
      <protection locked="0"/>
    </xf>
    <xf numFmtId="0" fontId="30" fillId="0" borderId="561" xfId="0" applyFont="1" applyBorder="1" applyAlignment="1" applyProtection="1">
      <alignment horizontal="left" vertical="top" wrapText="1"/>
      <protection locked="0"/>
    </xf>
    <xf numFmtId="0" fontId="1" fillId="13" borderId="561" xfId="0" applyFont="1" applyFill="1" applyBorder="1" applyAlignment="1">
      <alignment horizontal="left" vertical="top" wrapText="1"/>
    </xf>
    <xf numFmtId="0" fontId="41" fillId="0" borderId="281" xfId="0" applyFont="1" applyBorder="1" applyAlignment="1" applyProtection="1">
      <alignment horizontal="left" vertical="top" wrapText="1"/>
      <protection locked="0"/>
    </xf>
    <xf numFmtId="0" fontId="1" fillId="3" borderId="562" xfId="0" applyFont="1" applyFill="1" applyBorder="1" applyAlignment="1">
      <alignment horizontal="left" vertical="top" wrapText="1"/>
    </xf>
    <xf numFmtId="0" fontId="1" fillId="0" borderId="417" xfId="0" applyFont="1" applyBorder="1" applyAlignment="1" applyProtection="1">
      <alignment horizontal="left" vertical="top" wrapText="1"/>
      <protection locked="0"/>
    </xf>
    <xf numFmtId="0" fontId="17" fillId="12" borderId="42" xfId="0" applyFont="1" applyFill="1" applyBorder="1" applyAlignment="1">
      <alignment horizontal="left" vertical="top" wrapText="1"/>
    </xf>
    <xf numFmtId="0" fontId="1" fillId="8" borderId="211" xfId="0" applyFont="1" applyFill="1" applyBorder="1" applyAlignment="1">
      <alignment horizontal="left" vertical="top" wrapText="1"/>
    </xf>
    <xf numFmtId="0" fontId="1" fillId="3" borderId="556" xfId="0" applyFont="1" applyFill="1" applyBorder="1" applyAlignment="1">
      <alignment horizontal="left" vertical="top" wrapText="1"/>
    </xf>
    <xf numFmtId="0" fontId="30" fillId="0" borderId="244" xfId="0" applyFont="1" applyBorder="1" applyAlignment="1" applyProtection="1">
      <alignment horizontal="left" vertical="top" wrapText="1"/>
      <protection locked="0"/>
    </xf>
    <xf numFmtId="0" fontId="1" fillId="0" borderId="525" xfId="0" applyFont="1" applyBorder="1" applyAlignment="1">
      <alignment horizontal="left" vertical="top" wrapText="1"/>
    </xf>
    <xf numFmtId="0" fontId="30" fillId="0" borderId="403" xfId="0" applyFont="1" applyBorder="1" applyAlignment="1" applyProtection="1">
      <alignment horizontal="left" vertical="top" wrapText="1"/>
      <protection locked="0"/>
    </xf>
    <xf numFmtId="0" fontId="17" fillId="3" borderId="516" xfId="0" applyFont="1" applyFill="1" applyBorder="1" applyAlignment="1">
      <alignment horizontal="left" vertical="top" wrapText="1"/>
    </xf>
    <xf numFmtId="0" fontId="1" fillId="0" borderId="566" xfId="0" applyFont="1" applyBorder="1" applyAlignment="1" applyProtection="1">
      <alignment horizontal="left" vertical="top" wrapText="1"/>
      <protection locked="0"/>
    </xf>
    <xf numFmtId="0" fontId="1" fillId="0" borderId="524" xfId="0" applyFont="1" applyBorder="1" applyAlignment="1" applyProtection="1">
      <alignment horizontal="left" vertical="top" wrapText="1"/>
      <protection locked="0"/>
    </xf>
    <xf numFmtId="0" fontId="17" fillId="0" borderId="203" xfId="0" applyFont="1" applyBorder="1" applyAlignment="1" applyProtection="1">
      <alignment horizontal="left" vertical="top" wrapText="1"/>
      <protection locked="0"/>
    </xf>
    <xf numFmtId="0" fontId="17" fillId="0" borderId="206" xfId="0" applyFont="1" applyBorder="1" applyAlignment="1" applyProtection="1">
      <alignment horizontal="left" vertical="top" wrapText="1"/>
      <protection locked="0"/>
    </xf>
    <xf numFmtId="0" fontId="1" fillId="0" borderId="475" xfId="0" applyFont="1" applyBorder="1" applyAlignment="1" applyProtection="1">
      <alignment horizontal="left" vertical="top" wrapText="1"/>
      <protection locked="0"/>
    </xf>
    <xf numFmtId="0" fontId="1" fillId="0" borderId="568" xfId="0" applyFont="1" applyBorder="1" applyAlignment="1" applyProtection="1">
      <alignment horizontal="left" vertical="top" wrapText="1"/>
      <protection locked="0"/>
    </xf>
    <xf numFmtId="0" fontId="1" fillId="0" borderId="570" xfId="0" applyFont="1" applyBorder="1" applyAlignment="1" applyProtection="1">
      <alignment horizontal="left" vertical="top" wrapText="1"/>
      <protection locked="0"/>
    </xf>
    <xf numFmtId="0" fontId="1" fillId="0" borderId="66" xfId="0" applyFont="1" applyBorder="1" applyAlignment="1" applyProtection="1">
      <alignment horizontal="left" vertical="top" wrapText="1"/>
      <protection locked="0"/>
    </xf>
    <xf numFmtId="0" fontId="1" fillId="0" borderId="573" xfId="0" applyFont="1" applyBorder="1" applyAlignment="1" applyProtection="1">
      <alignment horizontal="left" vertical="top" wrapText="1"/>
      <protection locked="0"/>
    </xf>
    <xf numFmtId="0" fontId="1" fillId="0" borderId="572" xfId="0" applyFont="1" applyBorder="1" applyAlignment="1" applyProtection="1">
      <alignment horizontal="left" vertical="top" wrapText="1"/>
      <protection locked="0"/>
    </xf>
    <xf numFmtId="0" fontId="17" fillId="0" borderId="116" xfId="0" applyFont="1" applyBorder="1" applyAlignment="1" applyProtection="1">
      <alignment horizontal="left" vertical="top" wrapText="1"/>
      <protection locked="0"/>
    </xf>
    <xf numFmtId="0" fontId="17" fillId="0" borderId="514" xfId="0" applyFont="1" applyBorder="1" applyAlignment="1" applyProtection="1">
      <alignment horizontal="left" vertical="top" wrapText="1"/>
      <protection locked="0"/>
    </xf>
    <xf numFmtId="0" fontId="17" fillId="0" borderId="526" xfId="0" applyFont="1" applyBorder="1" applyAlignment="1" applyProtection="1">
      <alignment horizontal="left" vertical="top" wrapText="1"/>
      <protection locked="0"/>
    </xf>
    <xf numFmtId="0" fontId="17" fillId="0" borderId="172" xfId="0" applyFont="1" applyBorder="1" applyAlignment="1" applyProtection="1">
      <alignment horizontal="left" vertical="top" wrapText="1"/>
      <protection locked="0"/>
    </xf>
    <xf numFmtId="0" fontId="30" fillId="0" borderId="514" xfId="0" applyFont="1" applyBorder="1" applyAlignment="1" applyProtection="1">
      <alignment horizontal="left" vertical="top" wrapText="1"/>
      <protection locked="0"/>
    </xf>
    <xf numFmtId="0" fontId="1" fillId="0" borderId="520" xfId="0" applyFont="1" applyBorder="1" applyAlignment="1">
      <alignment horizontal="left" vertical="top" wrapText="1"/>
    </xf>
    <xf numFmtId="0" fontId="1" fillId="3" borderId="516" xfId="0" applyFont="1" applyFill="1" applyBorder="1" applyAlignment="1">
      <alignment horizontal="left" vertical="top" wrapText="1"/>
    </xf>
    <xf numFmtId="0" fontId="17" fillId="0" borderId="513" xfId="0" applyFont="1" applyBorder="1" applyAlignment="1" applyProtection="1">
      <alignment horizontal="left" vertical="top" wrapText="1"/>
      <protection locked="0"/>
    </xf>
    <xf numFmtId="0" fontId="1" fillId="0" borderId="403" xfId="0" applyFont="1" applyBorder="1" applyAlignment="1" applyProtection="1">
      <alignment horizontal="left" vertical="top" wrapText="1"/>
      <protection locked="0"/>
    </xf>
    <xf numFmtId="0" fontId="41" fillId="0" borderId="438" xfId="0" applyFont="1" applyBorder="1" applyAlignment="1" applyProtection="1">
      <alignment horizontal="left" vertical="top" wrapText="1"/>
      <protection locked="0"/>
    </xf>
    <xf numFmtId="0" fontId="1" fillId="0" borderId="324" xfId="0" applyFont="1" applyBorder="1" applyAlignment="1" applyProtection="1">
      <alignment horizontal="left" vertical="top" wrapText="1"/>
      <protection locked="0"/>
    </xf>
    <xf numFmtId="0" fontId="1" fillId="0" borderId="154" xfId="0" applyFont="1" applyBorder="1" applyAlignment="1" applyProtection="1">
      <alignment horizontal="left" vertical="top" wrapText="1"/>
      <protection locked="0"/>
    </xf>
    <xf numFmtId="0" fontId="17" fillId="0" borderId="242" xfId="0" applyFont="1" applyBorder="1" applyAlignment="1" applyProtection="1">
      <alignment horizontal="left" vertical="top" wrapText="1"/>
      <protection locked="0"/>
    </xf>
    <xf numFmtId="0" fontId="1" fillId="3" borderId="403" xfId="0" applyFont="1" applyFill="1" applyBorder="1" applyAlignment="1" applyProtection="1">
      <alignment horizontal="left" vertical="top" wrapText="1"/>
      <protection locked="0"/>
    </xf>
    <xf numFmtId="0" fontId="17" fillId="0" borderId="578" xfId="0" applyFont="1" applyBorder="1" applyAlignment="1" applyProtection="1">
      <alignment horizontal="left" vertical="top" wrapText="1"/>
      <protection locked="0"/>
    </xf>
    <xf numFmtId="0" fontId="1" fillId="0" borderId="565" xfId="0" applyFont="1" applyBorder="1" applyAlignment="1" applyProtection="1">
      <alignment horizontal="left" vertical="top" wrapText="1"/>
      <protection locked="0"/>
    </xf>
    <xf numFmtId="0" fontId="1" fillId="0" borderId="584" xfId="0" applyFont="1" applyBorder="1" applyAlignment="1" applyProtection="1">
      <alignment horizontal="left" vertical="top" wrapText="1"/>
      <protection locked="0"/>
    </xf>
    <xf numFmtId="0" fontId="1" fillId="0" borderId="534" xfId="0" applyFont="1" applyBorder="1" applyAlignment="1" applyProtection="1">
      <alignment horizontal="left" vertical="top" wrapText="1"/>
      <protection locked="0"/>
    </xf>
    <xf numFmtId="0" fontId="1" fillId="0" borderId="577" xfId="0" applyFont="1" applyBorder="1" applyAlignment="1" applyProtection="1">
      <alignment horizontal="left" vertical="top" wrapText="1"/>
      <protection locked="0"/>
    </xf>
    <xf numFmtId="0" fontId="1" fillId="0" borderId="429" xfId="0" applyFont="1" applyBorder="1" applyAlignment="1" applyProtection="1">
      <alignment horizontal="left" vertical="top" wrapText="1"/>
      <protection locked="0"/>
    </xf>
    <xf numFmtId="0" fontId="17" fillId="0" borderId="534" xfId="0" applyFont="1" applyBorder="1" applyAlignment="1" applyProtection="1">
      <alignment horizontal="left" vertical="top" wrapText="1"/>
      <protection locked="0"/>
    </xf>
    <xf numFmtId="0" fontId="1" fillId="0" borderId="585" xfId="0" applyFont="1" applyBorder="1" applyAlignment="1" applyProtection="1">
      <alignment horizontal="left" vertical="top" wrapText="1"/>
      <protection locked="0"/>
    </xf>
    <xf numFmtId="0" fontId="1" fillId="3" borderId="472" xfId="0" applyFont="1" applyFill="1" applyBorder="1" applyAlignment="1">
      <alignment horizontal="left" vertical="top" wrapText="1"/>
    </xf>
    <xf numFmtId="0" fontId="1" fillId="13" borderId="588" xfId="0" applyFont="1" applyFill="1" applyBorder="1" applyAlignment="1">
      <alignment horizontal="left" vertical="top" wrapText="1"/>
    </xf>
    <xf numFmtId="0" fontId="1" fillId="0" borderId="531" xfId="0" applyFont="1" applyBorder="1" applyAlignment="1" applyProtection="1">
      <alignment horizontal="left" vertical="top" wrapText="1"/>
      <protection locked="0"/>
    </xf>
    <xf numFmtId="0" fontId="1" fillId="0" borderId="589" xfId="0" applyFont="1" applyBorder="1" applyAlignment="1" applyProtection="1">
      <alignment horizontal="left" vertical="top" wrapText="1"/>
      <protection locked="0"/>
    </xf>
    <xf numFmtId="0" fontId="1" fillId="0" borderId="337" xfId="0" applyFont="1" applyBorder="1" applyAlignment="1" applyProtection="1">
      <alignment horizontal="left" vertical="top" wrapText="1"/>
      <protection locked="0"/>
    </xf>
    <xf numFmtId="0" fontId="1" fillId="0" borderId="590" xfId="0" applyFont="1" applyBorder="1" applyAlignment="1" applyProtection="1">
      <alignment horizontal="left" vertical="top" wrapText="1"/>
      <protection locked="0"/>
    </xf>
    <xf numFmtId="0" fontId="1" fillId="13" borderId="583" xfId="0" applyFont="1" applyFill="1" applyBorder="1" applyAlignment="1">
      <alignment horizontal="left" vertical="top" wrapText="1"/>
    </xf>
    <xf numFmtId="0" fontId="1" fillId="0" borderId="592" xfId="0" applyFont="1" applyBorder="1" applyAlignment="1" applyProtection="1">
      <alignment horizontal="left" vertical="top" wrapText="1"/>
      <protection locked="0"/>
    </xf>
    <xf numFmtId="0" fontId="1" fillId="0" borderId="416" xfId="0" applyFont="1" applyBorder="1" applyAlignment="1" applyProtection="1">
      <alignment horizontal="left" vertical="top" wrapText="1"/>
      <protection locked="0"/>
    </xf>
    <xf numFmtId="0" fontId="1" fillId="8" borderId="311" xfId="0" applyFont="1" applyFill="1" applyBorder="1" applyAlignment="1" applyProtection="1">
      <alignment horizontal="left" vertical="top" wrapText="1"/>
      <protection locked="0"/>
    </xf>
    <xf numFmtId="0" fontId="1" fillId="8" borderId="103" xfId="0" applyFont="1" applyFill="1" applyBorder="1" applyAlignment="1" applyProtection="1">
      <alignment horizontal="left" vertical="top" wrapText="1"/>
      <protection locked="0"/>
    </xf>
    <xf numFmtId="0" fontId="39" fillId="0" borderId="108" xfId="0" applyFont="1" applyBorder="1" applyAlignment="1">
      <alignment horizontal="left" vertical="top"/>
    </xf>
    <xf numFmtId="0" fontId="1" fillId="0" borderId="538" xfId="0" applyFont="1" applyBorder="1" applyAlignment="1">
      <alignment horizontal="left" vertical="top" wrapText="1"/>
    </xf>
    <xf numFmtId="0" fontId="1" fillId="0" borderId="21" xfId="0" applyFont="1" applyBorder="1" applyAlignment="1" applyProtection="1">
      <alignment horizontal="left" vertical="top" wrapText="1"/>
      <protection locked="0"/>
    </xf>
    <xf numFmtId="0" fontId="22" fillId="0" borderId="205" xfId="0" applyFont="1" applyBorder="1" applyAlignment="1">
      <alignment horizontal="left" vertical="top"/>
    </xf>
    <xf numFmtId="0" fontId="18" fillId="0" borderId="205" xfId="0" applyFont="1" applyBorder="1" applyAlignment="1">
      <alignment horizontal="left" vertical="top"/>
    </xf>
    <xf numFmtId="0" fontId="1" fillId="3" borderId="542" xfId="0" applyFont="1" applyFill="1" applyBorder="1" applyAlignment="1">
      <alignment horizontal="left" vertical="top" wrapText="1"/>
    </xf>
    <xf numFmtId="0" fontId="8" fillId="3" borderId="516" xfId="0" applyFont="1" applyFill="1" applyBorder="1" applyAlignment="1">
      <alignment horizontal="left" vertical="top" wrapText="1"/>
    </xf>
    <xf numFmtId="0" fontId="1" fillId="13" borderId="531" xfId="0" applyFont="1" applyFill="1" applyBorder="1" applyAlignment="1">
      <alignment horizontal="left" vertical="top" wrapText="1"/>
    </xf>
    <xf numFmtId="0" fontId="41" fillId="0" borderId="179" xfId="0" applyFont="1" applyBorder="1" applyAlignment="1" applyProtection="1">
      <alignment horizontal="left" vertical="top" wrapText="1"/>
      <protection locked="0"/>
    </xf>
    <xf numFmtId="0" fontId="8" fillId="13" borderId="588" xfId="0" applyFont="1" applyFill="1" applyBorder="1" applyAlignment="1">
      <alignment horizontal="left" vertical="top" wrapText="1"/>
    </xf>
    <xf numFmtId="0" fontId="1" fillId="0" borderId="595" xfId="0" applyFont="1" applyBorder="1" applyAlignment="1">
      <alignment horizontal="left" vertical="top" wrapText="1"/>
    </xf>
    <xf numFmtId="0" fontId="1" fillId="13" borderId="596" xfId="0" applyFont="1" applyFill="1" applyBorder="1" applyAlignment="1">
      <alignment horizontal="left" vertical="top" wrapText="1"/>
    </xf>
    <xf numFmtId="0" fontId="1" fillId="3" borderId="597" xfId="0" applyFont="1" applyFill="1" applyBorder="1" applyAlignment="1">
      <alignment horizontal="left" vertical="top" wrapText="1"/>
    </xf>
    <xf numFmtId="0" fontId="1" fillId="13" borderId="598" xfId="0" applyFont="1" applyFill="1" applyBorder="1" applyAlignment="1">
      <alignment horizontal="left" vertical="top" wrapText="1"/>
    </xf>
    <xf numFmtId="49" fontId="52" fillId="13" borderId="515" xfId="0" applyNumberFormat="1" applyFont="1" applyFill="1" applyBorder="1" applyAlignment="1">
      <alignment horizontal="left" vertical="top" wrapText="1"/>
    </xf>
    <xf numFmtId="0" fontId="8" fillId="8" borderId="184" xfId="0" applyFont="1" applyFill="1" applyBorder="1" applyAlignment="1">
      <alignment horizontal="left" vertical="top" wrapText="1"/>
    </xf>
    <xf numFmtId="0" fontId="17" fillId="13" borderId="526" xfId="0" applyFont="1" applyFill="1" applyBorder="1" applyAlignment="1">
      <alignment horizontal="left" vertical="top" wrapText="1"/>
    </xf>
    <xf numFmtId="0" fontId="41" fillId="0" borderId="221" xfId="0" applyFont="1" applyBorder="1" applyAlignment="1" applyProtection="1">
      <alignment horizontal="left" vertical="top" wrapText="1"/>
      <protection locked="0"/>
    </xf>
    <xf numFmtId="0" fontId="27" fillId="13" borderId="22" xfId="0" applyFont="1" applyFill="1" applyBorder="1" applyAlignment="1">
      <alignment horizontal="left" vertical="top"/>
    </xf>
    <xf numFmtId="0" fontId="16" fillId="0" borderId="526" xfId="0" applyFont="1" applyBorder="1" applyAlignment="1" applyProtection="1">
      <alignment horizontal="left" vertical="top" wrapText="1"/>
      <protection locked="0"/>
    </xf>
    <xf numFmtId="0" fontId="16" fillId="0" borderId="514" xfId="0" applyFont="1" applyBorder="1" applyAlignment="1" applyProtection="1">
      <alignment horizontal="left" vertical="top" wrapText="1"/>
      <protection locked="0"/>
    </xf>
    <xf numFmtId="0" fontId="30" fillId="3" borderId="527" xfId="0" applyFont="1" applyFill="1" applyBorder="1" applyAlignment="1" applyProtection="1">
      <alignment vertical="top" wrapText="1"/>
      <protection locked="0"/>
    </xf>
    <xf numFmtId="0" fontId="8" fillId="8" borderId="0" xfId="0" applyFont="1" applyFill="1" applyAlignment="1">
      <alignment horizontal="left" vertical="top" wrapText="1"/>
    </xf>
    <xf numFmtId="0" fontId="16" fillId="13" borderId="192" xfId="0" applyFont="1" applyFill="1" applyBorder="1" applyAlignment="1">
      <alignment horizontal="left" vertical="top" wrapText="1"/>
    </xf>
    <xf numFmtId="0" fontId="8" fillId="13" borderId="146" xfId="0" applyFont="1" applyFill="1" applyBorder="1" applyAlignment="1">
      <alignment horizontal="left" vertical="top" wrapText="1"/>
    </xf>
    <xf numFmtId="0" fontId="41" fillId="0" borderId="599" xfId="0" applyFont="1" applyBorder="1" applyAlignment="1" applyProtection="1">
      <alignment horizontal="left" vertical="top" wrapText="1"/>
      <protection locked="0"/>
    </xf>
    <xf numFmtId="0" fontId="18" fillId="0" borderId="231" xfId="0" applyFont="1" applyBorder="1" applyAlignment="1">
      <alignment horizontal="left" vertical="top"/>
    </xf>
    <xf numFmtId="0" fontId="1" fillId="13" borderId="302" xfId="0" applyFont="1" applyFill="1" applyBorder="1" applyAlignment="1">
      <alignment horizontal="left" vertical="top" wrapText="1"/>
    </xf>
    <xf numFmtId="0" fontId="21" fillId="13" borderId="204" xfId="0" applyFont="1" applyFill="1" applyBorder="1" applyAlignment="1">
      <alignment horizontal="left" vertical="top" wrapText="1"/>
    </xf>
    <xf numFmtId="49" fontId="29" fillId="13" borderId="244" xfId="0" applyNumberFormat="1" applyFont="1" applyFill="1" applyBorder="1" applyAlignment="1">
      <alignment horizontal="left" vertical="top" wrapText="1"/>
    </xf>
    <xf numFmtId="0" fontId="1" fillId="13" borderId="600" xfId="0" applyFont="1" applyFill="1" applyBorder="1" applyAlignment="1">
      <alignment horizontal="left" vertical="top" wrapText="1"/>
    </xf>
    <xf numFmtId="0" fontId="8" fillId="3" borderId="169" xfId="0" applyFont="1" applyFill="1" applyBorder="1" applyAlignment="1">
      <alignment horizontal="left" vertical="top" wrapText="1"/>
    </xf>
    <xf numFmtId="49" fontId="29" fillId="0" borderId="184" xfId="0" applyNumberFormat="1" applyFont="1" applyBorder="1" applyAlignment="1" applyProtection="1">
      <alignment horizontal="left" vertical="top" wrapText="1"/>
      <protection locked="0"/>
    </xf>
    <xf numFmtId="49" fontId="29" fillId="0" borderId="175" xfId="0" applyNumberFormat="1" applyFont="1" applyBorder="1" applyAlignment="1" applyProtection="1">
      <alignment horizontal="left" vertical="top" wrapText="1"/>
      <protection locked="0"/>
    </xf>
    <xf numFmtId="0" fontId="1" fillId="3" borderId="107" xfId="0" applyFont="1" applyFill="1" applyBorder="1" applyAlignment="1">
      <alignment horizontal="left" vertical="top" wrapText="1"/>
    </xf>
    <xf numFmtId="0" fontId="32" fillId="0" borderId="446" xfId="0" applyFont="1" applyBorder="1" applyAlignment="1" applyProtection="1">
      <alignment horizontal="left" vertical="top" wrapText="1"/>
      <protection locked="0"/>
    </xf>
    <xf numFmtId="0" fontId="1" fillId="0" borderId="234" xfId="0" applyFont="1" applyBorder="1" applyAlignment="1" applyProtection="1">
      <alignment horizontal="left" vertical="top" wrapText="1"/>
      <protection locked="0"/>
    </xf>
    <xf numFmtId="0" fontId="1" fillId="0" borderId="601" xfId="0" applyFont="1" applyBorder="1" applyAlignment="1" applyProtection="1">
      <alignment horizontal="left" vertical="top" wrapText="1"/>
      <protection locked="0"/>
    </xf>
    <xf numFmtId="0" fontId="1" fillId="0" borderId="602" xfId="0" applyFont="1" applyBorder="1" applyAlignment="1" applyProtection="1">
      <alignment horizontal="left" vertical="top" wrapText="1"/>
      <protection locked="0"/>
    </xf>
    <xf numFmtId="0" fontId="1" fillId="8" borderId="31" xfId="0" applyFont="1" applyFill="1" applyBorder="1" applyAlignment="1">
      <alignment horizontal="left" vertical="top" wrapText="1"/>
    </xf>
    <xf numFmtId="0" fontId="1" fillId="8" borderId="96" xfId="0" applyFont="1" applyFill="1" applyBorder="1" applyAlignment="1">
      <alignment horizontal="left" vertical="top" wrapText="1"/>
    </xf>
    <xf numFmtId="0" fontId="1" fillId="8" borderId="95" xfId="0" applyFont="1" applyFill="1" applyBorder="1" applyAlignment="1">
      <alignment horizontal="left" vertical="top" wrapText="1"/>
    </xf>
    <xf numFmtId="0" fontId="1" fillId="13" borderId="603" xfId="0" applyFont="1" applyFill="1" applyBorder="1" applyAlignment="1">
      <alignment horizontal="left" vertical="top" wrapText="1"/>
    </xf>
    <xf numFmtId="0" fontId="1" fillId="8" borderId="102" xfId="0" applyFont="1" applyFill="1" applyBorder="1" applyAlignment="1">
      <alignment horizontal="left" vertical="top" wrapText="1"/>
    </xf>
    <xf numFmtId="0" fontId="1" fillId="13" borderId="37" xfId="0" applyFont="1" applyFill="1" applyBorder="1" applyAlignment="1">
      <alignment horizontal="left" vertical="top" wrapText="1"/>
    </xf>
    <xf numFmtId="0" fontId="1" fillId="13" borderId="128" xfId="0" applyFont="1" applyFill="1" applyBorder="1" applyAlignment="1">
      <alignment horizontal="left" vertical="top" wrapText="1"/>
    </xf>
    <xf numFmtId="0" fontId="1" fillId="0" borderId="604" xfId="0" applyFont="1" applyBorder="1" applyAlignment="1" applyProtection="1">
      <alignment horizontal="left" vertical="top" wrapText="1"/>
      <protection locked="0"/>
    </xf>
    <xf numFmtId="0" fontId="1" fillId="0" borderId="605" xfId="0" applyFont="1" applyBorder="1" applyAlignment="1" applyProtection="1">
      <alignment horizontal="left" vertical="top" wrapText="1"/>
      <protection locked="0"/>
    </xf>
    <xf numFmtId="0" fontId="18" fillId="0" borderId="231" xfId="0" applyFont="1" applyBorder="1" applyAlignment="1" applyProtection="1">
      <alignment horizontal="left" vertical="top"/>
      <protection locked="0"/>
    </xf>
    <xf numFmtId="0" fontId="18" fillId="0" borderId="113" xfId="0" applyFont="1" applyBorder="1" applyAlignment="1" applyProtection="1">
      <alignment horizontal="left" vertical="top"/>
      <protection locked="0"/>
    </xf>
    <xf numFmtId="0" fontId="7" fillId="0" borderId="42" xfId="0" applyFont="1" applyBorder="1" applyAlignment="1" applyProtection="1">
      <alignment horizontal="left" vertical="top" wrapText="1"/>
      <protection locked="0"/>
    </xf>
    <xf numFmtId="0" fontId="22" fillId="0" borderId="316" xfId="0" applyFont="1" applyBorder="1" applyAlignment="1" applyProtection="1">
      <alignment horizontal="left" vertical="top"/>
      <protection locked="0"/>
    </xf>
    <xf numFmtId="0" fontId="22" fillId="0" borderId="212" xfId="0" applyFont="1" applyBorder="1" applyAlignment="1" applyProtection="1">
      <alignment horizontal="left" vertical="top"/>
      <protection locked="0"/>
    </xf>
    <xf numFmtId="0" fontId="7" fillId="0" borderId="249" xfId="0" applyFont="1" applyBorder="1" applyAlignment="1" applyProtection="1">
      <alignment horizontal="left" vertical="top"/>
      <protection locked="0"/>
    </xf>
    <xf numFmtId="0" fontId="7" fillId="0" borderId="244" xfId="0" applyFont="1" applyBorder="1" applyAlignment="1" applyProtection="1">
      <alignment horizontal="left" vertical="top"/>
      <protection locked="0"/>
    </xf>
    <xf numFmtId="0" fontId="7" fillId="0" borderId="70" xfId="0" applyFont="1" applyBorder="1" applyAlignment="1" applyProtection="1">
      <alignment horizontal="left" vertical="top" wrapText="1"/>
      <protection locked="0"/>
    </xf>
    <xf numFmtId="0" fontId="22" fillId="0" borderId="250" xfId="0" applyFont="1" applyBorder="1" applyAlignment="1" applyProtection="1">
      <alignment horizontal="left" vertical="top"/>
      <protection locked="0"/>
    </xf>
    <xf numFmtId="0" fontId="7" fillId="0" borderId="322" xfId="0" applyFont="1" applyBorder="1" applyAlignment="1" applyProtection="1">
      <alignment horizontal="left" vertical="top"/>
      <protection locked="0"/>
    </xf>
    <xf numFmtId="0" fontId="7" fillId="0" borderId="192" xfId="0" applyFont="1" applyBorder="1" applyAlignment="1" applyProtection="1">
      <alignment horizontal="left" vertical="top"/>
      <protection locked="0"/>
    </xf>
    <xf numFmtId="0" fontId="55" fillId="0" borderId="208" xfId="0" applyFont="1" applyBorder="1" applyAlignment="1" applyProtection="1">
      <alignment horizontal="left" vertical="top" wrapText="1"/>
      <protection locked="0"/>
    </xf>
    <xf numFmtId="0" fontId="55" fillId="0" borderId="205" xfId="0" applyFont="1" applyBorder="1" applyAlignment="1" applyProtection="1">
      <alignment horizontal="left" vertical="top" wrapText="1"/>
      <protection locked="0"/>
    </xf>
    <xf numFmtId="0" fontId="17" fillId="0" borderId="70" xfId="0" applyFont="1" applyBorder="1" applyAlignment="1" applyProtection="1">
      <alignment horizontal="left" vertical="top" wrapText="1"/>
      <protection locked="0"/>
    </xf>
    <xf numFmtId="0" fontId="55" fillId="0" borderId="250" xfId="0" applyFont="1" applyBorder="1" applyAlignment="1" applyProtection="1">
      <alignment horizontal="left" vertical="top" wrapText="1"/>
      <protection locked="0"/>
    </xf>
    <xf numFmtId="0" fontId="55" fillId="0" borderId="191" xfId="0" applyFont="1" applyBorder="1" applyAlignment="1" applyProtection="1">
      <alignment horizontal="left" vertical="top" wrapText="1"/>
      <protection locked="0"/>
    </xf>
    <xf numFmtId="0" fontId="7" fillId="0" borderId="413" xfId="0" applyFont="1" applyBorder="1" applyAlignment="1" applyProtection="1">
      <alignment horizontal="left" vertical="top"/>
      <protection locked="0"/>
    </xf>
    <xf numFmtId="0" fontId="16" fillId="0" borderId="285" xfId="0" applyFont="1" applyBorder="1" applyAlignment="1" applyProtection="1">
      <alignment horizontal="left" vertical="top" wrapText="1"/>
      <protection locked="0"/>
    </xf>
    <xf numFmtId="0" fontId="7" fillId="0" borderId="42" xfId="0" applyFont="1" applyBorder="1" applyAlignment="1" applyProtection="1">
      <alignment horizontal="left" vertical="top"/>
      <protection locked="0"/>
    </xf>
    <xf numFmtId="0" fontId="16" fillId="0" borderId="70" xfId="0" applyFont="1" applyBorder="1" applyAlignment="1" applyProtection="1">
      <alignment horizontal="left" vertical="top" wrapText="1"/>
      <protection locked="0"/>
    </xf>
    <xf numFmtId="0" fontId="41" fillId="0" borderId="280" xfId="0" applyFont="1" applyBorder="1" applyAlignment="1" applyProtection="1">
      <alignment horizontal="left" vertical="top" wrapText="1"/>
      <protection locked="0"/>
    </xf>
    <xf numFmtId="0" fontId="32" fillId="0" borderId="212" xfId="0" applyFont="1" applyBorder="1" applyAlignment="1" applyProtection="1">
      <alignment horizontal="left" vertical="top"/>
      <protection locked="0"/>
    </xf>
    <xf numFmtId="0" fontId="7" fillId="0" borderId="416" xfId="0" applyFont="1" applyBorder="1" applyAlignment="1" applyProtection="1">
      <alignment horizontal="left" vertical="top"/>
      <protection locked="0"/>
    </xf>
    <xf numFmtId="0" fontId="1" fillId="0" borderId="452" xfId="0" applyFont="1" applyBorder="1" applyAlignment="1" applyProtection="1">
      <alignment horizontal="left" vertical="top" wrapText="1"/>
      <protection locked="0"/>
    </xf>
    <xf numFmtId="0" fontId="16" fillId="0" borderId="242" xfId="0" applyFont="1" applyBorder="1" applyAlignment="1" applyProtection="1">
      <alignment horizontal="left" vertical="top" wrapText="1"/>
      <protection locked="0"/>
    </xf>
    <xf numFmtId="0" fontId="1" fillId="12" borderId="168" xfId="0" applyFont="1" applyFill="1" applyBorder="1" applyAlignment="1">
      <alignment horizontal="left" vertical="top" wrapText="1"/>
    </xf>
    <xf numFmtId="0" fontId="1" fillId="12" borderId="70" xfId="0" applyFont="1" applyFill="1" applyBorder="1" applyAlignment="1">
      <alignment horizontal="left" vertical="top" wrapText="1"/>
    </xf>
    <xf numFmtId="0" fontId="7" fillId="0" borderId="70" xfId="0" applyFont="1" applyBorder="1" applyAlignment="1" applyProtection="1">
      <alignment horizontal="left" vertical="top"/>
      <protection locked="0"/>
    </xf>
    <xf numFmtId="0" fontId="7" fillId="0" borderId="204" xfId="0" applyFont="1" applyBorder="1" applyAlignment="1" applyProtection="1">
      <alignment horizontal="left" vertical="top"/>
      <protection locked="0"/>
    </xf>
    <xf numFmtId="0" fontId="16" fillId="0" borderId="206" xfId="0" applyFont="1" applyBorder="1" applyAlignment="1" applyProtection="1">
      <alignment horizontal="left" vertical="top" wrapText="1"/>
      <protection locked="0"/>
    </xf>
    <xf numFmtId="0" fontId="7" fillId="0" borderId="199" xfId="0" applyFont="1" applyBorder="1" applyAlignment="1" applyProtection="1">
      <alignment horizontal="left" vertical="top"/>
      <protection locked="0"/>
    </xf>
    <xf numFmtId="0" fontId="22" fillId="0" borderId="199" xfId="0" applyFont="1" applyBorder="1" applyAlignment="1" applyProtection="1">
      <alignment horizontal="left" vertical="top"/>
      <protection locked="0"/>
    </xf>
    <xf numFmtId="0" fontId="1" fillId="12" borderId="211" xfId="0" applyFont="1" applyFill="1" applyBorder="1" applyAlignment="1">
      <alignment horizontal="left" vertical="top" wrapText="1"/>
    </xf>
    <xf numFmtId="0" fontId="1" fillId="12" borderId="203" xfId="0" applyFont="1" applyFill="1" applyBorder="1" applyAlignment="1">
      <alignment horizontal="left" vertical="top" wrapText="1"/>
    </xf>
    <xf numFmtId="0" fontId="1" fillId="12" borderId="74" xfId="0" applyFont="1" applyFill="1" applyBorder="1" applyAlignment="1">
      <alignment horizontal="left" vertical="top" wrapText="1"/>
    </xf>
    <xf numFmtId="0" fontId="1" fillId="12" borderId="209" xfId="0" applyFont="1" applyFill="1" applyBorder="1" applyAlignment="1">
      <alignment horizontal="left" vertical="top" wrapText="1"/>
    </xf>
    <xf numFmtId="0" fontId="1" fillId="12" borderId="207" xfId="0" applyFont="1" applyFill="1" applyBorder="1" applyAlignment="1">
      <alignment horizontal="left" vertical="top" wrapText="1"/>
    </xf>
    <xf numFmtId="0" fontId="1" fillId="12" borderId="103" xfId="0" applyFont="1" applyFill="1" applyBorder="1" applyAlignment="1">
      <alignment horizontal="left" vertical="top" wrapText="1"/>
    </xf>
    <xf numFmtId="0" fontId="30" fillId="12" borderId="221" xfId="0" applyFont="1" applyFill="1" applyBorder="1" applyAlignment="1">
      <alignment horizontal="left" vertical="top" wrapText="1"/>
    </xf>
    <xf numFmtId="0" fontId="1" fillId="12" borderId="515" xfId="0" applyFont="1" applyFill="1" applyBorder="1" applyAlignment="1">
      <alignment horizontal="left" vertical="top" wrapText="1"/>
    </xf>
    <xf numFmtId="0" fontId="32" fillId="12" borderId="221" xfId="0" applyFont="1" applyFill="1" applyBorder="1" applyAlignment="1">
      <alignment horizontal="left" vertical="top" wrapText="1"/>
    </xf>
    <xf numFmtId="0" fontId="32" fillId="12" borderId="552" xfId="0" applyFont="1" applyFill="1" applyBorder="1" applyAlignment="1">
      <alignment horizontal="left" vertical="top" wrapText="1"/>
    </xf>
    <xf numFmtId="0" fontId="17" fillId="0" borderId="538" xfId="0" applyFont="1" applyBorder="1" applyAlignment="1">
      <alignment horizontal="left" vertical="top" wrapText="1"/>
    </xf>
    <xf numFmtId="0" fontId="17" fillId="0" borderId="520" xfId="0" applyFont="1" applyBorder="1" applyAlignment="1">
      <alignment horizontal="left" vertical="top" wrapText="1"/>
    </xf>
    <xf numFmtId="0" fontId="30" fillId="12" borderId="203" xfId="0" applyFont="1" applyFill="1" applyBorder="1" applyAlignment="1">
      <alignment horizontal="left" vertical="top" wrapText="1"/>
    </xf>
    <xf numFmtId="0" fontId="18" fillId="0" borderId="199" xfId="0" applyFont="1" applyBorder="1" applyAlignment="1" applyProtection="1">
      <alignment horizontal="left" vertical="top"/>
      <protection locked="0"/>
    </xf>
    <xf numFmtId="0" fontId="8" fillId="12" borderId="515" xfId="0" applyFont="1" applyFill="1" applyBorder="1" applyAlignment="1">
      <alignment horizontal="left" vertical="top" wrapText="1"/>
    </xf>
    <xf numFmtId="0" fontId="30" fillId="3" borderId="606" xfId="0" applyFont="1" applyFill="1" applyBorder="1" applyAlignment="1" applyProtection="1">
      <alignment vertical="top" wrapText="1"/>
      <protection locked="0"/>
    </xf>
    <xf numFmtId="0" fontId="30" fillId="3" borderId="560" xfId="0" applyFont="1" applyFill="1" applyBorder="1" applyAlignment="1" applyProtection="1">
      <alignment vertical="top" wrapText="1"/>
      <protection locked="0"/>
    </xf>
    <xf numFmtId="0" fontId="1" fillId="12" borderId="520" xfId="0" applyFont="1" applyFill="1" applyBorder="1" applyAlignment="1">
      <alignment horizontal="left" vertical="top" wrapText="1"/>
    </xf>
    <xf numFmtId="0" fontId="41" fillId="12" borderId="520" xfId="0" applyFont="1" applyFill="1" applyBorder="1" applyAlignment="1">
      <alignment horizontal="left" vertical="top" wrapText="1"/>
    </xf>
    <xf numFmtId="0" fontId="16" fillId="0" borderId="538" xfId="0" applyFont="1" applyBorder="1" applyAlignment="1">
      <alignment horizontal="left" vertical="top" wrapText="1"/>
    </xf>
    <xf numFmtId="0" fontId="8" fillId="12" borderId="520" xfId="0" applyFont="1" applyFill="1" applyBorder="1" applyAlignment="1">
      <alignment horizontal="left" vertical="top" wrapText="1"/>
    </xf>
    <xf numFmtId="0" fontId="53" fillId="12" borderId="520" xfId="0" applyFont="1" applyFill="1" applyBorder="1" applyAlignment="1">
      <alignment horizontal="left" vertical="top" wrapText="1"/>
    </xf>
    <xf numFmtId="0" fontId="8" fillId="0" borderId="514" xfId="0" applyFont="1" applyBorder="1" applyAlignment="1" applyProtection="1">
      <alignment horizontal="left" vertical="top" wrapText="1"/>
      <protection locked="0"/>
    </xf>
    <xf numFmtId="0" fontId="1" fillId="3" borderId="538" xfId="0" applyFont="1" applyFill="1" applyBorder="1" applyAlignment="1">
      <alignment horizontal="left" vertical="top" wrapText="1"/>
    </xf>
    <xf numFmtId="0" fontId="18" fillId="0" borderId="520" xfId="0" applyFont="1" applyBorder="1" applyAlignment="1">
      <alignment horizontal="left" vertical="top"/>
    </xf>
    <xf numFmtId="0" fontId="21" fillId="12" borderId="515" xfId="0" applyFont="1" applyFill="1" applyBorder="1" applyAlignment="1">
      <alignment horizontal="left" vertical="top" wrapText="1"/>
    </xf>
    <xf numFmtId="49" fontId="29" fillId="12" borderId="515" xfId="0" applyNumberFormat="1" applyFont="1" applyFill="1" applyBorder="1" applyAlignment="1">
      <alignment horizontal="left" vertical="top" wrapText="1"/>
    </xf>
    <xf numFmtId="49" fontId="29" fillId="0" borderId="174" xfId="0" applyNumberFormat="1" applyFont="1" applyBorder="1" applyAlignment="1" applyProtection="1">
      <alignment horizontal="left" vertical="top" wrapText="1"/>
      <protection locked="0"/>
    </xf>
    <xf numFmtId="49" fontId="29" fillId="0" borderId="514" xfId="0" applyNumberFormat="1" applyFont="1" applyBorder="1" applyAlignment="1" applyProtection="1">
      <alignment horizontal="left" vertical="top" wrapText="1"/>
      <protection locked="0"/>
    </xf>
    <xf numFmtId="0" fontId="1" fillId="12" borderId="31" xfId="0" applyFont="1" applyFill="1" applyBorder="1" applyAlignment="1">
      <alignment horizontal="left" vertical="top" wrapText="1"/>
    </xf>
    <xf numFmtId="0" fontId="1" fillId="12" borderId="132" xfId="0" applyFont="1" applyFill="1" applyBorder="1" applyAlignment="1">
      <alignment horizontal="left" vertical="top" wrapText="1"/>
    </xf>
    <xf numFmtId="0" fontId="1" fillId="12" borderId="42" xfId="0" applyFont="1" applyFill="1" applyBorder="1" applyAlignment="1">
      <alignment horizontal="left" vertical="top" wrapText="1"/>
    </xf>
    <xf numFmtId="0" fontId="1" fillId="12" borderId="96" xfId="0" applyFont="1" applyFill="1" applyBorder="1" applyAlignment="1">
      <alignment horizontal="left" vertical="top" wrapText="1"/>
    </xf>
    <xf numFmtId="0" fontId="1" fillId="12" borderId="101" xfId="0" applyFont="1" applyFill="1" applyBorder="1" applyAlignment="1">
      <alignment horizontal="left" vertical="top" wrapText="1"/>
    </xf>
    <xf numFmtId="0" fontId="1" fillId="12" borderId="533" xfId="0" applyFont="1" applyFill="1" applyBorder="1" applyAlignment="1">
      <alignment horizontal="left" vertical="top" wrapText="1"/>
    </xf>
    <xf numFmtId="0" fontId="1" fillId="12" borderId="92" xfId="0" applyFont="1" applyFill="1" applyBorder="1" applyAlignment="1">
      <alignment horizontal="left" vertical="top" wrapText="1"/>
    </xf>
    <xf numFmtId="0" fontId="1" fillId="12" borderId="102" xfId="0" applyFont="1" applyFill="1" applyBorder="1" applyAlignment="1">
      <alignment horizontal="left" vertical="top" wrapText="1"/>
    </xf>
    <xf numFmtId="0" fontId="7" fillId="0" borderId="113" xfId="3" applyBorder="1" applyAlignment="1" applyProtection="1">
      <alignment horizontal="left" vertical="top"/>
      <protection locked="0"/>
    </xf>
    <xf numFmtId="0" fontId="7" fillId="0" borderId="212" xfId="3" applyBorder="1" applyAlignment="1" applyProtection="1">
      <alignment horizontal="left" vertical="top"/>
      <protection locked="0"/>
    </xf>
    <xf numFmtId="0" fontId="29" fillId="0" borderId="212" xfId="3" applyFont="1" applyBorder="1" applyAlignment="1" applyProtection="1">
      <alignment horizontal="left" vertical="top"/>
      <protection locked="0"/>
    </xf>
    <xf numFmtId="0" fontId="7" fillId="0" borderId="244" xfId="3" applyBorder="1" applyAlignment="1" applyProtection="1">
      <alignment horizontal="left" vertical="top"/>
      <protection locked="0"/>
    </xf>
    <xf numFmtId="0" fontId="30" fillId="0" borderId="108" xfId="3" applyFont="1" applyBorder="1" applyAlignment="1" applyProtection="1">
      <alignment horizontal="left" vertical="top" wrapText="1"/>
      <protection locked="0"/>
    </xf>
    <xf numFmtId="0" fontId="7" fillId="0" borderId="168" xfId="3" applyBorder="1" applyAlignment="1" applyProtection="1">
      <alignment horizontal="left" vertical="top"/>
      <protection locked="0"/>
    </xf>
    <xf numFmtId="0" fontId="7" fillId="0" borderId="192" xfId="3" applyBorder="1" applyAlignment="1" applyProtection="1">
      <alignment horizontal="left" vertical="top"/>
      <protection locked="0"/>
    </xf>
    <xf numFmtId="0" fontId="17" fillId="0" borderId="205" xfId="3" applyFont="1" applyBorder="1" applyAlignment="1" applyProtection="1">
      <alignment horizontal="left" vertical="top" wrapText="1"/>
      <protection locked="0"/>
    </xf>
    <xf numFmtId="0" fontId="30" fillId="0" borderId="205" xfId="3" applyFont="1" applyBorder="1" applyAlignment="1" applyProtection="1">
      <alignment horizontal="left" vertical="top" wrapText="1"/>
      <protection locked="0"/>
    </xf>
    <xf numFmtId="0" fontId="17" fillId="0" borderId="206" xfId="3" applyFont="1" applyBorder="1" applyAlignment="1" applyProtection="1">
      <alignment horizontal="left" vertical="top" wrapText="1"/>
      <protection locked="0"/>
    </xf>
    <xf numFmtId="0" fontId="16" fillId="0" borderId="39" xfId="0" applyFont="1" applyBorder="1" applyAlignment="1" applyProtection="1">
      <alignment horizontal="left" vertical="top" wrapText="1"/>
      <protection locked="0"/>
    </xf>
    <xf numFmtId="0" fontId="1" fillId="3" borderId="556" xfId="0" applyFont="1" applyFill="1" applyBorder="1" applyAlignment="1" applyProtection="1">
      <alignment horizontal="left" vertical="top" wrapText="1"/>
      <protection locked="0"/>
    </xf>
    <xf numFmtId="0" fontId="7" fillId="0" borderId="37" xfId="0" applyFont="1" applyBorder="1" applyAlignment="1" applyProtection="1">
      <alignment horizontal="left" vertical="top"/>
      <protection locked="0"/>
    </xf>
    <xf numFmtId="0" fontId="1" fillId="12" borderId="314" xfId="3" applyFont="1" applyFill="1" applyBorder="1" applyAlignment="1">
      <alignment horizontal="left" vertical="top" wrapText="1"/>
    </xf>
    <xf numFmtId="0" fontId="1" fillId="0" borderId="107" xfId="3" applyFont="1" applyBorder="1" applyAlignment="1" applyProtection="1">
      <alignment horizontal="left" vertical="top" wrapText="1"/>
      <protection locked="0"/>
    </xf>
    <xf numFmtId="0" fontId="1" fillId="0" borderId="221" xfId="3" applyFont="1" applyBorder="1" applyAlignment="1" applyProtection="1">
      <alignment horizontal="left" vertical="top" wrapText="1"/>
      <protection locked="0"/>
    </xf>
    <xf numFmtId="0" fontId="1" fillId="12" borderId="97" xfId="3" applyFont="1" applyFill="1" applyBorder="1" applyAlignment="1">
      <alignment horizontal="left" vertical="top" wrapText="1"/>
    </xf>
    <xf numFmtId="0" fontId="1" fillId="3" borderId="70" xfId="3" applyFont="1" applyFill="1" applyBorder="1" applyAlignment="1">
      <alignment horizontal="left" vertical="top" wrapText="1"/>
    </xf>
    <xf numFmtId="0" fontId="1" fillId="12" borderId="168" xfId="3" applyFont="1" applyFill="1" applyBorder="1" applyAlignment="1">
      <alignment horizontal="left" vertical="top" wrapText="1"/>
    </xf>
    <xf numFmtId="0" fontId="1" fillId="12" borderId="191" xfId="3" applyFont="1" applyFill="1" applyBorder="1" applyAlignment="1">
      <alignment horizontal="left" vertical="top" wrapText="1"/>
    </xf>
    <xf numFmtId="0" fontId="1" fillId="3" borderId="211" xfId="3" applyFont="1" applyFill="1" applyBorder="1" applyAlignment="1">
      <alignment horizontal="left" vertical="top" wrapText="1"/>
    </xf>
    <xf numFmtId="0" fontId="1" fillId="12" borderId="252" xfId="3" applyFont="1" applyFill="1" applyBorder="1" applyAlignment="1">
      <alignment horizontal="left" vertical="top" wrapText="1"/>
    </xf>
    <xf numFmtId="0" fontId="29" fillId="0" borderId="179" xfId="3" applyFont="1" applyBorder="1" applyAlignment="1" applyProtection="1">
      <alignment horizontal="left" vertical="top"/>
      <protection locked="0"/>
    </xf>
    <xf numFmtId="0" fontId="7" fillId="0" borderId="179" xfId="3" applyBorder="1" applyAlignment="1" applyProtection="1">
      <alignment horizontal="left" vertical="top"/>
      <protection locked="0"/>
    </xf>
    <xf numFmtId="0" fontId="8" fillId="12" borderId="607" xfId="3" applyFont="1" applyFill="1" applyBorder="1" applyAlignment="1">
      <alignment horizontal="left" vertical="top" wrapText="1"/>
    </xf>
    <xf numFmtId="0" fontId="1" fillId="3" borderId="516" xfId="3" applyFont="1" applyFill="1" applyBorder="1" applyAlignment="1">
      <alignment horizontal="left" vertical="top" wrapText="1"/>
    </xf>
    <xf numFmtId="0" fontId="1" fillId="0" borderId="608" xfId="3" applyFont="1" applyBorder="1" applyAlignment="1" applyProtection="1">
      <alignment horizontal="left" vertical="top" wrapText="1"/>
      <protection locked="0"/>
    </xf>
    <xf numFmtId="0" fontId="1" fillId="0" borderId="579" xfId="3" applyFont="1" applyBorder="1" applyAlignment="1" applyProtection="1">
      <alignment horizontal="left" vertical="top" wrapText="1"/>
      <protection locked="0"/>
    </xf>
    <xf numFmtId="0" fontId="30" fillId="0" borderId="579" xfId="3" applyFont="1" applyBorder="1" applyAlignment="1" applyProtection="1">
      <alignment horizontal="left" vertical="top" wrapText="1"/>
      <protection locked="0"/>
    </xf>
    <xf numFmtId="0" fontId="1" fillId="12" borderId="579" xfId="3" applyFont="1" applyFill="1" applyBorder="1" applyAlignment="1">
      <alignment horizontal="left" vertical="top" wrapText="1"/>
    </xf>
    <xf numFmtId="0" fontId="1" fillId="12" borderId="609" xfId="3" applyFont="1" applyFill="1" applyBorder="1" applyAlignment="1">
      <alignment horizontal="left" vertical="top" wrapText="1"/>
    </xf>
    <xf numFmtId="0" fontId="1" fillId="0" borderId="526" xfId="3" applyFont="1" applyBorder="1" applyAlignment="1" applyProtection="1">
      <alignment horizontal="left" vertical="top" wrapText="1"/>
      <protection locked="0"/>
    </xf>
    <xf numFmtId="0" fontId="8" fillId="12" borderId="610" xfId="3" applyFont="1" applyFill="1" applyBorder="1" applyAlignment="1">
      <alignment horizontal="left" vertical="top" wrapText="1"/>
    </xf>
    <xf numFmtId="0" fontId="1" fillId="3" borderId="554" xfId="3" applyFont="1" applyFill="1" applyBorder="1" applyAlignment="1">
      <alignment horizontal="left" vertical="top" wrapText="1"/>
    </xf>
    <xf numFmtId="0" fontId="1" fillId="12" borderId="583" xfId="3" applyFont="1" applyFill="1" applyBorder="1" applyAlignment="1">
      <alignment horizontal="left" vertical="top" wrapText="1"/>
    </xf>
    <xf numFmtId="0" fontId="30" fillId="12" borderId="583" xfId="3" applyFont="1" applyFill="1" applyBorder="1" applyAlignment="1">
      <alignment horizontal="left" vertical="top" wrapText="1"/>
    </xf>
    <xf numFmtId="0" fontId="1" fillId="12" borderId="588" xfId="3" applyFont="1" applyFill="1" applyBorder="1" applyAlignment="1">
      <alignment horizontal="left" vertical="top" wrapText="1"/>
    </xf>
    <xf numFmtId="0" fontId="1" fillId="0" borderId="523" xfId="3" applyFont="1" applyBorder="1" applyAlignment="1" applyProtection="1">
      <alignment horizontal="left" vertical="top" wrapText="1"/>
      <protection locked="0"/>
    </xf>
    <xf numFmtId="0" fontId="1" fillId="3" borderId="554" xfId="0" applyFont="1" applyFill="1" applyBorder="1" applyAlignment="1">
      <alignment horizontal="left" vertical="top" wrapText="1"/>
    </xf>
    <xf numFmtId="0" fontId="8" fillId="3" borderId="555" xfId="3" applyFont="1" applyFill="1" applyBorder="1" applyAlignment="1">
      <alignment horizontal="left" vertical="top" wrapText="1"/>
    </xf>
    <xf numFmtId="0" fontId="1" fillId="3" borderId="184" xfId="3" applyFont="1" applyFill="1" applyBorder="1" applyAlignment="1">
      <alignment horizontal="left" vertical="top" wrapText="1"/>
    </xf>
    <xf numFmtId="0" fontId="1" fillId="3" borderId="536" xfId="3" applyFont="1" applyFill="1" applyBorder="1" applyAlignment="1">
      <alignment horizontal="left" vertical="top" wrapText="1"/>
    </xf>
    <xf numFmtId="0" fontId="1" fillId="12" borderId="349" xfId="3" applyFont="1" applyFill="1" applyBorder="1" applyAlignment="1">
      <alignment horizontal="left" vertical="top" wrapText="1"/>
    </xf>
    <xf numFmtId="0" fontId="1" fillId="12" borderId="611" xfId="3" applyFont="1" applyFill="1" applyBorder="1" applyAlignment="1">
      <alignment horizontal="left" vertical="top" wrapText="1"/>
    </xf>
    <xf numFmtId="0" fontId="1" fillId="12" borderId="612" xfId="3" applyFont="1" applyFill="1" applyBorder="1" applyAlignment="1">
      <alignment horizontal="left" vertical="top" wrapText="1"/>
    </xf>
    <xf numFmtId="0" fontId="1" fillId="0" borderId="434" xfId="3" applyFont="1" applyBorder="1" applyAlignment="1" applyProtection="1">
      <alignment horizontal="left" vertical="top" wrapText="1"/>
      <protection locked="0"/>
    </xf>
    <xf numFmtId="0" fontId="30" fillId="3" borderId="613" xfId="0" applyFont="1" applyFill="1" applyBorder="1" applyAlignment="1" applyProtection="1">
      <alignment vertical="top" wrapText="1"/>
      <protection locked="0"/>
    </xf>
    <xf numFmtId="0" fontId="1" fillId="12" borderId="146" xfId="3" applyFont="1" applyFill="1" applyBorder="1" applyAlignment="1">
      <alignment horizontal="left" vertical="top" wrapText="1"/>
    </xf>
    <xf numFmtId="0" fontId="1" fillId="12" borderId="527" xfId="3" applyFont="1" applyFill="1" applyBorder="1" applyAlignment="1">
      <alignment horizontal="left" vertical="top" wrapText="1"/>
    </xf>
    <xf numFmtId="0" fontId="8" fillId="3" borderId="175" xfId="3" applyFont="1" applyFill="1" applyBorder="1" applyAlignment="1">
      <alignment horizontal="left" vertical="top" wrapText="1"/>
    </xf>
    <xf numFmtId="0" fontId="1" fillId="0" borderId="244" xfId="3" applyFont="1" applyBorder="1" applyAlignment="1" applyProtection="1">
      <alignment horizontal="left" vertical="top" wrapText="1"/>
      <protection locked="0"/>
    </xf>
    <xf numFmtId="0" fontId="1" fillId="0" borderId="514" xfId="3" applyFont="1" applyBorder="1" applyAlignment="1" applyProtection="1">
      <alignment horizontal="left" vertical="top" wrapText="1"/>
      <protection locked="0"/>
    </xf>
    <xf numFmtId="0" fontId="21" fillId="12" borderId="516" xfId="3" applyFont="1" applyFill="1" applyBorder="1" applyAlignment="1">
      <alignment horizontal="left" vertical="top" wrapText="1"/>
    </xf>
    <xf numFmtId="0" fontId="8" fillId="3" borderId="108" xfId="3" applyFont="1" applyFill="1" applyBorder="1" applyAlignment="1">
      <alignment horizontal="left" vertical="top" wrapText="1"/>
    </xf>
    <xf numFmtId="0" fontId="1" fillId="12" borderId="520" xfId="3" applyFont="1" applyFill="1" applyBorder="1" applyAlignment="1">
      <alignment horizontal="left" vertical="top" wrapText="1"/>
    </xf>
    <xf numFmtId="0" fontId="30" fillId="12" borderId="520" xfId="3" applyFont="1" applyFill="1" applyBorder="1" applyAlignment="1">
      <alignment horizontal="left" vertical="top" wrapText="1"/>
    </xf>
    <xf numFmtId="0" fontId="1" fillId="0" borderId="184" xfId="3" applyFont="1" applyBorder="1" applyAlignment="1" applyProtection="1">
      <alignment horizontal="left" vertical="top" wrapText="1"/>
      <protection locked="0"/>
    </xf>
    <xf numFmtId="0" fontId="1" fillId="0" borderId="527" xfId="3" applyFont="1" applyBorder="1" applyAlignment="1" applyProtection="1">
      <alignment horizontal="left" vertical="top" wrapText="1"/>
      <protection locked="0"/>
    </xf>
    <xf numFmtId="0" fontId="1" fillId="12" borderId="212" xfId="3" applyFont="1" applyFill="1" applyBorder="1" applyAlignment="1">
      <alignment horizontal="left" vertical="top" wrapText="1"/>
    </xf>
    <xf numFmtId="0" fontId="1" fillId="3" borderId="306" xfId="3" applyFont="1" applyFill="1" applyBorder="1" applyAlignment="1">
      <alignment horizontal="left" vertical="top" wrapText="1"/>
    </xf>
    <xf numFmtId="0" fontId="1" fillId="3" borderId="162" xfId="3" applyFont="1" applyFill="1" applyBorder="1" applyAlignment="1">
      <alignment horizontal="left" vertical="top" wrapText="1"/>
    </xf>
    <xf numFmtId="0" fontId="1" fillId="3" borderId="169" xfId="3" applyFont="1" applyFill="1" applyBorder="1" applyAlignment="1">
      <alignment horizontal="left" vertical="top" wrapText="1"/>
    </xf>
    <xf numFmtId="0" fontId="30" fillId="0" borderId="4" xfId="0" applyFont="1" applyBorder="1" applyAlignment="1" applyProtection="1">
      <alignment horizontal="left" vertical="top" wrapText="1"/>
      <protection locked="0"/>
    </xf>
    <xf numFmtId="0" fontId="1" fillId="12" borderId="244" xfId="3" applyFont="1" applyFill="1" applyBorder="1" applyAlignment="1">
      <alignment horizontal="left" vertical="top" wrapText="1"/>
    </xf>
    <xf numFmtId="0" fontId="1" fillId="12" borderId="72" xfId="3" applyFont="1" applyFill="1" applyBorder="1" applyAlignment="1">
      <alignment horizontal="left" vertical="top" wrapText="1"/>
    </xf>
    <xf numFmtId="0" fontId="1" fillId="12" borderId="542" xfId="3" applyFont="1" applyFill="1" applyBorder="1" applyAlignment="1">
      <alignment horizontal="left" vertical="top" wrapText="1"/>
    </xf>
    <xf numFmtId="0" fontId="1" fillId="12" borderId="218" xfId="3" applyFont="1" applyFill="1" applyBorder="1" applyAlignment="1">
      <alignment horizontal="left" vertical="top" wrapText="1"/>
    </xf>
    <xf numFmtId="0" fontId="1" fillId="12" borderId="219" xfId="3" applyFont="1" applyFill="1" applyBorder="1" applyAlignment="1">
      <alignment horizontal="left" vertical="top" wrapText="1"/>
    </xf>
    <xf numFmtId="0" fontId="1" fillId="12" borderId="248" xfId="3" applyFont="1" applyFill="1" applyBorder="1" applyAlignment="1">
      <alignment horizontal="left" vertical="top" wrapText="1"/>
    </xf>
    <xf numFmtId="0" fontId="1" fillId="0" borderId="70" xfId="3" applyFont="1" applyBorder="1" applyAlignment="1" applyProtection="1">
      <alignment horizontal="left" vertical="top" wrapText="1"/>
      <protection locked="0"/>
    </xf>
    <xf numFmtId="0" fontId="1" fillId="3" borderId="198" xfId="3" applyFont="1" applyFill="1" applyBorder="1" applyAlignment="1">
      <alignment horizontal="left" vertical="top" wrapText="1"/>
    </xf>
    <xf numFmtId="0" fontId="30" fillId="0" borderId="614" xfId="0" applyFont="1" applyBorder="1" applyAlignment="1" applyProtection="1">
      <alignment horizontal="left" vertical="top" wrapText="1"/>
      <protection locked="0"/>
    </xf>
    <xf numFmtId="0" fontId="29" fillId="0" borderId="29" xfId="3" applyFont="1" applyBorder="1" applyAlignment="1" applyProtection="1">
      <alignment horizontal="left" vertical="top"/>
      <protection locked="0"/>
    </xf>
    <xf numFmtId="0" fontId="38" fillId="0" borderId="70" xfId="0" applyFont="1" applyBorder="1" applyAlignment="1" applyProtection="1">
      <alignment horizontal="left" vertical="top" wrapText="1"/>
      <protection locked="0"/>
    </xf>
    <xf numFmtId="0" fontId="16" fillId="0" borderId="549" xfId="0" applyFont="1" applyBorder="1" applyAlignment="1" applyProtection="1">
      <alignment horizontal="left" vertical="top" wrapText="1"/>
      <protection locked="0"/>
    </xf>
    <xf numFmtId="0" fontId="16" fillId="0" borderId="330" xfId="0" applyFont="1" applyBorder="1" applyAlignment="1" applyProtection="1">
      <alignment horizontal="left" vertical="top" wrapText="1"/>
      <protection locked="0"/>
    </xf>
    <xf numFmtId="0" fontId="7" fillId="0" borderId="575" xfId="0" applyFont="1" applyBorder="1" applyAlignment="1" applyProtection="1">
      <alignment horizontal="left" vertical="top"/>
      <protection locked="0"/>
    </xf>
    <xf numFmtId="0" fontId="18" fillId="0" borderId="204" xfId="0" applyFont="1" applyBorder="1" applyAlignment="1" applyProtection="1">
      <alignment horizontal="left" vertical="top"/>
      <protection locked="0"/>
    </xf>
    <xf numFmtId="0" fontId="7" fillId="0" borderId="324" xfId="0" applyFont="1" applyBorder="1" applyAlignment="1" applyProtection="1">
      <alignment horizontal="left" vertical="top"/>
      <protection locked="0"/>
    </xf>
    <xf numFmtId="0" fontId="17" fillId="0" borderId="75" xfId="0" applyFont="1" applyBorder="1" applyAlignment="1" applyProtection="1">
      <alignment horizontal="left" vertical="top" wrapText="1"/>
      <protection locked="0"/>
    </xf>
    <xf numFmtId="0" fontId="18" fillId="0" borderId="168" xfId="0" applyFont="1" applyBorder="1" applyAlignment="1" applyProtection="1">
      <alignment horizontal="left" vertical="top"/>
      <protection locked="0"/>
    </xf>
    <xf numFmtId="0" fontId="18" fillId="0" borderId="192" xfId="0" applyFont="1" applyBorder="1" applyAlignment="1" applyProtection="1">
      <alignment horizontal="left" vertical="top"/>
      <protection locked="0"/>
    </xf>
    <xf numFmtId="0" fontId="16" fillId="0" borderId="324" xfId="0" applyFont="1" applyBorder="1" applyAlignment="1" applyProtection="1">
      <alignment horizontal="left" vertical="top" wrapText="1"/>
      <protection locked="0"/>
    </xf>
    <xf numFmtId="0" fontId="16" fillId="0" borderId="357" xfId="0" applyFont="1" applyBorder="1" applyAlignment="1" applyProtection="1">
      <alignment horizontal="left" vertical="top" wrapText="1"/>
      <protection locked="0"/>
    </xf>
    <xf numFmtId="0" fontId="4" fillId="0" borderId="159" xfId="0" applyFont="1" applyBorder="1" applyAlignment="1" applyProtection="1">
      <alignment horizontal="left" vertical="top" wrapText="1"/>
      <protection locked="0"/>
    </xf>
    <xf numFmtId="0" fontId="4" fillId="0" borderId="160"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110" xfId="0" applyFont="1" applyBorder="1" applyAlignment="1" applyProtection="1">
      <alignment horizontal="left" vertical="top" wrapText="1"/>
      <protection locked="0"/>
    </xf>
    <xf numFmtId="0" fontId="4" fillId="0" borderId="162" xfId="0" applyFont="1" applyBorder="1" applyAlignment="1" applyProtection="1">
      <alignment horizontal="left" vertical="top" wrapText="1"/>
      <protection locked="0"/>
    </xf>
    <xf numFmtId="0" fontId="4" fillId="0" borderId="164" xfId="0" applyFont="1" applyBorder="1" applyAlignment="1" applyProtection="1">
      <alignment horizontal="left" vertical="top" wrapText="1"/>
      <protection locked="0"/>
    </xf>
    <xf numFmtId="0" fontId="4" fillId="0" borderId="165" xfId="0" applyFont="1" applyBorder="1" applyAlignment="1" applyProtection="1">
      <alignment horizontal="left" vertical="top" wrapText="1"/>
      <protection locked="0"/>
    </xf>
    <xf numFmtId="0" fontId="36" fillId="7" borderId="0" xfId="0" applyFont="1" applyFill="1" applyAlignment="1" applyProtection="1">
      <alignment horizontal="left" vertical="top" wrapText="1"/>
      <protection locked="0"/>
    </xf>
    <xf numFmtId="0" fontId="16" fillId="7" borderId="0" xfId="0" applyFont="1" applyFill="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8" fillId="0" borderId="415" xfId="0" applyFont="1" applyBorder="1" applyAlignment="1" applyProtection="1">
      <alignment horizontal="left" vertical="top" wrapText="1"/>
      <protection locked="0"/>
    </xf>
    <xf numFmtId="0" fontId="1" fillId="0" borderId="453" xfId="0" applyFont="1" applyBorder="1" applyAlignment="1" applyProtection="1">
      <alignment horizontal="left" vertical="top" wrapText="1"/>
      <protection locked="0"/>
    </xf>
    <xf numFmtId="0" fontId="18" fillId="6" borderId="0" xfId="0" applyFont="1" applyFill="1" applyAlignment="1" applyProtection="1">
      <alignment horizontal="left" vertical="top"/>
      <protection locked="0"/>
    </xf>
    <xf numFmtId="0" fontId="8" fillId="0" borderId="526" xfId="0" applyFont="1" applyBorder="1" applyAlignment="1" applyProtection="1">
      <alignment horizontal="left" vertical="top" wrapText="1"/>
      <protection locked="0"/>
    </xf>
    <xf numFmtId="0" fontId="17" fillId="0" borderId="131" xfId="0" applyFont="1" applyBorder="1" applyAlignment="1" applyProtection="1">
      <alignment horizontal="left" vertical="top" wrapText="1"/>
      <protection locked="0"/>
    </xf>
    <xf numFmtId="0" fontId="18" fillId="0" borderId="108" xfId="0" applyFont="1" applyBorder="1" applyAlignment="1" applyProtection="1">
      <alignment horizontal="left" vertical="top" wrapText="1"/>
      <protection locked="0"/>
    </xf>
    <xf numFmtId="0" fontId="18" fillId="0" borderId="110" xfId="0" applyFont="1" applyBorder="1" applyAlignment="1" applyProtection="1">
      <alignment horizontal="left" vertical="top" wrapText="1"/>
      <protection locked="0"/>
    </xf>
    <xf numFmtId="0" fontId="18" fillId="0" borderId="164" xfId="0" applyFont="1" applyBorder="1" applyAlignment="1" applyProtection="1">
      <alignment horizontal="left" vertical="top" wrapText="1"/>
      <protection locked="0"/>
    </xf>
    <xf numFmtId="0" fontId="3" fillId="6" borderId="191" xfId="0" applyFont="1" applyFill="1" applyBorder="1" applyAlignment="1" applyProtection="1">
      <alignment horizontal="left" vertical="top" wrapText="1"/>
      <protection locked="0"/>
    </xf>
    <xf numFmtId="0" fontId="3" fillId="6" borderId="192" xfId="0" applyFont="1" applyFill="1" applyBorder="1" applyAlignment="1" applyProtection="1">
      <alignment horizontal="left" vertical="top" wrapText="1"/>
      <protection locked="0"/>
    </xf>
    <xf numFmtId="0" fontId="20" fillId="6" borderId="0" xfId="0" applyFont="1" applyFill="1" applyAlignment="1" applyProtection="1">
      <alignment horizontal="left" vertical="top"/>
      <protection locked="0"/>
    </xf>
    <xf numFmtId="0" fontId="18" fillId="0" borderId="178" xfId="0" applyFont="1" applyBorder="1" applyAlignment="1" applyProtection="1">
      <alignment horizontal="left" vertical="top"/>
      <protection locked="0"/>
    </xf>
    <xf numFmtId="0" fontId="18" fillId="0" borderId="200" xfId="0" applyFont="1" applyBorder="1" applyAlignment="1" applyProtection="1">
      <alignment horizontal="left" vertical="top"/>
      <protection locked="0"/>
    </xf>
    <xf numFmtId="0" fontId="41" fillId="0" borderId="215" xfId="0" applyFont="1" applyBorder="1" applyAlignment="1" applyProtection="1">
      <alignment horizontal="left" vertical="top" wrapText="1"/>
      <protection locked="0"/>
    </xf>
    <xf numFmtId="0" fontId="17" fillId="0" borderId="96" xfId="0" applyFont="1" applyBorder="1" applyAlignment="1" applyProtection="1">
      <alignment horizontal="left" vertical="top" wrapText="1"/>
      <protection locked="0"/>
    </xf>
    <xf numFmtId="0" fontId="16" fillId="0" borderId="250" xfId="0" applyFont="1" applyBorder="1" applyAlignment="1" applyProtection="1">
      <alignment horizontal="left" vertical="top" wrapText="1"/>
      <protection locked="0"/>
    </xf>
    <xf numFmtId="0" fontId="16" fillId="0" borderId="170" xfId="0" applyFont="1" applyBorder="1" applyAlignment="1" applyProtection="1">
      <alignment horizontal="left" vertical="top" wrapText="1"/>
      <protection locked="0"/>
    </xf>
    <xf numFmtId="0" fontId="3" fillId="0" borderId="119" xfId="0" applyFont="1" applyBorder="1" applyAlignment="1" applyProtection="1">
      <alignment horizontal="left" vertical="top" wrapText="1"/>
      <protection locked="0"/>
    </xf>
    <xf numFmtId="0" fontId="52" fillId="0" borderId="192" xfId="0" applyFont="1" applyBorder="1" applyAlignment="1" applyProtection="1">
      <alignment horizontal="left" vertical="top" wrapText="1"/>
      <protection locked="0"/>
    </xf>
    <xf numFmtId="0" fontId="8" fillId="3" borderId="42" xfId="0" applyFont="1" applyFill="1" applyBorder="1" applyAlignment="1" applyProtection="1">
      <alignment vertical="top" wrapText="1"/>
      <protection locked="0"/>
    </xf>
    <xf numFmtId="0" fontId="20" fillId="0" borderId="212" xfId="0" applyFont="1" applyBorder="1" applyAlignment="1" applyProtection="1">
      <alignment horizontal="left" vertical="top"/>
      <protection locked="0"/>
    </xf>
    <xf numFmtId="0" fontId="20" fillId="0" borderId="244" xfId="0" applyFont="1" applyBorder="1" applyAlignment="1" applyProtection="1">
      <alignment horizontal="left" vertical="top"/>
      <protection locked="0"/>
    </xf>
    <xf numFmtId="0" fontId="20" fillId="0" borderId="0" xfId="0" applyFont="1" applyAlignment="1" applyProtection="1">
      <alignment horizontal="left" vertical="top"/>
      <protection locked="0"/>
    </xf>
    <xf numFmtId="0" fontId="32" fillId="0" borderId="25" xfId="0" applyFont="1" applyBorder="1" applyAlignment="1" applyProtection="1">
      <alignment horizontal="left" vertical="top" wrapText="1"/>
      <protection locked="0"/>
    </xf>
    <xf numFmtId="49" fontId="52" fillId="0" borderId="25" xfId="0" applyNumberFormat="1" applyFont="1" applyBorder="1" applyAlignment="1" applyProtection="1">
      <alignment horizontal="left" vertical="top" wrapText="1"/>
      <protection locked="0"/>
    </xf>
    <xf numFmtId="0" fontId="52" fillId="0" borderId="159" xfId="0" applyFont="1" applyBorder="1" applyAlignment="1" applyProtection="1">
      <alignment horizontal="left" vertical="top"/>
      <protection locked="0"/>
    </xf>
    <xf numFmtId="0" fontId="52" fillId="0" borderId="160" xfId="0" applyFont="1" applyBorder="1" applyAlignment="1" applyProtection="1">
      <alignment horizontal="left" vertical="top"/>
      <protection locked="0"/>
    </xf>
    <xf numFmtId="0" fontId="52" fillId="0" borderId="0" xfId="0" applyFont="1" applyAlignment="1" applyProtection="1">
      <alignment horizontal="left" vertical="top"/>
      <protection locked="0"/>
    </xf>
    <xf numFmtId="49" fontId="32" fillId="0" borderId="25" xfId="0" applyNumberFormat="1" applyFont="1" applyBorder="1" applyAlignment="1" applyProtection="1">
      <alignment horizontal="left" vertical="top" wrapText="1"/>
      <protection locked="0"/>
    </xf>
    <xf numFmtId="0" fontId="32" fillId="0" borderId="108" xfId="0" applyFont="1" applyBorder="1" applyAlignment="1" applyProtection="1">
      <alignment horizontal="left" vertical="top" wrapText="1"/>
      <protection locked="0"/>
    </xf>
    <xf numFmtId="0" fontId="32" fillId="0" borderId="174" xfId="0" applyFont="1" applyBorder="1" applyAlignment="1" applyProtection="1">
      <alignment horizontal="left" vertical="top" wrapText="1"/>
      <protection locked="0"/>
    </xf>
    <xf numFmtId="0" fontId="32" fillId="0" borderId="172" xfId="0" applyFont="1" applyBorder="1" applyAlignment="1" applyProtection="1">
      <alignment horizontal="left" vertical="top" wrapText="1"/>
      <protection locked="0"/>
    </xf>
    <xf numFmtId="0" fontId="32" fillId="0" borderId="25" xfId="0" applyFont="1" applyBorder="1" applyAlignment="1" applyProtection="1">
      <alignment horizontal="left" vertical="top"/>
      <protection locked="0"/>
    </xf>
    <xf numFmtId="49" fontId="32" fillId="0" borderId="83" xfId="0" applyNumberFormat="1" applyFont="1" applyBorder="1" applyAlignment="1" applyProtection="1">
      <alignment horizontal="left" vertical="top" wrapText="1"/>
      <protection locked="0"/>
    </xf>
    <xf numFmtId="49" fontId="32" fillId="0" borderId="27" xfId="0" applyNumberFormat="1" applyFont="1" applyBorder="1" applyAlignment="1" applyProtection="1">
      <alignment horizontal="left" vertical="top" wrapText="1"/>
      <protection locked="0"/>
    </xf>
    <xf numFmtId="0" fontId="18" fillId="13" borderId="0" xfId="0" applyFont="1" applyFill="1" applyAlignment="1" applyProtection="1">
      <alignment horizontal="left" vertical="top"/>
      <protection locked="0"/>
    </xf>
    <xf numFmtId="0" fontId="0" fillId="0" borderId="146" xfId="0" applyBorder="1" applyAlignment="1" applyProtection="1">
      <alignment horizontal="left" vertical="top"/>
      <protection locked="0"/>
    </xf>
    <xf numFmtId="0" fontId="0" fillId="0" borderId="42" xfId="0" applyBorder="1" applyAlignment="1" applyProtection="1">
      <alignment horizontal="left" vertical="top"/>
      <protection locked="0"/>
    </xf>
    <xf numFmtId="0" fontId="39" fillId="0" borderId="42" xfId="0" applyFont="1" applyBorder="1" applyAlignment="1" applyProtection="1">
      <alignment horizontal="left" vertical="top"/>
      <protection locked="0"/>
    </xf>
    <xf numFmtId="0" fontId="0" fillId="0" borderId="29" xfId="0" applyBorder="1" applyAlignment="1" applyProtection="1">
      <alignment horizontal="left" vertical="top"/>
      <protection locked="0"/>
    </xf>
    <xf numFmtId="0" fontId="0" fillId="0" borderId="122" xfId="0" applyBorder="1" applyAlignment="1" applyProtection="1">
      <alignment horizontal="left" vertical="top"/>
      <protection locked="0"/>
    </xf>
    <xf numFmtId="0" fontId="0" fillId="0" borderId="68" xfId="0" applyBorder="1" applyAlignment="1" applyProtection="1">
      <alignment horizontal="left" vertical="top"/>
      <protection locked="0"/>
    </xf>
    <xf numFmtId="0" fontId="0" fillId="0" borderId="74" xfId="0" applyBorder="1" applyAlignment="1" applyProtection="1">
      <alignment horizontal="left" vertical="top"/>
      <protection locked="0"/>
    </xf>
    <xf numFmtId="0" fontId="39" fillId="0" borderId="74" xfId="0" applyFont="1" applyBorder="1" applyAlignment="1" applyProtection="1">
      <alignment horizontal="left" vertical="top"/>
      <protection locked="0"/>
    </xf>
    <xf numFmtId="0" fontId="0" fillId="0" borderId="86" xfId="0" applyBorder="1" applyAlignment="1" applyProtection="1">
      <alignment horizontal="left" vertical="top"/>
      <protection locked="0"/>
    </xf>
    <xf numFmtId="0" fontId="39" fillId="0" borderId="68" xfId="0" applyFont="1" applyBorder="1" applyAlignment="1" applyProtection="1">
      <alignment horizontal="left" vertical="top"/>
      <protection locked="0"/>
    </xf>
    <xf numFmtId="0" fontId="0" fillId="0" borderId="121" xfId="0" applyBorder="1" applyAlignment="1" applyProtection="1">
      <alignment horizontal="left" vertical="top"/>
      <protection locked="0"/>
    </xf>
    <xf numFmtId="0" fontId="0" fillId="0" borderId="91" xfId="0" applyBorder="1" applyAlignment="1" applyProtection="1">
      <alignment horizontal="left" vertical="top"/>
      <protection locked="0"/>
    </xf>
    <xf numFmtId="0" fontId="0" fillId="0" borderId="103" xfId="0" applyBorder="1" applyAlignment="1" applyProtection="1">
      <alignment horizontal="left" vertical="top"/>
      <protection locked="0"/>
    </xf>
    <xf numFmtId="0" fontId="39" fillId="0" borderId="96" xfId="0" applyFont="1" applyBorder="1" applyAlignment="1" applyProtection="1">
      <alignment horizontal="left" vertical="top"/>
      <protection locked="0"/>
    </xf>
    <xf numFmtId="0" fontId="0" fillId="0" borderId="93" xfId="0" applyBorder="1" applyAlignment="1" applyProtection="1">
      <alignment horizontal="left" vertical="top"/>
      <protection locked="0"/>
    </xf>
    <xf numFmtId="0" fontId="1" fillId="3" borderId="209" xfId="0" applyFont="1" applyFill="1" applyBorder="1" applyAlignment="1">
      <alignment horizontal="left" vertical="top" wrapText="1"/>
    </xf>
    <xf numFmtId="0" fontId="16" fillId="0" borderId="322" xfId="0" applyFont="1" applyBorder="1" applyAlignment="1" applyProtection="1">
      <alignment horizontal="left" vertical="top" wrapText="1"/>
      <protection locked="0"/>
    </xf>
    <xf numFmtId="0" fontId="3" fillId="0" borderId="212" xfId="0" applyFont="1" applyBorder="1" applyAlignment="1" applyProtection="1">
      <alignment horizontal="left" vertical="top" wrapText="1"/>
      <protection locked="0"/>
    </xf>
    <xf numFmtId="0" fontId="3" fillId="0" borderId="244" xfId="0" applyFont="1" applyBorder="1" applyAlignment="1" applyProtection="1">
      <alignment horizontal="left" vertical="top" wrapText="1"/>
      <protection locked="0"/>
    </xf>
    <xf numFmtId="0" fontId="8" fillId="0" borderId="221" xfId="0" applyFont="1" applyBorder="1" applyAlignment="1" applyProtection="1">
      <alignment horizontal="left" vertical="top" wrapText="1"/>
      <protection locked="0"/>
    </xf>
    <xf numFmtId="0" fontId="16" fillId="0" borderId="271" xfId="0" applyFont="1" applyBorder="1" applyAlignment="1" applyProtection="1">
      <alignment horizontal="left" vertical="top" wrapText="1"/>
      <protection locked="0"/>
    </xf>
    <xf numFmtId="0" fontId="16" fillId="0" borderId="336" xfId="0" applyFont="1" applyBorder="1" applyAlignment="1" applyProtection="1">
      <alignment horizontal="left" vertical="top" wrapText="1"/>
      <protection locked="0"/>
    </xf>
    <xf numFmtId="0" fontId="8" fillId="0" borderId="429" xfId="0" applyFont="1" applyBorder="1" applyAlignment="1" applyProtection="1">
      <alignment horizontal="left" vertical="top" wrapText="1"/>
      <protection locked="0"/>
    </xf>
    <xf numFmtId="0" fontId="41" fillId="0" borderId="428" xfId="0" applyFont="1" applyBorder="1" applyAlignment="1" applyProtection="1">
      <alignment horizontal="left" vertical="top" wrapText="1"/>
      <protection locked="0"/>
    </xf>
    <xf numFmtId="0" fontId="8" fillId="0" borderId="430" xfId="0" applyFont="1" applyBorder="1" applyAlignment="1" applyProtection="1">
      <alignment horizontal="left" vertical="top" wrapText="1"/>
      <protection locked="0"/>
    </xf>
    <xf numFmtId="0" fontId="8" fillId="0" borderId="431" xfId="0" applyFont="1" applyBorder="1" applyAlignment="1" applyProtection="1">
      <alignment horizontal="left" vertical="top" wrapText="1"/>
      <protection locked="0"/>
    </xf>
    <xf numFmtId="0" fontId="8" fillId="0" borderId="128" xfId="0" applyFont="1" applyBorder="1" applyAlignment="1" applyProtection="1">
      <alignment horizontal="left" vertical="top" wrapText="1"/>
      <protection locked="0"/>
    </xf>
    <xf numFmtId="0" fontId="16" fillId="0" borderId="313" xfId="0" applyFont="1" applyBorder="1" applyAlignment="1" applyProtection="1">
      <alignment horizontal="left" vertical="top" wrapText="1"/>
      <protection locked="0"/>
    </xf>
    <xf numFmtId="0" fontId="41" fillId="0" borderId="395" xfId="0" applyFont="1" applyBorder="1" applyAlignment="1" applyProtection="1">
      <alignment horizontal="left" vertical="top" wrapText="1"/>
      <protection locked="0"/>
    </xf>
    <xf numFmtId="0" fontId="16" fillId="0" borderId="272" xfId="0" applyFont="1" applyBorder="1" applyAlignment="1" applyProtection="1">
      <alignment horizontal="left" vertical="top" wrapText="1"/>
      <protection locked="0"/>
    </xf>
    <xf numFmtId="0" fontId="8" fillId="0" borderId="388" xfId="0" applyFont="1" applyBorder="1" applyAlignment="1" applyProtection="1">
      <alignment horizontal="left" vertical="top" wrapText="1"/>
      <protection locked="0"/>
    </xf>
    <xf numFmtId="0" fontId="16" fillId="0" borderId="273" xfId="0" applyFont="1" applyBorder="1" applyAlignment="1" applyProtection="1">
      <alignment horizontal="left" vertical="top" wrapText="1"/>
      <protection locked="0"/>
    </xf>
    <xf numFmtId="0" fontId="16" fillId="0" borderId="248" xfId="0" applyFont="1" applyBorder="1" applyAlignment="1" applyProtection="1">
      <alignment horizontal="left" vertical="top" wrapText="1"/>
      <protection locked="0"/>
    </xf>
    <xf numFmtId="0" fontId="16" fillId="0" borderId="296" xfId="0" applyFont="1" applyBorder="1" applyAlignment="1" applyProtection="1">
      <alignment horizontal="left" vertical="top" wrapText="1"/>
      <protection locked="0"/>
    </xf>
    <xf numFmtId="0" fontId="29" fillId="0" borderId="115" xfId="0" applyFont="1" applyBorder="1" applyAlignment="1" applyProtection="1">
      <alignment horizontal="left" vertical="top"/>
      <protection locked="0"/>
    </xf>
    <xf numFmtId="0" fontId="29" fillId="0" borderId="116" xfId="0" applyFont="1" applyBorder="1" applyAlignment="1" applyProtection="1">
      <alignment horizontal="left" vertical="top"/>
      <protection locked="0"/>
    </xf>
    <xf numFmtId="0" fontId="16" fillId="0" borderId="277" xfId="0" applyFont="1" applyBorder="1" applyAlignment="1" applyProtection="1">
      <alignment horizontal="left" vertical="top" wrapText="1"/>
      <protection locked="0"/>
    </xf>
    <xf numFmtId="49" fontId="29" fillId="0" borderId="108" xfId="0" applyNumberFormat="1" applyFont="1" applyBorder="1" applyAlignment="1" applyProtection="1">
      <alignment horizontal="left" vertical="top" wrapText="1"/>
      <protection locked="0"/>
    </xf>
    <xf numFmtId="0" fontId="1" fillId="0" borderId="247" xfId="0" applyFont="1" applyBorder="1" applyAlignment="1" applyProtection="1">
      <alignment horizontal="left" vertical="top" wrapText="1"/>
      <protection locked="0"/>
    </xf>
    <xf numFmtId="49" fontId="29" fillId="0" borderId="249" xfId="0" applyNumberFormat="1" applyFont="1" applyBorder="1" applyAlignment="1" applyProtection="1">
      <alignment horizontal="left" vertical="top" wrapText="1"/>
      <protection locked="0"/>
    </xf>
    <xf numFmtId="49" fontId="29" fillId="0" borderId="526" xfId="0" applyNumberFormat="1" applyFont="1" applyBorder="1" applyAlignment="1" applyProtection="1">
      <alignment horizontal="left" vertical="top" wrapText="1"/>
      <protection locked="0"/>
    </xf>
    <xf numFmtId="49" fontId="29" fillId="0" borderId="198" xfId="0" applyNumberFormat="1" applyFont="1" applyBorder="1" applyAlignment="1" applyProtection="1">
      <alignment horizontal="left" vertical="top" wrapText="1"/>
      <protection locked="0"/>
    </xf>
    <xf numFmtId="49" fontId="29" fillId="0" borderId="164" xfId="0" applyNumberFormat="1" applyFont="1" applyBorder="1" applyAlignment="1" applyProtection="1">
      <alignment horizontal="left" vertical="top" wrapText="1"/>
      <protection locked="0"/>
    </xf>
    <xf numFmtId="49" fontId="29" fillId="0" borderId="165" xfId="0" applyNumberFormat="1" applyFont="1" applyBorder="1" applyAlignment="1" applyProtection="1">
      <alignment horizontal="left" vertical="top" wrapText="1"/>
      <protection locked="0"/>
    </xf>
    <xf numFmtId="0" fontId="27" fillId="0" borderId="212" xfId="0" applyFont="1" applyBorder="1" applyAlignment="1" applyProtection="1">
      <alignment horizontal="left" vertical="top"/>
      <protection locked="0"/>
    </xf>
    <xf numFmtId="0" fontId="27" fillId="0" borderId="244" xfId="0" applyFont="1" applyBorder="1" applyAlignment="1" applyProtection="1">
      <alignment horizontal="left" vertical="top"/>
      <protection locked="0"/>
    </xf>
    <xf numFmtId="0" fontId="27" fillId="0" borderId="184" xfId="0" applyFont="1" applyBorder="1" applyAlignment="1" applyProtection="1">
      <alignment horizontal="left" vertical="top"/>
      <protection locked="0"/>
    </xf>
    <xf numFmtId="0" fontId="8" fillId="0" borderId="516" xfId="0" applyFont="1" applyBorder="1" applyAlignment="1" applyProtection="1">
      <alignment horizontal="left" vertical="top" wrapText="1"/>
      <protection locked="0"/>
    </xf>
    <xf numFmtId="0" fontId="27" fillId="0" borderId="158" xfId="0" applyFont="1" applyBorder="1" applyAlignment="1" applyProtection="1">
      <alignment horizontal="left" vertical="top"/>
      <protection locked="0"/>
    </xf>
    <xf numFmtId="0" fontId="27" fillId="0" borderId="160" xfId="0" applyFont="1" applyBorder="1" applyAlignment="1" applyProtection="1">
      <alignment horizontal="left" vertical="top"/>
      <protection locked="0"/>
    </xf>
    <xf numFmtId="0" fontId="27" fillId="0" borderId="162" xfId="0" applyFont="1" applyBorder="1" applyAlignment="1" applyProtection="1">
      <alignment horizontal="left" vertical="top"/>
      <protection locked="0"/>
    </xf>
    <xf numFmtId="0" fontId="27" fillId="0" borderId="164" xfId="0" applyFont="1" applyBorder="1" applyAlignment="1" applyProtection="1">
      <alignment horizontal="left" vertical="top"/>
      <protection locked="0"/>
    </xf>
    <xf numFmtId="0" fontId="27" fillId="0" borderId="165" xfId="0" applyFont="1" applyBorder="1" applyAlignment="1" applyProtection="1">
      <alignment horizontal="left" vertical="top"/>
      <protection locked="0"/>
    </xf>
    <xf numFmtId="0" fontId="32" fillId="0" borderId="529" xfId="0" applyFont="1" applyBorder="1" applyAlignment="1" applyProtection="1">
      <alignment horizontal="left" vertical="top" wrapText="1"/>
      <protection locked="0"/>
    </xf>
    <xf numFmtId="49" fontId="29" fillId="0" borderId="244" xfId="0" applyNumberFormat="1" applyFont="1" applyBorder="1" applyAlignment="1" applyProtection="1">
      <alignment horizontal="left" vertical="top" wrapText="1"/>
      <protection locked="0"/>
    </xf>
    <xf numFmtId="49" fontId="1" fillId="0" borderId="110" xfId="0" applyNumberFormat="1" applyFont="1" applyBorder="1" applyAlignment="1" applyProtection="1">
      <alignment horizontal="left" vertical="top" wrapText="1"/>
      <protection locked="0"/>
    </xf>
    <xf numFmtId="49" fontId="41" fillId="0" borderId="110" xfId="0" applyNumberFormat="1" applyFont="1" applyBorder="1" applyAlignment="1" applyProtection="1">
      <alignment horizontal="left" vertical="top" wrapText="1"/>
      <protection locked="0"/>
    </xf>
    <xf numFmtId="0" fontId="31" fillId="0" borderId="192" xfId="0" applyFont="1" applyBorder="1" applyAlignment="1" applyProtection="1">
      <alignment horizontal="left" vertical="top"/>
      <protection locked="0"/>
    </xf>
    <xf numFmtId="0" fontId="27" fillId="0" borderId="191" xfId="0" applyFont="1" applyBorder="1" applyAlignment="1" applyProtection="1">
      <alignment horizontal="left" vertical="top"/>
      <protection locked="0"/>
    </xf>
    <xf numFmtId="0" fontId="27" fillId="0" borderId="192" xfId="0" applyFont="1" applyBorder="1" applyAlignment="1" applyProtection="1">
      <alignment horizontal="left" vertical="top"/>
      <protection locked="0"/>
    </xf>
    <xf numFmtId="0" fontId="27" fillId="0" borderId="244" xfId="0" applyFont="1" applyBorder="1" applyAlignment="1" applyProtection="1">
      <alignment horizontal="left" vertical="top" wrapText="1"/>
      <protection locked="0"/>
    </xf>
    <xf numFmtId="0" fontId="27" fillId="0" borderId="159" xfId="0" applyFont="1" applyBorder="1" applyAlignment="1" applyProtection="1">
      <alignment horizontal="left" vertical="top" wrapText="1"/>
      <protection locked="0"/>
    </xf>
    <xf numFmtId="0" fontId="7" fillId="0" borderId="526" xfId="0" applyFont="1" applyBorder="1" applyAlignment="1" applyProtection="1">
      <alignment horizontal="left" vertical="top" wrapText="1"/>
      <protection locked="0"/>
    </xf>
    <xf numFmtId="0" fontId="7" fillId="0" borderId="162" xfId="0" applyFont="1" applyBorder="1" applyAlignment="1" applyProtection="1">
      <alignment horizontal="left" vertical="top"/>
      <protection locked="0"/>
    </xf>
    <xf numFmtId="0" fontId="7" fillId="0" borderId="162" xfId="0" applyFont="1" applyBorder="1" applyAlignment="1" applyProtection="1">
      <alignment horizontal="left" vertical="top" wrapText="1"/>
      <protection locked="0"/>
    </xf>
    <xf numFmtId="0" fontId="0" fillId="0" borderId="165" xfId="0" applyBorder="1" applyAlignment="1" applyProtection="1">
      <alignment horizontal="left" vertical="top"/>
      <protection locked="0"/>
    </xf>
    <xf numFmtId="0" fontId="29" fillId="0" borderId="244" xfId="0" applyFont="1" applyBorder="1" applyAlignment="1" applyProtection="1">
      <alignment horizontal="left" vertical="top" wrapText="1"/>
      <protection locked="0"/>
    </xf>
    <xf numFmtId="0" fontId="29" fillId="0" borderId="159" xfId="0" applyFont="1" applyBorder="1" applyAlignment="1" applyProtection="1">
      <alignment horizontal="left" vertical="top" wrapText="1"/>
      <protection locked="0"/>
    </xf>
    <xf numFmtId="0" fontId="29" fillId="0" borderId="160" xfId="0" applyFont="1" applyBorder="1" applyAlignment="1" applyProtection="1">
      <alignment horizontal="left" vertical="top" wrapText="1"/>
      <protection locked="0"/>
    </xf>
    <xf numFmtId="0" fontId="29" fillId="0" borderId="108" xfId="0" applyFont="1" applyBorder="1" applyAlignment="1" applyProtection="1">
      <alignment horizontal="left" vertical="top"/>
      <protection locked="0"/>
    </xf>
    <xf numFmtId="0" fontId="29" fillId="0" borderId="174" xfId="0" applyFont="1" applyBorder="1" applyAlignment="1" applyProtection="1">
      <alignment horizontal="left" vertical="top"/>
      <protection locked="0"/>
    </xf>
    <xf numFmtId="0" fontId="7" fillId="0" borderId="525" xfId="0" applyFont="1" applyBorder="1" applyAlignment="1" applyProtection="1">
      <alignment horizontal="left" vertical="top" wrapText="1"/>
      <protection locked="0"/>
    </xf>
    <xf numFmtId="0" fontId="7" fillId="0" borderId="165" xfId="0" applyFont="1" applyBorder="1" applyAlignment="1" applyProtection="1">
      <alignment horizontal="left" vertical="top"/>
      <protection locked="0"/>
    </xf>
    <xf numFmtId="0" fontId="7" fillId="0" borderId="164" xfId="0" applyFont="1" applyBorder="1" applyAlignment="1" applyProtection="1">
      <alignment horizontal="left" vertical="top"/>
      <protection locked="0"/>
    </xf>
    <xf numFmtId="49" fontId="29" fillId="0" borderId="520" xfId="0" applyNumberFormat="1" applyFont="1" applyBorder="1" applyAlignment="1" applyProtection="1">
      <alignment horizontal="left" vertical="top" wrapText="1"/>
      <protection locked="0"/>
    </xf>
    <xf numFmtId="49" fontId="29" fillId="0" borderId="107" xfId="0" applyNumberFormat="1" applyFont="1" applyBorder="1" applyAlignment="1" applyProtection="1">
      <alignment horizontal="left" vertical="top" wrapText="1"/>
      <protection locked="0"/>
    </xf>
    <xf numFmtId="0" fontId="16" fillId="0" borderId="212" xfId="0" applyFont="1" applyBorder="1" applyAlignment="1" applyProtection="1">
      <alignment horizontal="left" vertical="top" wrapText="1"/>
      <protection locked="0"/>
    </xf>
    <xf numFmtId="0" fontId="13" fillId="0" borderId="212" xfId="0" applyFont="1" applyBorder="1" applyAlignment="1" applyProtection="1">
      <alignment horizontal="left" vertical="top"/>
      <protection locked="0"/>
    </xf>
    <xf numFmtId="0" fontId="13" fillId="0" borderId="191" xfId="0" applyFont="1" applyBorder="1" applyAlignment="1" applyProtection="1">
      <alignment horizontal="left" vertical="top"/>
      <protection locked="0"/>
    </xf>
    <xf numFmtId="0" fontId="13" fillId="0" borderId="192" xfId="0" applyFont="1" applyBorder="1" applyAlignment="1" applyProtection="1">
      <alignment horizontal="left" vertical="top"/>
      <protection locked="0"/>
    </xf>
    <xf numFmtId="0" fontId="0" fillId="0" borderId="113" xfId="0" applyBorder="1" applyAlignment="1" applyProtection="1">
      <alignment horizontal="left" vertical="top"/>
      <protection locked="0"/>
    </xf>
    <xf numFmtId="0" fontId="0" fillId="0" borderId="162" xfId="0" applyBorder="1" applyAlignment="1" applyProtection="1">
      <alignment horizontal="left" vertical="top"/>
      <protection locked="0"/>
    </xf>
    <xf numFmtId="0" fontId="0" fillId="0" borderId="116" xfId="0" applyBorder="1" applyAlignment="1" applyProtection="1">
      <alignment horizontal="left" vertical="top"/>
      <protection locked="0"/>
    </xf>
    <xf numFmtId="0" fontId="0" fillId="0" borderId="231" xfId="0" applyBorder="1" applyAlignment="1" applyProtection="1">
      <alignment horizontal="left" vertical="top"/>
      <protection locked="0"/>
    </xf>
    <xf numFmtId="0" fontId="0" fillId="0" borderId="159" xfId="0" applyBorder="1" applyAlignment="1" applyProtection="1">
      <alignment horizontal="left" vertical="top"/>
      <protection locked="0"/>
    </xf>
    <xf numFmtId="0" fontId="0" fillId="0" borderId="160" xfId="0" applyBorder="1" applyAlignment="1" applyProtection="1">
      <alignment horizontal="left" vertical="top"/>
      <protection locked="0"/>
    </xf>
    <xf numFmtId="0" fontId="0" fillId="0" borderId="214" xfId="0" applyBorder="1" applyAlignment="1" applyProtection="1">
      <alignment horizontal="left" vertical="top"/>
      <protection locked="0"/>
    </xf>
    <xf numFmtId="0" fontId="0" fillId="0" borderId="198" xfId="0" applyBorder="1" applyAlignment="1" applyProtection="1">
      <alignment horizontal="left" vertical="top"/>
      <protection locked="0"/>
    </xf>
    <xf numFmtId="0" fontId="29" fillId="0" borderId="108" xfId="0" applyFont="1" applyBorder="1" applyAlignment="1" applyProtection="1">
      <alignment horizontal="left" vertical="top" wrapText="1"/>
      <protection locked="0"/>
    </xf>
    <xf numFmtId="0" fontId="56" fillId="0" borderId="108" xfId="0" applyFont="1" applyBorder="1" applyAlignment="1" applyProtection="1">
      <alignment horizontal="left" vertical="top"/>
      <protection locked="0"/>
    </xf>
    <xf numFmtId="0" fontId="32" fillId="0" borderId="221" xfId="0" applyFont="1" applyBorder="1" applyAlignment="1" applyProtection="1">
      <alignment horizontal="left" vertical="top" wrapText="1"/>
      <protection locked="0"/>
    </xf>
    <xf numFmtId="0" fontId="7" fillId="0" borderId="223" xfId="0" applyFont="1" applyBorder="1" applyAlignment="1" applyProtection="1">
      <alignment horizontal="left" vertical="top" wrapText="1"/>
      <protection locked="0"/>
    </xf>
    <xf numFmtId="0" fontId="0" fillId="0" borderId="112" xfId="0" applyBorder="1" applyAlignment="1" applyProtection="1">
      <alignment horizontal="left" vertical="top"/>
      <protection locked="0"/>
    </xf>
    <xf numFmtId="0" fontId="7" fillId="0" borderId="214" xfId="0" applyFont="1" applyBorder="1" applyAlignment="1" applyProtection="1">
      <alignment horizontal="left" vertical="top" wrapText="1"/>
      <protection locked="0"/>
    </xf>
    <xf numFmtId="0" fontId="0" fillId="0" borderId="214" xfId="0" applyBorder="1" applyAlignment="1" applyProtection="1">
      <alignment horizontal="left" vertical="top" wrapText="1"/>
      <protection locked="0"/>
    </xf>
    <xf numFmtId="0" fontId="0" fillId="0" borderId="224" xfId="0" applyBorder="1" applyAlignment="1" applyProtection="1">
      <alignment horizontal="left" vertical="top"/>
      <protection locked="0"/>
    </xf>
    <xf numFmtId="0" fontId="0" fillId="0" borderId="170" xfId="0" applyBorder="1" applyAlignment="1" applyProtection="1">
      <alignment horizontal="left" vertical="top"/>
      <protection locked="0"/>
    </xf>
    <xf numFmtId="0" fontId="28" fillId="0" borderId="212" xfId="0" applyFont="1" applyBorder="1" applyAlignment="1" applyProtection="1">
      <alignment horizontal="left" vertical="top"/>
      <protection locked="0"/>
    </xf>
    <xf numFmtId="0" fontId="28" fillId="0" borderId="244" xfId="0" applyFont="1" applyBorder="1" applyAlignment="1" applyProtection="1">
      <alignment horizontal="left" vertical="top"/>
      <protection locked="0"/>
    </xf>
    <xf numFmtId="0" fontId="27" fillId="0" borderId="108" xfId="0" applyFont="1" applyBorder="1" applyAlignment="1" applyProtection="1">
      <alignment horizontal="left" vertical="top" wrapText="1"/>
      <protection locked="0"/>
    </xf>
    <xf numFmtId="0" fontId="27" fillId="0" borderId="221" xfId="0" applyFont="1" applyBorder="1" applyAlignment="1" applyProtection="1">
      <alignment horizontal="left" vertical="top" wrapText="1"/>
      <protection locked="0"/>
    </xf>
    <xf numFmtId="0" fontId="27" fillId="0" borderId="223" xfId="0" applyFont="1" applyBorder="1" applyAlignment="1" applyProtection="1">
      <alignment horizontal="left" vertical="top"/>
      <protection locked="0"/>
    </xf>
    <xf numFmtId="0" fontId="27" fillId="0" borderId="113" xfId="0" applyFont="1" applyBorder="1" applyAlignment="1" applyProtection="1">
      <alignment horizontal="left" vertical="top"/>
      <protection locked="0"/>
    </xf>
    <xf numFmtId="0" fontId="27" fillId="0" borderId="214" xfId="0" applyFont="1" applyBorder="1" applyAlignment="1" applyProtection="1">
      <alignment horizontal="left" vertical="top"/>
      <protection locked="0"/>
    </xf>
    <xf numFmtId="0" fontId="27" fillId="0" borderId="110" xfId="0" applyFont="1" applyBorder="1" applyAlignment="1" applyProtection="1">
      <alignment horizontal="left" vertical="top" wrapText="1"/>
      <protection locked="0"/>
    </xf>
    <xf numFmtId="0" fontId="27" fillId="0" borderId="113" xfId="0" applyFont="1" applyBorder="1" applyAlignment="1" applyProtection="1">
      <alignment horizontal="left" vertical="top" wrapText="1"/>
      <protection locked="0"/>
    </xf>
    <xf numFmtId="0" fontId="27" fillId="0" borderId="115" xfId="0" applyFont="1" applyBorder="1" applyAlignment="1" applyProtection="1">
      <alignment horizontal="left" vertical="top"/>
      <protection locked="0"/>
    </xf>
    <xf numFmtId="0" fontId="27" fillId="0" borderId="172" xfId="0" applyFont="1" applyBorder="1" applyAlignment="1" applyProtection="1">
      <alignment horizontal="left" vertical="top"/>
      <protection locked="0"/>
    </xf>
    <xf numFmtId="0" fontId="27" fillId="0" borderId="526" xfId="0" applyFont="1" applyBorder="1" applyAlignment="1" applyProtection="1">
      <alignment horizontal="left" vertical="top"/>
      <protection locked="0"/>
    </xf>
    <xf numFmtId="0" fontId="27" fillId="0" borderId="192" xfId="0" applyFont="1" applyBorder="1" applyAlignment="1" applyProtection="1">
      <alignment horizontal="left" vertical="top" wrapText="1"/>
      <protection locked="0"/>
    </xf>
    <xf numFmtId="0" fontId="27" fillId="0" borderId="514" xfId="0" applyFont="1" applyBorder="1" applyAlignment="1" applyProtection="1">
      <alignment horizontal="left" vertical="top" wrapText="1"/>
      <protection locked="0"/>
    </xf>
    <xf numFmtId="0" fontId="27" fillId="0" borderId="174" xfId="0" applyFont="1" applyBorder="1" applyAlignment="1" applyProtection="1">
      <alignment horizontal="left" vertical="top" wrapText="1"/>
      <protection locked="0"/>
    </xf>
    <xf numFmtId="0" fontId="27" fillId="0" borderId="162" xfId="0" applyFont="1" applyBorder="1" applyAlignment="1" applyProtection="1">
      <alignment horizontal="left" vertical="top" wrapText="1"/>
      <protection locked="0"/>
    </xf>
    <xf numFmtId="0" fontId="39" fillId="0" borderId="112" xfId="0" applyFont="1" applyBorder="1" applyAlignment="1" applyProtection="1">
      <alignment horizontal="left" vertical="top"/>
      <protection locked="0"/>
    </xf>
    <xf numFmtId="0" fontId="27" fillId="0" borderId="164" xfId="0" applyFont="1" applyBorder="1" applyAlignment="1" applyProtection="1">
      <alignment horizontal="left" vertical="top" wrapText="1"/>
      <protection locked="0"/>
    </xf>
    <xf numFmtId="0" fontId="27" fillId="0" borderId="165" xfId="0" applyFont="1" applyBorder="1" applyAlignment="1" applyProtection="1">
      <alignment horizontal="left" vertical="top" wrapText="1"/>
      <protection locked="0"/>
    </xf>
    <xf numFmtId="0" fontId="27" fillId="0" borderId="204" xfId="0" applyFont="1" applyBorder="1" applyAlignment="1" applyProtection="1">
      <alignment horizontal="left" vertical="top" wrapText="1"/>
      <protection locked="0"/>
    </xf>
    <xf numFmtId="0" fontId="27" fillId="0" borderId="526" xfId="0" applyFont="1" applyBorder="1" applyAlignment="1" applyProtection="1">
      <alignment horizontal="left" vertical="top" wrapText="1"/>
      <protection locked="0"/>
    </xf>
    <xf numFmtId="0" fontId="27" fillId="0" borderId="224" xfId="0" applyFont="1" applyBorder="1" applyAlignment="1" applyProtection="1">
      <alignment horizontal="left" vertical="top"/>
      <protection locked="0"/>
    </xf>
    <xf numFmtId="0" fontId="27" fillId="0" borderId="198" xfId="0" applyFont="1" applyBorder="1" applyAlignment="1" applyProtection="1">
      <alignment horizontal="left" vertical="top"/>
      <protection locked="0"/>
    </xf>
    <xf numFmtId="0" fontId="27" fillId="13" borderId="191" xfId="0" applyFont="1" applyFill="1" applyBorder="1" applyAlignment="1">
      <alignment horizontal="left" vertical="top" wrapText="1"/>
    </xf>
    <xf numFmtId="0" fontId="18" fillId="0" borderId="534" xfId="0" applyFont="1" applyBorder="1" applyAlignment="1" applyProtection="1">
      <alignment horizontal="left" vertical="top" wrapText="1"/>
      <protection locked="0"/>
    </xf>
    <xf numFmtId="0" fontId="18" fillId="0" borderId="263" xfId="0" applyFont="1" applyBorder="1" applyAlignment="1" applyProtection="1">
      <alignment horizontal="left" vertical="top" wrapText="1"/>
      <protection locked="0"/>
    </xf>
    <xf numFmtId="0" fontId="18" fillId="0" borderId="272" xfId="0" applyFont="1" applyBorder="1" applyAlignment="1" applyProtection="1">
      <alignment horizontal="left" vertical="top"/>
      <protection locked="0"/>
    </xf>
    <xf numFmtId="0" fontId="18" fillId="0" borderId="263" xfId="0" applyFont="1" applyBorder="1" applyAlignment="1" applyProtection="1">
      <alignment horizontal="left" vertical="top"/>
      <protection locked="0"/>
    </xf>
    <xf numFmtId="0" fontId="18" fillId="0" borderId="264" xfId="0" applyFont="1" applyBorder="1" applyAlignment="1" applyProtection="1">
      <alignment horizontal="left" vertical="top"/>
      <protection locked="0"/>
    </xf>
    <xf numFmtId="0" fontId="18" fillId="0" borderId="183" xfId="0" applyFont="1" applyBorder="1" applyAlignment="1" applyProtection="1">
      <alignment horizontal="left" vertical="top" wrapText="1"/>
      <protection locked="0"/>
    </xf>
    <xf numFmtId="0" fontId="18" fillId="0" borderId="280" xfId="0" applyFont="1" applyBorder="1" applyAlignment="1" applyProtection="1">
      <alignment horizontal="left" vertical="top" wrapText="1"/>
      <protection locked="0"/>
    </xf>
    <xf numFmtId="0" fontId="18" fillId="0" borderId="271" xfId="0" applyFont="1" applyBorder="1" applyAlignment="1" applyProtection="1">
      <alignment horizontal="left" vertical="top"/>
      <protection locked="0"/>
    </xf>
    <xf numFmtId="0" fontId="18" fillId="0" borderId="180" xfId="0" applyFont="1" applyBorder="1" applyAlignment="1" applyProtection="1">
      <alignment horizontal="left" vertical="top"/>
      <protection locked="0"/>
    </xf>
    <xf numFmtId="0" fontId="18" fillId="0" borderId="400" xfId="0" applyFont="1" applyBorder="1" applyAlignment="1" applyProtection="1">
      <alignment horizontal="left" vertical="top" wrapText="1"/>
      <protection locked="0"/>
    </xf>
    <xf numFmtId="0" fontId="18" fillId="0" borderId="281" xfId="0" applyFont="1" applyBorder="1" applyAlignment="1" applyProtection="1">
      <alignment horizontal="left" vertical="top" wrapText="1"/>
      <protection locked="0"/>
    </xf>
    <xf numFmtId="0" fontId="18" fillId="0" borderId="273" xfId="0" applyFont="1" applyBorder="1" applyAlignment="1" applyProtection="1">
      <alignment horizontal="left" vertical="top"/>
      <protection locked="0"/>
    </xf>
    <xf numFmtId="0" fontId="18" fillId="0" borderId="238" xfId="0" applyFont="1" applyBorder="1" applyAlignment="1" applyProtection="1">
      <alignment horizontal="left" vertical="top"/>
      <protection locked="0"/>
    </xf>
    <xf numFmtId="0" fontId="18" fillId="0" borderId="266" xfId="0" applyFont="1" applyBorder="1" applyAlignment="1" applyProtection="1">
      <alignment horizontal="left" vertical="top"/>
      <protection locked="0"/>
    </xf>
    <xf numFmtId="0" fontId="52" fillId="0" borderId="159" xfId="0" applyFont="1" applyBorder="1" applyAlignment="1" applyProtection="1">
      <alignment horizontal="left" vertical="top" wrapText="1"/>
      <protection locked="0"/>
    </xf>
    <xf numFmtId="0" fontId="52" fillId="0" borderId="231" xfId="0" applyFont="1" applyBorder="1" applyAlignment="1" applyProtection="1">
      <alignment horizontal="left" vertical="top"/>
      <protection locked="0"/>
    </xf>
    <xf numFmtId="0" fontId="52" fillId="0" borderId="110" xfId="0" applyFont="1" applyBorder="1" applyAlignment="1" applyProtection="1">
      <alignment horizontal="left" vertical="top" wrapText="1"/>
      <protection locked="0"/>
    </xf>
    <xf numFmtId="0" fontId="52" fillId="0" borderId="113" xfId="0" applyFont="1" applyBorder="1" applyAlignment="1" applyProtection="1">
      <alignment horizontal="left" vertical="top"/>
      <protection locked="0"/>
    </xf>
    <xf numFmtId="0" fontId="52" fillId="0" borderId="110" xfId="0" applyFont="1" applyBorder="1" applyAlignment="1" applyProtection="1">
      <alignment horizontal="left" vertical="top"/>
      <protection locked="0"/>
    </xf>
    <xf numFmtId="0" fontId="52" fillId="0" borderId="162" xfId="0" applyFont="1" applyBorder="1" applyAlignment="1" applyProtection="1">
      <alignment horizontal="left" vertical="top"/>
      <protection locked="0"/>
    </xf>
    <xf numFmtId="0" fontId="32" fillId="0" borderId="198" xfId="0" applyFont="1" applyBorder="1" applyAlignment="1" applyProtection="1">
      <alignment horizontal="left" vertical="top"/>
      <protection locked="0"/>
    </xf>
    <xf numFmtId="0" fontId="18" fillId="0" borderId="0" xfId="0" applyFont="1" applyAlignment="1" applyProtection="1">
      <alignment vertical="top" wrapText="1"/>
      <protection locked="0"/>
    </xf>
    <xf numFmtId="0" fontId="29" fillId="0" borderId="0" xfId="0" applyFont="1" applyAlignment="1" applyProtection="1">
      <alignment vertical="top" wrapText="1"/>
      <protection locked="0"/>
    </xf>
    <xf numFmtId="0" fontId="62" fillId="0" borderId="0" xfId="0" applyFont="1" applyAlignment="1" applyProtection="1">
      <alignment vertical="top" wrapText="1"/>
      <protection locked="0"/>
    </xf>
    <xf numFmtId="0" fontId="29" fillId="7" borderId="0" xfId="0" applyFont="1" applyFill="1" applyAlignment="1" applyProtection="1">
      <alignment vertical="top" wrapText="1"/>
      <protection locked="0"/>
    </xf>
    <xf numFmtId="0" fontId="32" fillId="7" borderId="0" xfId="0" applyFont="1" applyFill="1" applyAlignment="1" applyProtection="1">
      <alignment horizontal="left" vertical="top" wrapText="1"/>
      <protection locked="0"/>
    </xf>
    <xf numFmtId="0" fontId="18" fillId="0" borderId="159" xfId="0" applyFont="1" applyBorder="1" applyAlignment="1" applyProtection="1">
      <alignment horizontal="left" vertical="top" wrapText="1"/>
      <protection locked="0"/>
    </xf>
    <xf numFmtId="0" fontId="18" fillId="0" borderId="191" xfId="0" applyFont="1" applyBorder="1" applyAlignment="1" applyProtection="1">
      <alignment horizontal="left" vertical="top" wrapText="1"/>
      <protection locked="0"/>
    </xf>
    <xf numFmtId="0" fontId="18" fillId="0" borderId="192" xfId="0" applyFont="1" applyBorder="1" applyAlignment="1" applyProtection="1">
      <alignment horizontal="left" vertical="top" wrapText="1"/>
      <protection locked="0"/>
    </xf>
    <xf numFmtId="0" fontId="18" fillId="0" borderId="29" xfId="0" applyFont="1" applyBorder="1" applyAlignment="1" applyProtection="1">
      <alignment horizontal="left" vertical="top" wrapText="1"/>
      <protection locked="0"/>
    </xf>
    <xf numFmtId="0" fontId="17" fillId="0" borderId="231" xfId="0" applyFont="1" applyBorder="1" applyAlignment="1" applyProtection="1">
      <alignment horizontal="left" vertical="top" wrapText="1"/>
      <protection locked="0"/>
    </xf>
    <xf numFmtId="0" fontId="4" fillId="0" borderId="169" xfId="0" applyFont="1" applyBorder="1" applyAlignment="1" applyProtection="1">
      <alignment horizontal="left" vertical="top" wrapText="1"/>
      <protection locked="0"/>
    </xf>
    <xf numFmtId="0" fontId="18" fillId="0" borderId="122" xfId="0" applyFont="1" applyBorder="1" applyAlignment="1" applyProtection="1">
      <alignment horizontal="left" vertical="top" wrapText="1"/>
      <protection locked="0"/>
    </xf>
    <xf numFmtId="0" fontId="4" fillId="0" borderId="112" xfId="0" applyFont="1" applyBorder="1" applyAlignment="1" applyProtection="1">
      <alignment horizontal="left" vertical="top" wrapText="1"/>
      <protection locked="0"/>
    </xf>
    <xf numFmtId="0" fontId="17" fillId="0" borderId="217" xfId="0" applyFont="1" applyBorder="1" applyAlignment="1" applyProtection="1">
      <alignment horizontal="left" vertical="top" wrapText="1"/>
      <protection locked="0"/>
    </xf>
    <xf numFmtId="0" fontId="17" fillId="0" borderId="224" xfId="0" applyFont="1" applyBorder="1" applyAlignment="1" applyProtection="1">
      <alignment horizontal="left" vertical="top" wrapText="1"/>
      <protection locked="0"/>
    </xf>
    <xf numFmtId="0" fontId="41" fillId="0" borderId="158" xfId="0" applyFont="1" applyBorder="1" applyAlignment="1" applyProtection="1">
      <alignment vertical="top" wrapText="1"/>
      <protection locked="0"/>
    </xf>
    <xf numFmtId="0" fontId="16" fillId="0" borderId="223" xfId="0" applyFont="1" applyBorder="1" applyAlignment="1" applyProtection="1">
      <alignment horizontal="left" vertical="top" wrapText="1"/>
      <protection locked="0"/>
    </xf>
    <xf numFmtId="0" fontId="3" fillId="0" borderId="112" xfId="0" applyFont="1" applyBorder="1" applyAlignment="1" applyProtection="1">
      <alignment horizontal="left" vertical="top" wrapText="1"/>
      <protection locked="0"/>
    </xf>
    <xf numFmtId="0" fontId="16" fillId="0" borderId="214" xfId="0" applyFont="1" applyBorder="1" applyAlignment="1" applyProtection="1">
      <alignment horizontal="left" vertical="top" wrapText="1"/>
      <protection locked="0"/>
    </xf>
    <xf numFmtId="0" fontId="16" fillId="0" borderId="224" xfId="0" applyFont="1" applyBorder="1" applyAlignment="1" applyProtection="1">
      <alignment horizontal="left" vertical="top" wrapText="1"/>
      <protection locked="0"/>
    </xf>
    <xf numFmtId="0" fontId="3" fillId="0" borderId="170" xfId="0" applyFont="1" applyBorder="1" applyAlignment="1" applyProtection="1">
      <alignment horizontal="left" vertical="top" wrapText="1"/>
      <protection locked="0"/>
    </xf>
    <xf numFmtId="0" fontId="29" fillId="0" borderId="110" xfId="0" applyFont="1" applyBorder="1" applyAlignment="1" applyProtection="1">
      <alignment horizontal="left" vertical="top" wrapText="1"/>
      <protection locked="0"/>
    </xf>
    <xf numFmtId="0" fontId="29" fillId="0" borderId="164" xfId="0" applyFont="1" applyBorder="1" applyAlignment="1" applyProtection="1">
      <alignment horizontal="left" vertical="top" wrapText="1"/>
      <protection locked="0"/>
    </xf>
    <xf numFmtId="0" fontId="14" fillId="6" borderId="0" xfId="0" applyFont="1" applyFill="1" applyAlignment="1" applyProtection="1">
      <alignment horizontal="left" vertical="top" wrapText="1"/>
      <protection locked="0"/>
    </xf>
    <xf numFmtId="0" fontId="14" fillId="6" borderId="249" xfId="0" applyFont="1" applyFill="1" applyBorder="1" applyAlignment="1" applyProtection="1">
      <alignment horizontal="left" vertical="top" wrapText="1"/>
      <protection locked="0"/>
    </xf>
    <xf numFmtId="0" fontId="14" fillId="6" borderId="316" xfId="0" applyFont="1" applyFill="1" applyBorder="1" applyAlignment="1" applyProtection="1">
      <alignment horizontal="left" vertical="top" wrapText="1"/>
      <protection locked="0"/>
    </xf>
    <xf numFmtId="0" fontId="14" fillId="6" borderId="212" xfId="0" applyFont="1" applyFill="1" applyBorder="1" applyAlignment="1" applyProtection="1">
      <alignment horizontal="left" vertical="top" wrapText="1"/>
      <protection locked="0"/>
    </xf>
    <xf numFmtId="0" fontId="14" fillId="6" borderId="244" xfId="0" applyFont="1" applyFill="1" applyBorder="1" applyAlignment="1" applyProtection="1">
      <alignment horizontal="left" vertical="top" wrapText="1"/>
      <protection locked="0"/>
    </xf>
    <xf numFmtId="0" fontId="29" fillId="6" borderId="0" xfId="0" applyFont="1" applyFill="1" applyAlignment="1" applyProtection="1">
      <alignment horizontal="left" vertical="top"/>
      <protection locked="0"/>
    </xf>
    <xf numFmtId="0" fontId="85" fillId="0" borderId="191" xfId="0" applyFont="1" applyBorder="1" applyAlignment="1" applyProtection="1">
      <alignment horizontal="left" vertical="top" wrapText="1"/>
      <protection locked="0"/>
    </xf>
    <xf numFmtId="0" fontId="18" fillId="0" borderId="322" xfId="0" applyFont="1" applyBorder="1" applyAlignment="1" applyProtection="1">
      <alignment horizontal="left" vertical="top" wrapText="1"/>
      <protection locked="0"/>
    </xf>
    <xf numFmtId="0" fontId="18" fillId="0" borderId="70" xfId="0" applyFont="1" applyBorder="1" applyAlignment="1" applyProtection="1">
      <alignment vertical="top" wrapText="1"/>
      <protection locked="0"/>
    </xf>
    <xf numFmtId="0" fontId="18" fillId="0" borderId="91" xfId="0" applyFont="1" applyBorder="1" applyAlignment="1" applyProtection="1">
      <alignment horizontal="left" vertical="top" wrapText="1"/>
      <protection locked="0"/>
    </xf>
    <xf numFmtId="0" fontId="18" fillId="0" borderId="250" xfId="0" applyFont="1" applyBorder="1" applyAlignment="1" applyProtection="1">
      <alignment horizontal="left" vertical="top" wrapText="1"/>
      <protection locked="0"/>
    </xf>
    <xf numFmtId="0" fontId="32" fillId="0" borderId="176" xfId="0" applyFont="1" applyBorder="1" applyAlignment="1" applyProtection="1">
      <alignment vertical="top" wrapText="1"/>
      <protection locked="0"/>
    </xf>
    <xf numFmtId="0" fontId="38" fillId="0" borderId="70" xfId="0" applyFont="1" applyBorder="1" applyAlignment="1">
      <alignment vertical="top" wrapText="1"/>
    </xf>
    <xf numFmtId="0" fontId="53" fillId="3" borderId="158" xfId="0" applyFont="1" applyFill="1" applyBorder="1" applyAlignment="1">
      <alignment horizontal="left" vertical="top" wrapText="1"/>
    </xf>
    <xf numFmtId="0" fontId="18" fillId="13" borderId="160" xfId="0" applyFont="1" applyFill="1" applyBorder="1" applyAlignment="1">
      <alignment horizontal="left" vertical="top" wrapText="1"/>
    </xf>
    <xf numFmtId="0" fontId="18" fillId="13" borderId="113" xfId="0" applyFont="1" applyFill="1" applyBorder="1" applyAlignment="1">
      <alignment horizontal="left" vertical="top" wrapText="1"/>
    </xf>
    <xf numFmtId="0" fontId="18" fillId="0" borderId="163" xfId="0" applyFont="1" applyBorder="1" applyAlignment="1">
      <alignment horizontal="left" vertical="top" wrapText="1"/>
    </xf>
    <xf numFmtId="0" fontId="18" fillId="13" borderId="198" xfId="0" applyFont="1" applyFill="1" applyBorder="1" applyAlignment="1">
      <alignment horizontal="left" vertical="top" wrapText="1"/>
    </xf>
    <xf numFmtId="0" fontId="41" fillId="13" borderId="250" xfId="0" applyFont="1" applyFill="1" applyBorder="1" applyAlignment="1">
      <alignment vertical="top" wrapText="1"/>
    </xf>
    <xf numFmtId="0" fontId="41" fillId="13" borderId="191" xfId="0" applyFont="1" applyFill="1" applyBorder="1" applyAlignment="1">
      <alignment vertical="top" wrapText="1"/>
    </xf>
    <xf numFmtId="0" fontId="32" fillId="13" borderId="198" xfId="0" applyFont="1" applyFill="1" applyBorder="1" applyAlignment="1">
      <alignment horizontal="left" vertical="top" wrapText="1"/>
    </xf>
    <xf numFmtId="0" fontId="32" fillId="13" borderId="221" xfId="0" applyFont="1" applyFill="1" applyBorder="1" applyAlignment="1">
      <alignment horizontal="left" vertical="top" wrapText="1"/>
    </xf>
    <xf numFmtId="0" fontId="32" fillId="13" borderId="113" xfId="0" applyFont="1" applyFill="1" applyBorder="1" applyAlignment="1">
      <alignment horizontal="left" vertical="top" wrapText="1"/>
    </xf>
    <xf numFmtId="0" fontId="32" fillId="13" borderId="116" xfId="0" applyFont="1" applyFill="1" applyBorder="1" applyAlignment="1">
      <alignment horizontal="left" vertical="top" wrapText="1"/>
    </xf>
    <xf numFmtId="0" fontId="32" fillId="13" borderId="515" xfId="0" applyFont="1" applyFill="1" applyBorder="1" applyAlignment="1">
      <alignment horizontal="left" vertical="top" wrapText="1"/>
    </xf>
    <xf numFmtId="0" fontId="48" fillId="13" borderId="113" xfId="0" applyFont="1" applyFill="1" applyBorder="1" applyAlignment="1">
      <alignment horizontal="left" vertical="top" wrapText="1"/>
    </xf>
    <xf numFmtId="0" fontId="1" fillId="13" borderId="78" xfId="0" applyFont="1" applyFill="1" applyBorder="1" applyAlignment="1">
      <alignment horizontal="left" vertical="top" wrapText="1"/>
    </xf>
    <xf numFmtId="0" fontId="8" fillId="3" borderId="163" xfId="0" applyFont="1" applyFill="1" applyBorder="1" applyAlignment="1">
      <alignment horizontal="left" vertical="top" wrapText="1"/>
    </xf>
    <xf numFmtId="0" fontId="16" fillId="13" borderId="245" xfId="0" applyFont="1" applyFill="1" applyBorder="1" applyAlignment="1">
      <alignment horizontal="left" vertical="top" wrapText="1"/>
    </xf>
    <xf numFmtId="0" fontId="16" fillId="13" borderId="159" xfId="0" applyFont="1" applyFill="1" applyBorder="1" applyAlignment="1">
      <alignment horizontal="left" vertical="top" wrapText="1"/>
    </xf>
    <xf numFmtId="0" fontId="61" fillId="13" borderId="159" xfId="0" applyFont="1" applyFill="1" applyBorder="1" applyAlignment="1">
      <alignment horizontal="left" vertical="top"/>
    </xf>
    <xf numFmtId="0" fontId="20" fillId="13" borderId="159" xfId="0" applyFont="1" applyFill="1" applyBorder="1" applyAlignment="1">
      <alignment horizontal="left" vertical="top"/>
    </xf>
    <xf numFmtId="0" fontId="53" fillId="13" borderId="159" xfId="0" applyFont="1" applyFill="1" applyBorder="1" applyAlignment="1">
      <alignment horizontal="left" vertical="top" wrapText="1"/>
    </xf>
    <xf numFmtId="0" fontId="0" fillId="0" borderId="108" xfId="0" applyBorder="1" applyAlignment="1" applyProtection="1">
      <alignment vertical="top" wrapText="1"/>
      <protection locked="0"/>
    </xf>
    <xf numFmtId="0" fontId="0" fillId="0" borderId="110" xfId="0" applyBorder="1" applyAlignment="1" applyProtection="1">
      <alignment vertical="top" wrapText="1"/>
      <protection locked="0"/>
    </xf>
    <xf numFmtId="0" fontId="0" fillId="0" borderId="164" xfId="0" applyBorder="1" applyAlignment="1" applyProtection="1">
      <alignment vertical="top" wrapText="1"/>
      <protection locked="0"/>
    </xf>
    <xf numFmtId="49" fontId="1" fillId="0" borderId="0" xfId="0" applyNumberFormat="1" applyFont="1" applyAlignment="1" applyProtection="1">
      <alignment horizontal="left" vertical="top" wrapText="1"/>
      <protection locked="0"/>
    </xf>
    <xf numFmtId="0" fontId="30" fillId="3" borderId="149" xfId="0" applyFont="1" applyFill="1" applyBorder="1" applyAlignment="1" applyProtection="1">
      <alignment vertical="top" wrapText="1"/>
      <protection locked="0"/>
    </xf>
    <xf numFmtId="0" fontId="17" fillId="0" borderId="158" xfId="0" applyFont="1" applyBorder="1" applyAlignment="1" applyProtection="1">
      <alignment horizontal="left" vertical="top" wrapText="1"/>
      <protection locked="0"/>
    </xf>
    <xf numFmtId="0" fontId="17" fillId="0" borderId="211" xfId="0" applyFont="1" applyBorder="1" applyAlignment="1" applyProtection="1">
      <alignment horizontal="left" vertical="top" wrapText="1"/>
      <protection locked="0"/>
    </xf>
    <xf numFmtId="0" fontId="1" fillId="13" borderId="218" xfId="0" applyFont="1" applyFill="1" applyBorder="1" applyAlignment="1">
      <alignment horizontal="left" vertical="top" wrapText="1"/>
    </xf>
    <xf numFmtId="0" fontId="32" fillId="0" borderId="108" xfId="0" applyFont="1" applyBorder="1" applyAlignment="1" applyProtection="1">
      <alignment horizontal="left" vertical="top"/>
      <protection locked="0"/>
    </xf>
    <xf numFmtId="0" fontId="8" fillId="3" borderId="96" xfId="0" applyFont="1" applyFill="1" applyBorder="1" applyAlignment="1">
      <alignment horizontal="left" vertical="top" wrapText="1"/>
    </xf>
    <xf numFmtId="0" fontId="32" fillId="0" borderId="205" xfId="0" applyFont="1" applyBorder="1" applyAlignment="1" applyProtection="1">
      <alignment horizontal="left" vertical="top"/>
      <protection locked="0"/>
    </xf>
    <xf numFmtId="0" fontId="1" fillId="13" borderId="86" xfId="0" applyFont="1" applyFill="1" applyBorder="1" applyAlignment="1">
      <alignment horizontal="left" vertical="top" wrapText="1"/>
    </xf>
    <xf numFmtId="0" fontId="1" fillId="3" borderId="306" xfId="0" applyFont="1" applyFill="1" applyBorder="1" applyAlignment="1">
      <alignment horizontal="right" vertical="top" wrapText="1"/>
    </xf>
    <xf numFmtId="0" fontId="1" fillId="13" borderId="72" xfId="0" applyFont="1" applyFill="1" applyBorder="1" applyAlignment="1">
      <alignment horizontal="left" vertical="top" wrapText="1"/>
    </xf>
    <xf numFmtId="0" fontId="1" fillId="13" borderId="223" xfId="0" applyFont="1" applyFill="1" applyBorder="1" applyAlignment="1">
      <alignment horizontal="left" vertical="top" wrapText="1"/>
    </xf>
    <xf numFmtId="0" fontId="1" fillId="0" borderId="174" xfId="0" applyFont="1" applyBorder="1" applyAlignment="1">
      <alignment horizontal="left" vertical="top" wrapText="1"/>
    </xf>
    <xf numFmtId="0" fontId="1" fillId="3" borderId="219" xfId="0" applyFont="1" applyFill="1" applyBorder="1" applyAlignment="1">
      <alignment horizontal="right" vertical="top" wrapText="1"/>
    </xf>
    <xf numFmtId="0" fontId="1" fillId="8" borderId="305" xfId="0" applyFont="1" applyFill="1" applyBorder="1" applyAlignment="1">
      <alignment horizontal="right" vertical="top" wrapText="1"/>
    </xf>
    <xf numFmtId="0" fontId="32" fillId="0" borderId="316" xfId="0" applyFont="1" applyBorder="1" applyAlignment="1" applyProtection="1">
      <alignment horizontal="left" vertical="top"/>
      <protection locked="0"/>
    </xf>
    <xf numFmtId="0" fontId="32" fillId="0" borderId="250" xfId="0" applyFont="1" applyBorder="1" applyAlignment="1" applyProtection="1">
      <alignment horizontal="left" vertical="top" wrapText="1"/>
      <protection locked="0"/>
    </xf>
    <xf numFmtId="0" fontId="32" fillId="0" borderId="107" xfId="0" applyFont="1" applyBorder="1" applyAlignment="1" applyProtection="1">
      <alignment horizontal="left" vertical="top" wrapText="1"/>
      <protection locked="0"/>
    </xf>
    <xf numFmtId="0" fontId="32" fillId="0" borderId="208" xfId="0" applyFont="1" applyBorder="1" applyAlignment="1" applyProtection="1">
      <alignment horizontal="left" vertical="top" wrapText="1"/>
      <protection locked="0"/>
    </xf>
    <xf numFmtId="0" fontId="32" fillId="0" borderId="112" xfId="0" applyFont="1" applyBorder="1" applyAlignment="1" applyProtection="1">
      <alignment horizontal="left" vertical="top" wrapText="1"/>
      <protection locked="0"/>
    </xf>
    <xf numFmtId="0" fontId="32" fillId="0" borderId="170" xfId="0" applyFont="1" applyBorder="1" applyAlignment="1" applyProtection="1">
      <alignment horizontal="left" vertical="top" wrapText="1"/>
      <protection locked="0"/>
    </xf>
    <xf numFmtId="0" fontId="32" fillId="0" borderId="174" xfId="0" applyFont="1" applyBorder="1" applyAlignment="1" applyProtection="1">
      <alignment horizontal="left" vertical="top"/>
      <protection locked="0"/>
    </xf>
    <xf numFmtId="0" fontId="32" fillId="0" borderId="206" xfId="0" applyFont="1" applyBorder="1" applyAlignment="1" applyProtection="1">
      <alignment horizontal="left" vertical="top"/>
      <protection locked="0"/>
    </xf>
    <xf numFmtId="0" fontId="32" fillId="0" borderId="204" xfId="0" applyFont="1" applyBorder="1" applyAlignment="1" applyProtection="1">
      <alignment horizontal="left" vertical="top"/>
      <protection locked="0"/>
    </xf>
    <xf numFmtId="0" fontId="32" fillId="0" borderId="244" xfId="0" applyFont="1" applyBorder="1" applyAlignment="1" applyProtection="1">
      <alignment horizontal="left" vertical="top"/>
      <protection locked="0"/>
    </xf>
    <xf numFmtId="0" fontId="8" fillId="13" borderId="91" xfId="0" applyFont="1" applyFill="1" applyBorder="1" applyAlignment="1">
      <alignment horizontal="left" vertical="top" wrapText="1"/>
    </xf>
    <xf numFmtId="0" fontId="8" fillId="8" borderId="42" xfId="0" applyFont="1" applyFill="1" applyBorder="1" applyAlignment="1">
      <alignment horizontal="left" vertical="top" wrapText="1"/>
    </xf>
    <xf numFmtId="0" fontId="1" fillId="8" borderId="306" xfId="0" applyFont="1" applyFill="1" applyBorder="1" applyAlignment="1">
      <alignment horizontal="left" vertical="top" wrapText="1"/>
    </xf>
    <xf numFmtId="49" fontId="32" fillId="13" borderId="93" xfId="0" applyNumberFormat="1" applyFont="1" applyFill="1" applyBorder="1" applyAlignment="1">
      <alignment horizontal="left" vertical="top" wrapText="1"/>
    </xf>
    <xf numFmtId="0" fontId="1" fillId="8" borderId="306" xfId="0" applyFont="1" applyFill="1" applyBorder="1" applyAlignment="1">
      <alignment horizontal="right" vertical="top" wrapText="1"/>
    </xf>
    <xf numFmtId="0" fontId="8" fillId="13" borderId="72" xfId="0" applyFont="1" applyFill="1" applyBorder="1" applyAlignment="1">
      <alignment horizontal="left" vertical="top" wrapText="1"/>
    </xf>
    <xf numFmtId="0" fontId="1" fillId="3" borderId="176" xfId="0" applyFont="1" applyFill="1" applyBorder="1" applyAlignment="1">
      <alignment horizontal="right" vertical="top" wrapText="1"/>
    </xf>
    <xf numFmtId="0" fontId="1" fillId="3" borderId="310" xfId="0" applyFont="1" applyFill="1" applyBorder="1" applyAlignment="1">
      <alignment horizontal="left" vertical="top" wrapText="1"/>
    </xf>
    <xf numFmtId="0" fontId="1" fillId="0" borderId="386" xfId="0" applyFont="1" applyBorder="1" applyAlignment="1" applyProtection="1">
      <alignment horizontal="left" vertical="top" wrapText="1"/>
      <protection locked="0"/>
    </xf>
    <xf numFmtId="0" fontId="1" fillId="0" borderId="615" xfId="0" applyFont="1" applyBorder="1" applyAlignment="1" applyProtection="1">
      <alignment horizontal="left" vertical="top" wrapText="1"/>
      <protection locked="0"/>
    </xf>
    <xf numFmtId="0" fontId="32" fillId="0" borderId="29" xfId="0" applyFont="1" applyBorder="1" applyAlignment="1" applyProtection="1">
      <alignment horizontal="left" vertical="top"/>
      <protection locked="0"/>
    </xf>
    <xf numFmtId="0" fontId="16" fillId="0" borderId="86" xfId="0" applyFont="1" applyBorder="1" applyAlignment="1" applyProtection="1">
      <alignment horizontal="left" vertical="top" wrapText="1"/>
      <protection locked="0"/>
    </xf>
    <xf numFmtId="0" fontId="16" fillId="0" borderId="122" xfId="0" applyFont="1" applyBorder="1" applyAlignment="1" applyProtection="1">
      <alignment horizontal="left" vertical="top" wrapText="1"/>
      <protection locked="0"/>
    </xf>
    <xf numFmtId="0" fontId="55" fillId="0" borderId="170" xfId="0" applyFont="1" applyBorder="1" applyAlignment="1" applyProtection="1">
      <alignment horizontal="left" vertical="top" wrapText="1"/>
      <protection locked="0"/>
    </xf>
    <xf numFmtId="0" fontId="1" fillId="13" borderId="122" xfId="0" applyFont="1" applyFill="1" applyBorder="1" applyAlignment="1">
      <alignment horizontal="left" vertical="top" wrapText="1"/>
    </xf>
    <xf numFmtId="0" fontId="1" fillId="13" borderId="360" xfId="0" applyFont="1" applyFill="1" applyBorder="1" applyAlignment="1">
      <alignment horizontal="left" vertical="top" wrapText="1"/>
    </xf>
    <xf numFmtId="0" fontId="1" fillId="3" borderId="349" xfId="0" applyFont="1" applyFill="1" applyBorder="1" applyAlignment="1">
      <alignment horizontal="left" vertical="top" wrapText="1"/>
    </xf>
    <xf numFmtId="0" fontId="1" fillId="3" borderId="325" xfId="0" applyFont="1" applyFill="1" applyBorder="1" applyAlignment="1">
      <alignment horizontal="left" vertical="top" wrapText="1"/>
    </xf>
    <xf numFmtId="0" fontId="1" fillId="3" borderId="447" xfId="0" applyFont="1" applyFill="1" applyBorder="1" applyAlignment="1">
      <alignment horizontal="left" vertical="top" wrapText="1"/>
    </xf>
    <xf numFmtId="0" fontId="1" fillId="13" borderId="29" xfId="0" applyFont="1" applyFill="1" applyBorder="1" applyAlignment="1">
      <alignment horizontal="left" vertical="top" wrapText="1"/>
    </xf>
    <xf numFmtId="0" fontId="1" fillId="13" borderId="23" xfId="0" applyFont="1" applyFill="1" applyBorder="1" applyAlignment="1">
      <alignment horizontal="left" vertical="top" wrapText="1"/>
    </xf>
    <xf numFmtId="0" fontId="8" fillId="8" borderId="253" xfId="0" applyFont="1" applyFill="1" applyBorder="1" applyAlignment="1">
      <alignment horizontal="left" vertical="top" wrapText="1"/>
    </xf>
    <xf numFmtId="49" fontId="32" fillId="13" borderId="88" xfId="0" applyNumberFormat="1" applyFont="1" applyFill="1" applyBorder="1" applyAlignment="1">
      <alignment horizontal="left" vertical="top" wrapText="1"/>
    </xf>
    <xf numFmtId="49" fontId="52" fillId="13" borderId="70" xfId="0" applyNumberFormat="1" applyFont="1" applyFill="1" applyBorder="1" applyAlignment="1">
      <alignment horizontal="left" vertical="top" wrapText="1"/>
    </xf>
    <xf numFmtId="49" fontId="32" fillId="13" borderId="593" xfId="0" applyNumberFormat="1" applyFont="1" applyFill="1" applyBorder="1" applyAlignment="1">
      <alignment horizontal="left" vertical="top" wrapText="1"/>
    </xf>
    <xf numFmtId="49" fontId="32" fillId="13" borderId="495" xfId="0" applyNumberFormat="1" applyFont="1" applyFill="1" applyBorder="1" applyAlignment="1">
      <alignment horizontal="left" vertical="top" wrapText="1"/>
    </xf>
    <xf numFmtId="0" fontId="1" fillId="3" borderId="256" xfId="0" applyFont="1" applyFill="1" applyBorder="1" applyAlignment="1">
      <alignment horizontal="left" vertical="top" wrapText="1"/>
    </xf>
    <xf numFmtId="0" fontId="1" fillId="8" borderId="308" xfId="0" applyFont="1" applyFill="1" applyBorder="1" applyAlignment="1">
      <alignment horizontal="left" vertical="top" wrapText="1"/>
    </xf>
    <xf numFmtId="49" fontId="32" fillId="13" borderId="496" xfId="0" applyNumberFormat="1" applyFont="1" applyFill="1" applyBorder="1" applyAlignment="1">
      <alignment horizontal="left" vertical="top" wrapText="1"/>
    </xf>
    <xf numFmtId="0" fontId="8" fillId="3" borderId="255" xfId="0" applyFont="1" applyFill="1" applyBorder="1" applyAlignment="1">
      <alignment horizontal="left" vertical="top" wrapText="1"/>
    </xf>
    <xf numFmtId="0" fontId="8" fillId="13" borderId="126" xfId="0" applyFont="1" applyFill="1" applyBorder="1" applyAlignment="1">
      <alignment horizontal="left" vertical="top" wrapText="1"/>
    </xf>
    <xf numFmtId="0" fontId="1" fillId="8" borderId="305" xfId="0" applyFont="1" applyFill="1" applyBorder="1" applyAlignment="1">
      <alignment horizontal="left" vertical="top" wrapText="1"/>
    </xf>
    <xf numFmtId="49" fontId="32" fillId="13" borderId="162" xfId="0" applyNumberFormat="1" applyFont="1" applyFill="1" applyBorder="1" applyAlignment="1">
      <alignment horizontal="left" vertical="top" wrapText="1"/>
    </xf>
    <xf numFmtId="49" fontId="32" fillId="13" borderId="497" xfId="0" applyNumberFormat="1" applyFont="1" applyFill="1" applyBorder="1" applyAlignment="1">
      <alignment horizontal="left" vertical="top" wrapText="1"/>
    </xf>
    <xf numFmtId="0" fontId="1" fillId="8" borderId="309" xfId="0" applyFont="1" applyFill="1" applyBorder="1" applyAlignment="1">
      <alignment horizontal="left" vertical="top" wrapText="1"/>
    </xf>
    <xf numFmtId="0" fontId="1" fillId="8" borderId="263" xfId="0" applyFont="1" applyFill="1" applyBorder="1" applyAlignment="1">
      <alignment horizontal="left" vertical="top" wrapText="1"/>
    </xf>
    <xf numFmtId="0" fontId="1" fillId="3" borderId="286" xfId="0" applyFont="1" applyFill="1" applyBorder="1" applyAlignment="1">
      <alignment horizontal="left" vertical="top" wrapText="1"/>
    </xf>
    <xf numFmtId="0" fontId="1" fillId="3" borderId="287" xfId="0" applyFont="1" applyFill="1" applyBorder="1" applyAlignment="1">
      <alignment horizontal="left" vertical="top" wrapText="1"/>
    </xf>
    <xf numFmtId="0" fontId="1" fillId="8" borderId="288" xfId="0" applyFont="1" applyFill="1" applyBorder="1" applyAlignment="1">
      <alignment horizontal="left" vertical="top" wrapText="1"/>
    </xf>
    <xf numFmtId="0" fontId="1" fillId="8" borderId="229" xfId="0" applyFont="1" applyFill="1" applyBorder="1" applyAlignment="1">
      <alignment horizontal="left" vertical="top" wrapText="1"/>
    </xf>
    <xf numFmtId="0" fontId="1" fillId="13" borderId="194" xfId="0" applyFont="1" applyFill="1" applyBorder="1" applyAlignment="1">
      <alignment horizontal="left" vertical="top" wrapText="1"/>
    </xf>
    <xf numFmtId="0" fontId="1" fillId="3" borderId="279" xfId="0" applyFont="1" applyFill="1" applyBorder="1" applyAlignment="1">
      <alignment horizontal="left" vertical="top" wrapText="1"/>
    </xf>
    <xf numFmtId="0" fontId="1" fillId="13" borderId="335" xfId="0" applyFont="1" applyFill="1" applyBorder="1" applyAlignment="1">
      <alignment horizontal="left" vertical="top" wrapText="1"/>
    </xf>
    <xf numFmtId="0" fontId="1" fillId="8" borderId="278" xfId="0" applyFont="1" applyFill="1" applyBorder="1" applyAlignment="1">
      <alignment horizontal="left" vertical="top" wrapText="1"/>
    </xf>
    <xf numFmtId="0" fontId="1" fillId="13" borderId="216" xfId="0" applyFont="1" applyFill="1" applyBorder="1" applyAlignment="1">
      <alignment horizontal="left" vertical="top" wrapText="1"/>
    </xf>
    <xf numFmtId="0" fontId="1" fillId="13" borderId="317" xfId="0" applyFont="1" applyFill="1" applyBorder="1" applyAlignment="1">
      <alignment horizontal="left" vertical="top" wrapText="1"/>
    </xf>
    <xf numFmtId="0" fontId="1" fillId="3" borderId="68" xfId="0" applyFont="1" applyFill="1" applyBorder="1" applyAlignment="1">
      <alignment horizontal="left" vertical="top" wrapText="1"/>
    </xf>
    <xf numFmtId="0" fontId="1" fillId="8" borderId="298" xfId="0" applyFont="1" applyFill="1" applyBorder="1" applyAlignment="1">
      <alignment horizontal="left" vertical="top" wrapText="1"/>
    </xf>
    <xf numFmtId="0" fontId="1" fillId="8" borderId="291" xfId="0" applyFont="1" applyFill="1" applyBorder="1" applyAlignment="1">
      <alignment horizontal="left" vertical="top" wrapText="1"/>
    </xf>
    <xf numFmtId="0" fontId="1" fillId="13" borderId="337" xfId="0" applyFont="1" applyFill="1" applyBorder="1" applyAlignment="1">
      <alignment horizontal="left" vertical="top" wrapText="1"/>
    </xf>
    <xf numFmtId="0" fontId="1" fillId="13" borderId="297" xfId="0" applyFont="1" applyFill="1" applyBorder="1" applyAlignment="1">
      <alignment horizontal="left" vertical="top" wrapText="1"/>
    </xf>
    <xf numFmtId="0" fontId="1" fillId="8" borderId="226" xfId="0" applyFont="1" applyFill="1" applyBorder="1" applyAlignment="1">
      <alignment horizontal="left" vertical="top" wrapText="1"/>
    </xf>
    <xf numFmtId="0" fontId="1" fillId="13" borderId="528" xfId="0" applyFont="1" applyFill="1" applyBorder="1" applyAlignment="1">
      <alignment horizontal="left" vertical="top" wrapText="1"/>
    </xf>
    <xf numFmtId="0" fontId="1" fillId="13" borderId="338" xfId="0" applyFont="1" applyFill="1" applyBorder="1" applyAlignment="1">
      <alignment horizontal="left" vertical="top" wrapText="1"/>
    </xf>
    <xf numFmtId="0" fontId="1" fillId="8" borderId="293" xfId="0" applyFont="1" applyFill="1" applyBorder="1" applyAlignment="1">
      <alignment horizontal="left" vertical="top" wrapText="1"/>
    </xf>
    <xf numFmtId="0" fontId="1" fillId="3" borderId="300" xfId="0" applyFont="1" applyFill="1" applyBorder="1" applyAlignment="1">
      <alignment horizontal="left" vertical="top" wrapText="1"/>
    </xf>
    <xf numFmtId="0" fontId="1" fillId="13" borderId="248" xfId="0" applyFont="1" applyFill="1" applyBorder="1" applyAlignment="1">
      <alignment horizontal="left" vertical="top" wrapText="1"/>
    </xf>
    <xf numFmtId="0" fontId="1" fillId="3" borderId="294" xfId="0" applyFont="1" applyFill="1" applyBorder="1" applyAlignment="1">
      <alignment horizontal="left" vertical="top" wrapText="1"/>
    </xf>
    <xf numFmtId="0" fontId="1" fillId="13" borderId="408" xfId="0" applyFont="1" applyFill="1" applyBorder="1" applyAlignment="1">
      <alignment horizontal="left" vertical="top" wrapText="1"/>
    </xf>
    <xf numFmtId="0" fontId="8" fillId="8" borderId="263" xfId="0" applyFont="1" applyFill="1" applyBorder="1" applyAlignment="1">
      <alignment horizontal="left" vertical="top" wrapText="1"/>
    </xf>
    <xf numFmtId="0" fontId="8" fillId="13" borderId="272" xfId="0" applyFont="1" applyFill="1" applyBorder="1" applyAlignment="1">
      <alignment horizontal="left" vertical="top" wrapText="1"/>
    </xf>
    <xf numFmtId="0" fontId="8" fillId="8" borderId="278" xfId="0" applyFont="1" applyFill="1" applyBorder="1" applyAlignment="1">
      <alignment horizontal="left" vertical="top" wrapText="1"/>
    </xf>
    <xf numFmtId="0" fontId="8" fillId="13" borderId="547" xfId="0" applyFont="1" applyFill="1" applyBorder="1" applyAlignment="1">
      <alignment horizontal="left" vertical="top" wrapText="1"/>
    </xf>
    <xf numFmtId="0" fontId="1" fillId="8" borderId="297" xfId="0" applyFont="1" applyFill="1" applyBorder="1" applyAlignment="1">
      <alignment horizontal="left" vertical="top" wrapText="1"/>
    </xf>
    <xf numFmtId="0" fontId="1" fillId="13" borderId="511" xfId="0" applyFont="1" applyFill="1" applyBorder="1" applyAlignment="1">
      <alignment horizontal="left" vertical="top" wrapText="1"/>
    </xf>
    <xf numFmtId="0" fontId="1" fillId="13" borderId="336" xfId="0" applyFont="1" applyFill="1" applyBorder="1" applyAlignment="1">
      <alignment horizontal="left" vertical="top" wrapText="1"/>
    </xf>
    <xf numFmtId="0" fontId="1" fillId="13" borderId="565" xfId="0" applyFont="1" applyFill="1" applyBorder="1" applyAlignment="1">
      <alignment horizontal="left" vertical="top" wrapText="1"/>
    </xf>
    <xf numFmtId="0" fontId="1" fillId="3" borderId="295" xfId="0" applyFont="1" applyFill="1" applyBorder="1" applyAlignment="1">
      <alignment horizontal="left" vertical="top" wrapText="1"/>
    </xf>
    <xf numFmtId="0" fontId="1" fillId="13" borderId="296" xfId="0" applyFont="1" applyFill="1" applyBorder="1" applyAlignment="1">
      <alignment horizontal="left" vertical="top" wrapText="1"/>
    </xf>
    <xf numFmtId="0" fontId="1" fillId="13" borderId="345" xfId="0" applyFont="1" applyFill="1" applyBorder="1" applyAlignment="1">
      <alignment horizontal="left" vertical="top" wrapText="1"/>
    </xf>
    <xf numFmtId="0" fontId="1" fillId="3" borderId="587" xfId="0" applyFont="1" applyFill="1" applyBorder="1" applyAlignment="1">
      <alignment horizontal="left" vertical="top" wrapText="1"/>
    </xf>
    <xf numFmtId="0" fontId="1" fillId="0" borderId="339" xfId="0" applyFont="1" applyBorder="1" applyAlignment="1">
      <alignment horizontal="left" vertical="top" wrapText="1"/>
    </xf>
    <xf numFmtId="0" fontId="1" fillId="0" borderId="278" xfId="0" applyFont="1" applyBorder="1" applyAlignment="1">
      <alignment horizontal="left" vertical="top" wrapText="1"/>
    </xf>
    <xf numFmtId="0" fontId="1" fillId="8" borderId="42" xfId="0" applyFont="1" applyFill="1" applyBorder="1" applyAlignment="1">
      <alignment horizontal="left" vertical="top" wrapText="1"/>
    </xf>
    <xf numFmtId="0" fontId="8" fillId="0" borderId="393" xfId="0" applyFont="1" applyBorder="1" applyAlignment="1">
      <alignment horizontal="left" vertical="top" wrapText="1"/>
    </xf>
    <xf numFmtId="0" fontId="8" fillId="0" borderId="412" xfId="0" applyFont="1" applyBorder="1" applyAlignment="1">
      <alignment horizontal="left" vertical="top" wrapText="1"/>
    </xf>
    <xf numFmtId="0" fontId="8" fillId="13" borderId="412" xfId="0" applyFont="1" applyFill="1" applyBorder="1" applyAlignment="1">
      <alignment horizontal="left" vertical="top" wrapText="1"/>
    </xf>
    <xf numFmtId="0" fontId="1" fillId="8" borderId="516" xfId="0" applyFont="1" applyFill="1" applyBorder="1" applyAlignment="1">
      <alignment horizontal="left" vertical="top" wrapText="1"/>
    </xf>
    <xf numFmtId="0" fontId="1" fillId="0" borderId="342" xfId="0" applyFont="1" applyBorder="1" applyAlignment="1">
      <alignment horizontal="left" vertical="top" wrapText="1"/>
    </xf>
    <xf numFmtId="0" fontId="1" fillId="0" borderId="276" xfId="0" applyFont="1" applyBorder="1" applyAlignment="1">
      <alignment horizontal="left" vertical="top" wrapText="1"/>
    </xf>
    <xf numFmtId="0" fontId="1" fillId="13" borderId="579" xfId="0" applyFont="1" applyFill="1" applyBorder="1" applyAlignment="1">
      <alignment horizontal="left" vertical="top" wrapText="1"/>
    </xf>
    <xf numFmtId="0" fontId="1" fillId="13" borderId="276" xfId="0" applyFont="1" applyFill="1" applyBorder="1" applyAlignment="1">
      <alignment horizontal="left" vertical="top" wrapText="1"/>
    </xf>
    <xf numFmtId="0" fontId="1" fillId="8" borderId="16" xfId="0" applyFont="1" applyFill="1" applyBorder="1" applyAlignment="1">
      <alignment horizontal="left" vertical="top" wrapText="1"/>
    </xf>
    <xf numFmtId="0" fontId="1" fillId="0" borderId="414" xfId="0" applyFont="1" applyBorder="1" applyAlignment="1">
      <alignment horizontal="left" vertical="top" wrapText="1"/>
    </xf>
    <xf numFmtId="0" fontId="8" fillId="8" borderId="70" xfId="0" applyFont="1" applyFill="1" applyBorder="1" applyAlignment="1">
      <alignment horizontal="left" vertical="top" wrapText="1"/>
    </xf>
    <xf numFmtId="0" fontId="8" fillId="8" borderId="409" xfId="0" applyFont="1" applyFill="1" applyBorder="1" applyAlignment="1">
      <alignment horizontal="left" vertical="top" wrapText="1"/>
    </xf>
    <xf numFmtId="0" fontId="1" fillId="8" borderId="487" xfId="0" applyFont="1" applyFill="1" applyBorder="1" applyAlignment="1">
      <alignment horizontal="left" vertical="top" wrapText="1"/>
    </xf>
    <xf numFmtId="0" fontId="1" fillId="0" borderId="358" xfId="0" applyFont="1" applyBorder="1" applyAlignment="1">
      <alignment horizontal="left" vertical="top" wrapText="1"/>
    </xf>
    <xf numFmtId="0" fontId="1" fillId="13" borderId="253" xfId="0" applyFont="1" applyFill="1" applyBorder="1" applyAlignment="1">
      <alignment horizontal="left" vertical="top" wrapText="1"/>
    </xf>
    <xf numFmtId="0" fontId="1" fillId="0" borderId="393" xfId="0" applyFont="1" applyBorder="1" applyAlignment="1">
      <alignment horizontal="left" vertical="top" wrapText="1"/>
    </xf>
    <xf numFmtId="0" fontId="1" fillId="0" borderId="412" xfId="0" applyFont="1" applyBorder="1" applyAlignment="1">
      <alignment horizontal="left" vertical="top" wrapText="1"/>
    </xf>
    <xf numFmtId="0" fontId="1" fillId="13" borderId="412" xfId="0" applyFont="1" applyFill="1" applyBorder="1" applyAlignment="1">
      <alignment horizontal="left" vertical="top" wrapText="1"/>
    </xf>
    <xf numFmtId="0" fontId="1" fillId="0" borderId="280" xfId="0" applyFont="1" applyBorder="1" applyAlignment="1">
      <alignment horizontal="left" vertical="top" wrapText="1"/>
    </xf>
    <xf numFmtId="0" fontId="1" fillId="0" borderId="178" xfId="0" applyFont="1" applyBorder="1" applyAlignment="1">
      <alignment horizontal="left" vertical="top" wrapText="1"/>
    </xf>
    <xf numFmtId="0" fontId="32" fillId="0" borderId="178" xfId="0" applyFont="1" applyBorder="1" applyAlignment="1">
      <alignment horizontal="left" vertical="top"/>
    </xf>
    <xf numFmtId="0" fontId="1" fillId="13" borderId="580" xfId="0" applyFont="1" applyFill="1" applyBorder="1" applyAlignment="1">
      <alignment horizontal="left" vertical="top" wrapText="1"/>
    </xf>
    <xf numFmtId="0" fontId="1" fillId="0" borderId="591" xfId="0" applyFont="1" applyBorder="1" applyAlignment="1">
      <alignment horizontal="left" vertical="top" wrapText="1"/>
    </xf>
    <xf numFmtId="0" fontId="1" fillId="0" borderId="583" xfId="0" applyFont="1" applyBorder="1" applyAlignment="1">
      <alignment horizontal="left" vertical="top" wrapText="1"/>
    </xf>
    <xf numFmtId="0" fontId="32" fillId="0" borderId="583" xfId="0" applyFont="1" applyBorder="1" applyAlignment="1">
      <alignment horizontal="left" vertical="top"/>
    </xf>
    <xf numFmtId="0" fontId="32" fillId="0" borderId="263" xfId="0" applyFont="1" applyBorder="1" applyAlignment="1">
      <alignment horizontal="left" vertical="top"/>
    </xf>
    <xf numFmtId="0" fontId="1" fillId="0" borderId="289" xfId="0" applyFont="1" applyBorder="1" applyAlignment="1">
      <alignment horizontal="left" vertical="top" wrapText="1"/>
    </xf>
    <xf numFmtId="0" fontId="1" fillId="0" borderId="179" xfId="0" applyFont="1" applyBorder="1" applyAlignment="1">
      <alignment horizontal="left" vertical="top" wrapText="1"/>
    </xf>
    <xf numFmtId="0" fontId="32" fillId="0" borderId="179" xfId="0" applyFont="1" applyBorder="1" applyAlignment="1">
      <alignment horizontal="left" vertical="top"/>
    </xf>
    <xf numFmtId="0" fontId="1" fillId="13" borderId="179" xfId="0" applyFont="1" applyFill="1" applyBorder="1" applyAlignment="1">
      <alignment horizontal="left" vertical="top" wrapText="1"/>
    </xf>
    <xf numFmtId="0" fontId="1" fillId="0" borderId="332" xfId="0" applyFont="1" applyBorder="1" applyAlignment="1">
      <alignment horizontal="left" vertical="top" wrapText="1"/>
    </xf>
    <xf numFmtId="0" fontId="1" fillId="0" borderId="268" xfId="0" applyFont="1" applyBorder="1" applyAlignment="1">
      <alignment horizontal="left" vertical="top" wrapText="1"/>
    </xf>
    <xf numFmtId="0" fontId="1" fillId="13" borderId="268" xfId="0" applyFont="1" applyFill="1" applyBorder="1" applyAlignment="1">
      <alignment horizontal="left" vertical="top" wrapText="1"/>
    </xf>
    <xf numFmtId="0" fontId="1" fillId="13" borderId="427" xfId="0" applyFont="1" applyFill="1" applyBorder="1" applyAlignment="1">
      <alignment horizontal="left" vertical="top" wrapText="1"/>
    </xf>
    <xf numFmtId="0" fontId="52" fillId="13" borderId="191" xfId="0" applyFont="1" applyFill="1" applyBorder="1" applyAlignment="1">
      <alignment horizontal="left" vertical="top" wrapText="1"/>
    </xf>
    <xf numFmtId="0" fontId="8" fillId="0" borderId="169" xfId="0" applyFont="1" applyBorder="1" applyAlignment="1">
      <alignment horizontal="left" vertical="top" wrapText="1"/>
    </xf>
    <xf numFmtId="0" fontId="32" fillId="13" borderId="191" xfId="0" applyFont="1" applyFill="1" applyBorder="1" applyAlignment="1">
      <alignment horizontal="left" vertical="top" wrapText="1"/>
    </xf>
    <xf numFmtId="0" fontId="32" fillId="13" borderId="199" xfId="0" applyFont="1" applyFill="1" applyBorder="1" applyAlignment="1">
      <alignment horizontal="left" vertical="top" wrapText="1"/>
    </xf>
    <xf numFmtId="0" fontId="32" fillId="13" borderId="108" xfId="0" applyFont="1" applyFill="1" applyBorder="1" applyAlignment="1">
      <alignment horizontal="left" vertical="top" wrapText="1"/>
    </xf>
    <xf numFmtId="0" fontId="0" fillId="0" borderId="159" xfId="0" applyBorder="1" applyAlignment="1" applyProtection="1">
      <alignment horizontal="left" vertical="top" wrapText="1"/>
      <protection locked="0"/>
    </xf>
    <xf numFmtId="0" fontId="1" fillId="0" borderId="231" xfId="0" applyFont="1" applyBorder="1" applyAlignment="1" applyProtection="1">
      <alignment vertical="top" wrapText="1"/>
      <protection locked="0"/>
    </xf>
    <xf numFmtId="0" fontId="1" fillId="0" borderId="238" xfId="0" applyFont="1" applyBorder="1" applyAlignment="1" applyProtection="1">
      <alignment vertical="top" wrapText="1"/>
      <protection locked="0"/>
    </xf>
    <xf numFmtId="0" fontId="7" fillId="0" borderId="212" xfId="0" applyFont="1" applyBorder="1" applyAlignment="1" applyProtection="1">
      <alignment horizontal="left" vertical="top"/>
      <protection locked="0"/>
    </xf>
    <xf numFmtId="0" fontId="0" fillId="0" borderId="212" xfId="0" applyBorder="1" applyAlignment="1" applyProtection="1">
      <alignment horizontal="left" vertical="top"/>
      <protection locked="0"/>
    </xf>
    <xf numFmtId="0" fontId="7" fillId="0" borderId="168" xfId="0" applyFont="1" applyBorder="1" applyAlignment="1" applyProtection="1">
      <alignment horizontal="left" vertical="top"/>
      <protection locked="0"/>
    </xf>
    <xf numFmtId="0" fontId="0" fillId="0" borderId="192" xfId="0" applyBorder="1" applyAlignment="1" applyProtection="1">
      <alignment horizontal="left" vertical="top"/>
      <protection locked="0"/>
    </xf>
    <xf numFmtId="0" fontId="32" fillId="0" borderId="162" xfId="0" applyFont="1" applyBorder="1" applyAlignment="1" applyProtection="1">
      <alignment vertical="top"/>
      <protection locked="0"/>
    </xf>
    <xf numFmtId="0" fontId="32" fillId="0" borderId="172" xfId="0" applyFont="1" applyBorder="1" applyAlignment="1" applyProtection="1">
      <alignment vertical="top"/>
      <protection locked="0"/>
    </xf>
    <xf numFmtId="0" fontId="1" fillId="0" borderId="204" xfId="0" applyFont="1" applyBorder="1" applyAlignment="1" applyProtection="1">
      <alignment vertical="top" wrapText="1"/>
      <protection locked="0"/>
    </xf>
    <xf numFmtId="0" fontId="1" fillId="0" borderId="206" xfId="0" applyFont="1" applyBorder="1" applyAlignment="1" applyProtection="1">
      <alignment vertical="top" wrapText="1"/>
      <protection locked="0"/>
    </xf>
    <xf numFmtId="0" fontId="7" fillId="0" borderId="72" xfId="0" applyFont="1" applyBorder="1" applyAlignment="1" applyProtection="1">
      <alignment horizontal="left" vertical="top"/>
      <protection locked="0"/>
    </xf>
    <xf numFmtId="0" fontId="27" fillId="0" borderId="199" xfId="0" applyFont="1" applyBorder="1" applyAlignment="1" applyProtection="1">
      <alignment horizontal="left" vertical="top"/>
      <protection locked="0"/>
    </xf>
    <xf numFmtId="0" fontId="27" fillId="0" borderId="108" xfId="0" applyFont="1" applyBorder="1" applyAlignment="1" applyProtection="1">
      <alignment horizontal="left" vertical="top"/>
      <protection locked="0"/>
    </xf>
    <xf numFmtId="0" fontId="27" fillId="0" borderId="204" xfId="0" applyFont="1" applyBorder="1" applyAlignment="1" applyProtection="1">
      <alignment horizontal="left" vertical="top"/>
      <protection locked="0"/>
    </xf>
    <xf numFmtId="0" fontId="28" fillId="0" borderId="0" xfId="0" applyFont="1" applyAlignment="1" applyProtection="1">
      <alignment horizontal="left" vertical="top"/>
      <protection locked="0"/>
    </xf>
    <xf numFmtId="0" fontId="17" fillId="0" borderId="43" xfId="0" applyFont="1" applyBorder="1" applyAlignment="1" applyProtection="1">
      <alignment horizontal="left" vertical="top" wrapText="1"/>
      <protection locked="0"/>
    </xf>
    <xf numFmtId="0" fontId="8" fillId="0" borderId="563" xfId="0" applyFont="1" applyBorder="1" applyAlignment="1" applyProtection="1">
      <alignment horizontal="left" vertical="top" wrapText="1"/>
      <protection locked="0"/>
    </xf>
    <xf numFmtId="0" fontId="17" fillId="0" borderId="32" xfId="0" applyFont="1" applyBorder="1" applyAlignment="1" applyProtection="1">
      <alignment horizontal="left" vertical="top" wrapText="1"/>
      <protection locked="0"/>
    </xf>
    <xf numFmtId="0" fontId="16" fillId="0" borderId="55" xfId="0" applyFont="1" applyBorder="1" applyAlignment="1" applyProtection="1">
      <alignment horizontal="left" vertical="top" wrapText="1"/>
      <protection locked="0"/>
    </xf>
    <xf numFmtId="0" fontId="16" fillId="0" borderId="410" xfId="0" applyFont="1" applyBorder="1" applyAlignment="1" applyProtection="1">
      <alignment horizontal="left" vertical="top" wrapText="1"/>
      <protection locked="0"/>
    </xf>
    <xf numFmtId="0" fontId="16" fillId="0" borderId="363" xfId="0" applyFont="1" applyBorder="1" applyAlignment="1" applyProtection="1">
      <alignment horizontal="left" vertical="top" wrapText="1"/>
      <protection locked="0"/>
    </xf>
    <xf numFmtId="0" fontId="16" fillId="0" borderId="361" xfId="0" applyFont="1" applyBorder="1" applyAlignment="1" applyProtection="1">
      <alignment horizontal="left" vertical="top" wrapText="1"/>
      <protection locked="0"/>
    </xf>
    <xf numFmtId="0" fontId="3" fillId="0" borderId="363" xfId="0" applyFont="1" applyBorder="1" applyAlignment="1" applyProtection="1">
      <alignment horizontal="left" vertical="top" wrapText="1"/>
      <protection locked="0"/>
    </xf>
    <xf numFmtId="0" fontId="3" fillId="0" borderId="361" xfId="0" applyFont="1" applyBorder="1" applyAlignment="1" applyProtection="1">
      <alignment horizontal="left" vertical="top" wrapText="1"/>
      <protection locked="0"/>
    </xf>
    <xf numFmtId="0" fontId="14" fillId="0" borderId="244" xfId="0" applyFont="1" applyBorder="1" applyAlignment="1" applyProtection="1">
      <alignment horizontal="left" vertical="top" wrapText="1"/>
      <protection locked="0"/>
    </xf>
    <xf numFmtId="0" fontId="14" fillId="6" borderId="191" xfId="0" applyFont="1" applyFill="1" applyBorder="1" applyAlignment="1" applyProtection="1">
      <alignment horizontal="left" vertical="top" wrapText="1"/>
      <protection locked="0"/>
    </xf>
    <xf numFmtId="0" fontId="14" fillId="6" borderId="192" xfId="0" applyFont="1" applyFill="1" applyBorder="1" applyAlignment="1" applyProtection="1">
      <alignment horizontal="left" vertical="top" wrapText="1"/>
      <protection locked="0"/>
    </xf>
    <xf numFmtId="0" fontId="28" fillId="6" borderId="0" xfId="0" applyFont="1" applyFill="1" applyAlignment="1" applyProtection="1">
      <alignment horizontal="left" vertical="top"/>
      <protection locked="0"/>
    </xf>
    <xf numFmtId="0" fontId="22" fillId="0" borderId="115" xfId="0" applyFont="1" applyBorder="1" applyAlignment="1" applyProtection="1">
      <alignment horizontal="left" vertical="top"/>
      <protection locked="0"/>
    </xf>
    <xf numFmtId="0" fontId="29" fillId="0" borderId="192" xfId="0" applyFont="1" applyBorder="1" applyAlignment="1" applyProtection="1">
      <alignment horizontal="left" vertical="top"/>
      <protection locked="0"/>
    </xf>
    <xf numFmtId="0" fontId="29" fillId="0" borderId="191" xfId="0" applyFont="1" applyBorder="1" applyAlignment="1" applyProtection="1">
      <alignment horizontal="left" vertical="top"/>
      <protection locked="0"/>
    </xf>
    <xf numFmtId="49" fontId="32" fillId="0" borderId="112" xfId="0" applyNumberFormat="1" applyFont="1" applyBorder="1" applyAlignment="1" applyProtection="1">
      <alignment horizontal="left" vertical="top" wrapText="1"/>
      <protection locked="0"/>
    </xf>
    <xf numFmtId="49" fontId="1" fillId="0" borderId="112" xfId="0" applyNumberFormat="1" applyFont="1" applyBorder="1" applyAlignment="1" applyProtection="1">
      <alignment horizontal="left" vertical="top" wrapText="1"/>
      <protection locked="0"/>
    </xf>
    <xf numFmtId="0" fontId="32" fillId="0" borderId="43" xfId="0" applyFont="1" applyBorder="1" applyAlignment="1" applyProtection="1">
      <alignment horizontal="left" vertical="top" wrapText="1"/>
      <protection locked="0"/>
    </xf>
    <xf numFmtId="0" fontId="0" fillId="0" borderId="451" xfId="0" applyBorder="1" applyAlignment="1" applyProtection="1">
      <alignment horizontal="left" vertical="top"/>
      <protection locked="0"/>
    </xf>
    <xf numFmtId="0" fontId="29" fillId="0" borderId="449" xfId="0" applyFont="1" applyBorder="1" applyAlignment="1" applyProtection="1">
      <alignment horizontal="left" vertical="top" wrapText="1"/>
      <protection locked="0"/>
    </xf>
    <xf numFmtId="0" fontId="17" fillId="0" borderId="450" xfId="0" applyFont="1"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1" fillId="13" borderId="406" xfId="0" applyFont="1" applyFill="1" applyBorder="1" applyAlignment="1">
      <alignment horizontal="left" vertical="top" wrapText="1"/>
    </xf>
    <xf numFmtId="0" fontId="1" fillId="13" borderId="407" xfId="0" applyFont="1" applyFill="1" applyBorder="1" applyAlignment="1">
      <alignment horizontal="left" vertical="top" wrapText="1"/>
    </xf>
    <xf numFmtId="0" fontId="17" fillId="13" borderId="42" xfId="0" applyFont="1" applyFill="1" applyBorder="1" applyAlignment="1">
      <alignment horizontal="left" vertical="top" wrapText="1"/>
    </xf>
    <xf numFmtId="0" fontId="1" fillId="13" borderId="461" xfId="0" applyFont="1" applyFill="1" applyBorder="1" applyAlignment="1">
      <alignment horizontal="left" vertical="top" wrapText="1"/>
    </xf>
    <xf numFmtId="0" fontId="1" fillId="13" borderId="347" xfId="0" applyFont="1" applyFill="1" applyBorder="1" applyAlignment="1">
      <alignment horizontal="left" vertical="top" wrapText="1"/>
    </xf>
    <xf numFmtId="0" fontId="1" fillId="13" borderId="467" xfId="0" applyFont="1" applyFill="1" applyBorder="1" applyAlignment="1">
      <alignment horizontal="left" vertical="top" wrapText="1"/>
    </xf>
    <xf numFmtId="0" fontId="14" fillId="3" borderId="158" xfId="0" applyFont="1" applyFill="1" applyBorder="1" applyAlignment="1">
      <alignment horizontal="left" vertical="top" wrapText="1"/>
    </xf>
    <xf numFmtId="0" fontId="14" fillId="13" borderId="169" xfId="0" applyFont="1" applyFill="1" applyBorder="1" applyAlignment="1">
      <alignment horizontal="left" vertical="top" wrapText="1"/>
    </xf>
    <xf numFmtId="0" fontId="14" fillId="13" borderId="159" xfId="0" applyFont="1" applyFill="1" applyBorder="1" applyAlignment="1">
      <alignment horizontal="left" vertical="top" wrapText="1"/>
    </xf>
    <xf numFmtId="0" fontId="59" fillId="13" borderId="159" xfId="0" applyFont="1" applyFill="1" applyBorder="1" applyAlignment="1">
      <alignment horizontal="left" vertical="top" wrapText="1"/>
    </xf>
    <xf numFmtId="0" fontId="14" fillId="13" borderId="212" xfId="0" applyFont="1" applyFill="1" applyBorder="1" applyAlignment="1">
      <alignment horizontal="left" vertical="top" wrapText="1"/>
    </xf>
    <xf numFmtId="0" fontId="1" fillId="13" borderId="559" xfId="0" applyFont="1" applyFill="1" applyBorder="1" applyAlignment="1">
      <alignment horizontal="left" vertical="top" wrapText="1"/>
    </xf>
    <xf numFmtId="0" fontId="1" fillId="13" borderId="146" xfId="0" applyFont="1" applyFill="1" applyBorder="1" applyAlignment="1">
      <alignment horizontal="left" vertical="top" wrapText="1"/>
    </xf>
    <xf numFmtId="0" fontId="1" fillId="13" borderId="527" xfId="0" applyFont="1" applyFill="1" applyBorder="1" applyAlignment="1">
      <alignment horizontal="left" vertical="top" wrapText="1"/>
    </xf>
    <xf numFmtId="0" fontId="30" fillId="8" borderId="452" xfId="0" applyFont="1" applyFill="1" applyBorder="1" applyAlignment="1">
      <alignment horizontal="left" vertical="top" wrapText="1"/>
    </xf>
    <xf numFmtId="0" fontId="30" fillId="13" borderId="453" xfId="0" applyFont="1" applyFill="1" applyBorder="1" applyAlignment="1">
      <alignment horizontal="left" vertical="top" wrapText="1"/>
    </xf>
    <xf numFmtId="0" fontId="30" fillId="3" borderId="158" xfId="0" applyFont="1" applyFill="1" applyBorder="1" applyAlignment="1">
      <alignment horizontal="left" vertical="top" wrapText="1"/>
    </xf>
    <xf numFmtId="0" fontId="14" fillId="13" borderId="514" xfId="0" applyFont="1" applyFill="1" applyBorder="1" applyAlignment="1">
      <alignment horizontal="left" vertical="top" wrapText="1"/>
    </xf>
    <xf numFmtId="0" fontId="30" fillId="13" borderId="42" xfId="0" applyFont="1" applyFill="1" applyBorder="1" applyAlignment="1">
      <alignment horizontal="left" vertical="top" wrapText="1"/>
    </xf>
    <xf numFmtId="0" fontId="30" fillId="13" borderId="393" xfId="0" applyFont="1" applyFill="1" applyBorder="1" applyAlignment="1">
      <alignment horizontal="left" vertical="top" wrapText="1"/>
    </xf>
    <xf numFmtId="0" fontId="30" fillId="13" borderId="412" xfId="0" applyFont="1" applyFill="1" applyBorder="1" applyAlignment="1">
      <alignment horizontal="left" vertical="top" wrapText="1"/>
    </xf>
    <xf numFmtId="0" fontId="30" fillId="13" borderId="516" xfId="0" applyFont="1" applyFill="1" applyBorder="1" applyAlignment="1">
      <alignment horizontal="left" vertical="top" wrapText="1"/>
    </xf>
    <xf numFmtId="0" fontId="30" fillId="13" borderId="169" xfId="0" applyFont="1" applyFill="1" applyBorder="1" applyAlignment="1">
      <alignment horizontal="left" vertical="top" wrapText="1"/>
    </xf>
    <xf numFmtId="0" fontId="56" fillId="13" borderId="159" xfId="0" applyFont="1" applyFill="1" applyBorder="1" applyAlignment="1">
      <alignment horizontal="left" vertical="top"/>
    </xf>
    <xf numFmtId="0" fontId="29" fillId="13" borderId="159" xfId="0" applyFont="1" applyFill="1" applyBorder="1" applyAlignment="1">
      <alignment horizontal="left" vertical="top"/>
    </xf>
    <xf numFmtId="0" fontId="30" fillId="13" borderId="520" xfId="0" applyFont="1" applyFill="1" applyBorder="1" applyAlignment="1">
      <alignment horizontal="left" vertical="top" wrapText="1"/>
    </xf>
    <xf numFmtId="0" fontId="66" fillId="13" borderId="520" xfId="0" applyFont="1" applyFill="1" applyBorder="1" applyAlignment="1">
      <alignment horizontal="left" vertical="top" wrapText="1"/>
    </xf>
    <xf numFmtId="0" fontId="66" fillId="13" borderId="159" xfId="0" applyFont="1" applyFill="1" applyBorder="1" applyAlignment="1">
      <alignment horizontal="left" vertical="top" wrapText="1"/>
    </xf>
    <xf numFmtId="0" fontId="57" fillId="13" borderId="192" xfId="0" applyFont="1" applyFill="1" applyBorder="1" applyAlignment="1">
      <alignment horizontal="left" vertical="top" wrapText="1"/>
    </xf>
    <xf numFmtId="0" fontId="17" fillId="13" borderId="564" xfId="0" applyFont="1" applyFill="1" applyBorder="1" applyAlignment="1">
      <alignment horizontal="left" vertical="top" wrapText="1"/>
    </xf>
    <xf numFmtId="0" fontId="17" fillId="13" borderId="113" xfId="0" applyFont="1" applyFill="1" applyBorder="1" applyAlignment="1">
      <alignment horizontal="left" vertical="top" wrapText="1"/>
    </xf>
    <xf numFmtId="0" fontId="17" fillId="13" borderId="162" xfId="0" applyFont="1" applyFill="1" applyBorder="1" applyAlignment="1">
      <alignment horizontal="left" vertical="top" wrapText="1"/>
    </xf>
    <xf numFmtId="0" fontId="7" fillId="13" borderId="162" xfId="0" applyFont="1" applyFill="1" applyBorder="1" applyAlignment="1">
      <alignment horizontal="left" vertical="top" wrapText="1"/>
    </xf>
    <xf numFmtId="0" fontId="8" fillId="13" borderId="323" xfId="0" applyFont="1" applyFill="1" applyBorder="1" applyAlignment="1">
      <alignment horizontal="left" vertical="top" wrapText="1"/>
    </xf>
    <xf numFmtId="0" fontId="31" fillId="13" borderId="412" xfId="0" applyFont="1" applyFill="1" applyBorder="1" applyAlignment="1">
      <alignment horizontal="left" vertical="top"/>
    </xf>
    <xf numFmtId="0" fontId="30" fillId="13" borderId="514" xfId="0" applyFont="1" applyFill="1" applyBorder="1" applyAlignment="1">
      <alignment horizontal="left" vertical="top" wrapText="1"/>
    </xf>
    <xf numFmtId="0" fontId="17" fillId="13" borderId="221" xfId="0" applyFont="1" applyFill="1" applyBorder="1" applyAlignment="1">
      <alignment horizontal="left" vertical="top" wrapText="1"/>
    </xf>
    <xf numFmtId="0" fontId="7" fillId="13" borderId="113" xfId="0" applyFont="1" applyFill="1" applyBorder="1" applyAlignment="1">
      <alignment horizontal="left" vertical="top" wrapText="1"/>
    </xf>
    <xf numFmtId="0" fontId="29" fillId="13" borderId="516" xfId="0" applyFont="1" applyFill="1" applyBorder="1" applyAlignment="1">
      <alignment horizontal="left" vertical="top" wrapText="1"/>
    </xf>
    <xf numFmtId="0" fontId="29" fillId="13" borderId="169" xfId="0" applyFont="1" applyFill="1" applyBorder="1" applyAlignment="1">
      <alignment horizontal="left" vertical="top" wrapText="1"/>
    </xf>
    <xf numFmtId="0" fontId="29" fillId="13" borderId="159" xfId="0" applyFont="1" applyFill="1" applyBorder="1" applyAlignment="1">
      <alignment horizontal="left" vertical="top" wrapText="1"/>
    </xf>
    <xf numFmtId="0" fontId="14" fillId="0" borderId="249" xfId="0" applyFont="1" applyBorder="1" applyAlignment="1" applyProtection="1">
      <alignment horizontal="left" vertical="top" wrapText="1"/>
      <protection locked="0"/>
    </xf>
    <xf numFmtId="0" fontId="1" fillId="0" borderId="131" xfId="0" applyFont="1" applyBorder="1" applyAlignment="1" applyProtection="1">
      <alignment horizontal="left" vertical="top" wrapText="1"/>
      <protection locked="0"/>
    </xf>
    <xf numFmtId="0" fontId="13" fillId="0" borderId="0" xfId="0" applyFont="1" applyAlignment="1" applyProtection="1">
      <alignment horizontal="left" vertical="top" wrapText="1"/>
      <protection locked="0"/>
    </xf>
    <xf numFmtId="0" fontId="8" fillId="0" borderId="45" xfId="0" applyFont="1" applyBorder="1" applyAlignment="1" applyProtection="1">
      <alignment horizontal="left" vertical="top" wrapText="1"/>
      <protection locked="0"/>
    </xf>
    <xf numFmtId="0" fontId="8" fillId="0" borderId="458" xfId="0" applyFont="1" applyBorder="1" applyAlignment="1" applyProtection="1">
      <alignment horizontal="left" vertical="top" wrapText="1"/>
      <protection locked="0"/>
    </xf>
    <xf numFmtId="0" fontId="27" fillId="0" borderId="459" xfId="0" applyFont="1" applyBorder="1" applyAlignment="1" applyProtection="1">
      <alignment horizontal="left" vertical="top"/>
      <protection locked="0"/>
    </xf>
    <xf numFmtId="0" fontId="7" fillId="0" borderId="322" xfId="0" applyFont="1" applyBorder="1" applyAlignment="1" applyProtection="1">
      <alignment horizontal="left" vertical="top" wrapText="1"/>
      <protection locked="0"/>
    </xf>
    <xf numFmtId="0" fontId="39" fillId="0" borderId="192" xfId="0" applyFont="1" applyBorder="1" applyAlignment="1" applyProtection="1">
      <alignment horizontal="left" vertical="top"/>
      <protection locked="0"/>
    </xf>
    <xf numFmtId="0" fontId="7" fillId="0" borderId="160" xfId="0" applyFont="1" applyBorder="1" applyAlignment="1" applyProtection="1">
      <alignment horizontal="left" vertical="top"/>
      <protection locked="0"/>
    </xf>
    <xf numFmtId="0" fontId="17" fillId="0" borderId="136" xfId="0" applyFont="1" applyBorder="1" applyAlignment="1" applyProtection="1">
      <alignment horizontal="left" vertical="top" wrapText="1"/>
      <protection locked="0"/>
    </xf>
    <xf numFmtId="0" fontId="41" fillId="0" borderId="192" xfId="0" applyFont="1" applyBorder="1" applyAlignment="1" applyProtection="1">
      <alignment horizontal="left" vertical="top" wrapText="1"/>
      <protection locked="0"/>
    </xf>
    <xf numFmtId="0" fontId="41" fillId="0" borderId="207" xfId="0" applyFont="1" applyBorder="1" applyAlignment="1" applyProtection="1">
      <alignment horizontal="left" vertical="top" wrapText="1"/>
      <protection locked="0"/>
    </xf>
    <xf numFmtId="0" fontId="16" fillId="0" borderId="20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14" fillId="0" borderId="192" xfId="0" applyFont="1" applyBorder="1" applyAlignment="1" applyProtection="1">
      <alignment horizontal="left" vertical="top" wrapText="1"/>
      <protection locked="0"/>
    </xf>
    <xf numFmtId="0" fontId="56" fillId="0" borderId="231" xfId="0" applyFont="1" applyBorder="1" applyAlignment="1" applyProtection="1">
      <alignment horizontal="left" vertical="top"/>
      <protection locked="0"/>
    </xf>
    <xf numFmtId="0" fontId="28" fillId="0" borderId="160" xfId="0" applyFont="1" applyBorder="1" applyAlignment="1" applyProtection="1">
      <alignment horizontal="left" vertical="top"/>
      <protection locked="0"/>
    </xf>
    <xf numFmtId="0" fontId="16" fillId="0" borderId="116" xfId="0" applyFont="1" applyBorder="1" applyAlignment="1" applyProtection="1">
      <alignment horizontal="left" vertical="top" wrapText="1"/>
      <protection locked="0"/>
    </xf>
    <xf numFmtId="0" fontId="7" fillId="0" borderId="198" xfId="0" applyFont="1" applyBorder="1" applyAlignment="1" applyProtection="1">
      <alignment horizontal="left" vertical="top"/>
      <protection locked="0"/>
    </xf>
    <xf numFmtId="0" fontId="14" fillId="0" borderId="131" xfId="0" applyFont="1" applyBorder="1" applyAlignment="1" applyProtection="1">
      <alignment horizontal="left" vertical="top" wrapText="1"/>
      <protection locked="0"/>
    </xf>
    <xf numFmtId="0" fontId="33" fillId="0" borderId="231" xfId="0" applyFont="1" applyBorder="1" applyAlignment="1" applyProtection="1">
      <alignment horizontal="left" vertical="top"/>
      <protection locked="0"/>
    </xf>
    <xf numFmtId="0" fontId="33" fillId="0" borderId="159" xfId="0" applyFont="1" applyBorder="1" applyAlignment="1" applyProtection="1">
      <alignment horizontal="left" vertical="top"/>
      <protection locked="0"/>
    </xf>
    <xf numFmtId="0" fontId="33" fillId="0" borderId="160" xfId="0" applyFont="1" applyBorder="1" applyAlignment="1" applyProtection="1">
      <alignment horizontal="left" vertical="top"/>
      <protection locked="0"/>
    </xf>
    <xf numFmtId="0" fontId="33" fillId="0" borderId="0" xfId="0" applyFont="1" applyAlignment="1" applyProtection="1">
      <alignment horizontal="left" vertical="top"/>
      <protection locked="0"/>
    </xf>
    <xf numFmtId="0" fontId="16" fillId="0" borderId="131" xfId="0" applyFont="1" applyBorder="1" applyAlignment="1" applyProtection="1">
      <alignment horizontal="left" vertical="top" wrapText="1"/>
      <protection locked="0"/>
    </xf>
    <xf numFmtId="0" fontId="39" fillId="0" borderId="112" xfId="0" applyFont="1" applyBorder="1" applyAlignment="1" applyProtection="1">
      <alignment horizontal="left" vertical="top" wrapText="1"/>
      <protection locked="0"/>
    </xf>
    <xf numFmtId="0" fontId="39" fillId="0" borderId="49" xfId="0" applyFont="1" applyBorder="1" applyAlignment="1" applyProtection="1">
      <alignment horizontal="left" vertical="top" wrapText="1"/>
      <protection locked="0"/>
    </xf>
    <xf numFmtId="0" fontId="39" fillId="0" borderId="110" xfId="0" applyFont="1" applyBorder="1" applyAlignment="1" applyProtection="1">
      <alignment horizontal="left" vertical="top" wrapText="1"/>
      <protection locked="0"/>
    </xf>
    <xf numFmtId="0" fontId="39" fillId="0" borderId="170" xfId="0" applyFont="1" applyBorder="1" applyAlignment="1" applyProtection="1">
      <alignment horizontal="left" vertical="top" wrapText="1"/>
      <protection locked="0"/>
    </xf>
    <xf numFmtId="0" fontId="39" fillId="0" borderId="164"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29" fillId="0" borderId="231" xfId="0" applyFont="1" applyBorder="1" applyAlignment="1" applyProtection="1">
      <alignment horizontal="left" vertical="top"/>
      <protection locked="0"/>
    </xf>
    <xf numFmtId="0" fontId="29" fillId="0" borderId="159" xfId="0" applyFont="1" applyBorder="1" applyAlignment="1" applyProtection="1">
      <alignment horizontal="left" vertical="top"/>
      <protection locked="0"/>
    </xf>
    <xf numFmtId="0" fontId="29" fillId="0" borderId="160" xfId="0" applyFont="1" applyBorder="1" applyAlignment="1" applyProtection="1">
      <alignment horizontal="left" vertical="top"/>
      <protection locked="0"/>
    </xf>
    <xf numFmtId="0" fontId="39" fillId="0" borderId="170" xfId="0" applyFont="1" applyBorder="1" applyAlignment="1" applyProtection="1">
      <alignment horizontal="left" vertical="top"/>
      <protection locked="0"/>
    </xf>
    <xf numFmtId="0" fontId="0" fillId="0" borderId="108" xfId="0" applyBorder="1" applyAlignment="1" applyProtection="1">
      <alignment horizontal="left" vertical="top" wrapText="1"/>
      <protection locked="0"/>
    </xf>
    <xf numFmtId="0" fontId="7" fillId="0" borderId="115" xfId="0" applyFont="1" applyBorder="1" applyAlignment="1" applyProtection="1">
      <alignment horizontal="left" vertical="top" wrapText="1"/>
      <protection locked="0"/>
    </xf>
    <xf numFmtId="0" fontId="14" fillId="6" borderId="70" xfId="0" applyFont="1" applyFill="1" applyBorder="1" applyAlignment="1" applyProtection="1">
      <alignment horizontal="left" vertical="top" wrapText="1"/>
      <protection locked="0"/>
    </xf>
    <xf numFmtId="0" fontId="28" fillId="6" borderId="192" xfId="0" applyFont="1" applyFill="1" applyBorder="1" applyAlignment="1" applyProtection="1">
      <alignment horizontal="left" vertical="top"/>
      <protection locked="0"/>
    </xf>
    <xf numFmtId="0" fontId="8" fillId="0" borderId="131" xfId="0" applyFont="1" applyBorder="1" applyAlignment="1" applyProtection="1">
      <alignment horizontal="left" vertical="top" wrapText="1"/>
      <protection locked="0"/>
    </xf>
    <xf numFmtId="0" fontId="8" fillId="0" borderId="75" xfId="0" applyFont="1" applyBorder="1" applyAlignment="1" applyProtection="1">
      <alignment horizontal="left" vertical="top" wrapText="1"/>
      <protection locked="0"/>
    </xf>
    <xf numFmtId="0" fontId="32" fillId="0" borderId="191" xfId="0" applyFont="1" applyBorder="1" applyAlignment="1" applyProtection="1">
      <alignment horizontal="left" vertical="top" wrapText="1"/>
      <protection locked="0"/>
    </xf>
    <xf numFmtId="0" fontId="1" fillId="0" borderId="450" xfId="0" applyFont="1" applyBorder="1" applyAlignment="1" applyProtection="1">
      <alignment horizontal="left" vertical="top" wrapText="1"/>
      <protection locked="0"/>
    </xf>
    <xf numFmtId="0" fontId="16" fillId="0" borderId="43" xfId="0" applyFont="1" applyBorder="1" applyAlignment="1" applyProtection="1">
      <alignment horizontal="left" vertical="top" wrapText="1"/>
      <protection locked="0"/>
    </xf>
    <xf numFmtId="0" fontId="18" fillId="0" borderId="54" xfId="0" applyFont="1" applyBorder="1" applyAlignment="1" applyProtection="1">
      <alignment horizontal="left" vertical="top" wrapText="1"/>
      <protection locked="0"/>
    </xf>
    <xf numFmtId="0" fontId="13" fillId="0" borderId="44" xfId="0" applyFont="1" applyBorder="1" applyAlignment="1" applyProtection="1">
      <alignment horizontal="left" vertical="top" wrapText="1"/>
      <protection locked="0"/>
    </xf>
    <xf numFmtId="0" fontId="38" fillId="0" borderId="356" xfId="0" applyFont="1" applyBorder="1" applyAlignment="1">
      <alignment horizontal="left" vertical="top" wrapText="1"/>
    </xf>
    <xf numFmtId="0" fontId="67" fillId="7" borderId="0" xfId="0" applyFont="1" applyFill="1" applyAlignment="1">
      <alignment horizontal="left" vertical="top" wrapText="1"/>
    </xf>
    <xf numFmtId="0" fontId="36" fillId="6" borderId="0" xfId="0" applyFont="1" applyFill="1" applyAlignment="1">
      <alignment horizontal="left" vertical="top" wrapText="1"/>
    </xf>
    <xf numFmtId="0" fontId="67" fillId="6" borderId="0" xfId="0" applyFont="1" applyFill="1" applyAlignment="1">
      <alignment horizontal="left" vertical="top" wrapText="1"/>
    </xf>
    <xf numFmtId="0" fontId="30" fillId="0" borderId="231" xfId="0" applyFont="1" applyBorder="1" applyAlignment="1">
      <alignment horizontal="left" vertical="top" wrapText="1"/>
    </xf>
    <xf numFmtId="0" fontId="1" fillId="3" borderId="262" xfId="0" applyFont="1" applyFill="1" applyBorder="1" applyAlignment="1">
      <alignment vertical="top" wrapText="1"/>
    </xf>
    <xf numFmtId="0" fontId="1" fillId="0" borderId="565" xfId="0" applyFont="1" applyBorder="1" applyAlignment="1">
      <alignment horizontal="left" vertical="top" wrapText="1"/>
    </xf>
    <xf numFmtId="0" fontId="1" fillId="0" borderId="313" xfId="0" applyFont="1" applyBorder="1" applyAlignment="1">
      <alignment horizontal="left" vertical="top" wrapText="1"/>
    </xf>
    <xf numFmtId="0" fontId="1" fillId="0" borderId="273" xfId="0" applyFont="1" applyBorder="1" applyAlignment="1">
      <alignment horizontal="left" vertical="top" wrapText="1"/>
    </xf>
    <xf numFmtId="0" fontId="1" fillId="0" borderId="396" xfId="0" applyFont="1" applyBorder="1" applyAlignment="1">
      <alignment horizontal="left" vertical="top" wrapText="1"/>
    </xf>
    <xf numFmtId="0" fontId="1" fillId="0" borderId="367" xfId="0" applyFont="1" applyBorder="1" applyAlignment="1">
      <alignment horizontal="left" vertical="top" wrapText="1"/>
    </xf>
    <xf numFmtId="0" fontId="1" fillId="14" borderId="551" xfId="0" applyFont="1" applyFill="1" applyBorder="1" applyAlignment="1">
      <alignment horizontal="left" vertical="top" wrapText="1"/>
    </xf>
    <xf numFmtId="0" fontId="1" fillId="14" borderId="367" xfId="0" applyFont="1" applyFill="1" applyBorder="1" applyAlignment="1">
      <alignment horizontal="left" vertical="top" wrapText="1"/>
    </xf>
    <xf numFmtId="0" fontId="1" fillId="14" borderId="440" xfId="0" applyFont="1" applyFill="1" applyBorder="1" applyAlignment="1">
      <alignment horizontal="left" vertical="top" wrapText="1"/>
    </xf>
    <xf numFmtId="0" fontId="1" fillId="8" borderId="267" xfId="0" applyFont="1" applyFill="1" applyBorder="1" applyAlignment="1">
      <alignment horizontal="left" vertical="top" wrapText="1"/>
    </xf>
    <xf numFmtId="0" fontId="1" fillId="0" borderId="454" xfId="0" applyFont="1" applyBorder="1" applyAlignment="1">
      <alignment horizontal="left" vertical="top" wrapText="1"/>
    </xf>
    <xf numFmtId="0" fontId="1" fillId="0" borderId="322" xfId="0" applyFont="1" applyBorder="1" applyAlignment="1">
      <alignment horizontal="left" vertical="top" wrapText="1"/>
    </xf>
    <xf numFmtId="0" fontId="1" fillId="0" borderId="203" xfId="0" applyFont="1" applyBorder="1" applyAlignment="1">
      <alignment horizontal="left" vertical="top" wrapText="1"/>
    </xf>
    <xf numFmtId="0" fontId="1" fillId="0" borderId="74" xfId="0" applyFont="1" applyBorder="1" applyAlignment="1">
      <alignment horizontal="left" vertical="top" wrapText="1"/>
    </xf>
    <xf numFmtId="0" fontId="1" fillId="0" borderId="207" xfId="0" applyFont="1" applyBorder="1" applyAlignment="1">
      <alignment horizontal="left" vertical="top" wrapText="1"/>
    </xf>
    <xf numFmtId="0" fontId="30" fillId="0" borderId="97" xfId="0" applyFont="1" applyBorder="1" applyAlignment="1">
      <alignment horizontal="left" vertical="top" wrapText="1"/>
    </xf>
    <xf numFmtId="0" fontId="1" fillId="0" borderId="7" xfId="0" applyFont="1" applyBorder="1" applyAlignment="1">
      <alignment horizontal="left" vertical="top" wrapText="1"/>
    </xf>
    <xf numFmtId="0" fontId="1" fillId="0" borderId="4" xfId="0" applyFont="1" applyBorder="1" applyAlignment="1">
      <alignment horizontal="left" vertical="top" wrapText="1"/>
    </xf>
    <xf numFmtId="0" fontId="1" fillId="0" borderId="571" xfId="0" applyFont="1" applyBorder="1" applyAlignment="1">
      <alignment horizontal="left" vertical="top" wrapText="1"/>
    </xf>
    <xf numFmtId="0" fontId="1" fillId="0" borderId="41" xfId="0" applyFont="1" applyBorder="1" applyAlignment="1">
      <alignment horizontal="left" vertical="top" wrapText="1"/>
    </xf>
    <xf numFmtId="0" fontId="30" fillId="0" borderId="70" xfId="0" applyFont="1" applyBorder="1" applyAlignment="1">
      <alignment horizontal="left" vertical="top" wrapText="1"/>
    </xf>
    <xf numFmtId="0" fontId="30" fillId="0" borderId="102" xfId="0" applyFont="1" applyBorder="1" applyAlignment="1">
      <alignment horizontal="left" vertical="top" wrapText="1"/>
    </xf>
    <xf numFmtId="0" fontId="30" fillId="0" borderId="101" xfId="0" applyFont="1" applyBorder="1" applyAlignment="1">
      <alignment horizontal="left" vertical="top" wrapText="1"/>
    </xf>
    <xf numFmtId="0" fontId="30" fillId="14" borderId="567" xfId="0" applyFont="1" applyFill="1" applyBorder="1" applyAlignment="1">
      <alignment horizontal="left" vertical="top" wrapText="1"/>
    </xf>
    <xf numFmtId="0" fontId="30" fillId="14" borderId="152" xfId="0" applyFont="1" applyFill="1" applyBorder="1" applyAlignment="1">
      <alignment horizontal="left" vertical="top" wrapText="1"/>
    </xf>
    <xf numFmtId="0" fontId="30" fillId="14" borderId="151" xfId="0" applyFont="1" applyFill="1" applyBorder="1" applyAlignment="1">
      <alignment horizontal="left" vertical="top" wrapText="1"/>
    </xf>
    <xf numFmtId="0" fontId="30" fillId="14" borderId="569" xfId="0" applyFont="1" applyFill="1" applyBorder="1" applyAlignment="1">
      <alignment horizontal="left" vertical="top" wrapText="1"/>
    </xf>
    <xf numFmtId="0" fontId="30" fillId="0" borderId="103" xfId="0" applyFont="1" applyBorder="1" applyAlignment="1">
      <alignment horizontal="left" vertical="top" wrapText="1"/>
    </xf>
    <xf numFmtId="0" fontId="14" fillId="0" borderId="322" xfId="0" applyFont="1" applyBorder="1" applyAlignment="1">
      <alignment horizontal="left" vertical="top" wrapText="1"/>
    </xf>
    <xf numFmtId="0" fontId="39" fillId="0" borderId="221" xfId="0" applyFont="1" applyBorder="1" applyAlignment="1">
      <alignment horizontal="left" vertical="top" wrapText="1"/>
    </xf>
    <xf numFmtId="0" fontId="39" fillId="0" borderId="113" xfId="0" applyFont="1" applyBorder="1" applyAlignment="1">
      <alignment horizontal="left" vertical="top" wrapText="1"/>
    </xf>
    <xf numFmtId="0" fontId="33" fillId="0" borderId="70" xfId="0" applyFont="1" applyBorder="1" applyAlignment="1">
      <alignment horizontal="left" vertical="top" wrapText="1"/>
    </xf>
    <xf numFmtId="0" fontId="14" fillId="0" borderId="169" xfId="0" applyFont="1" applyBorder="1" applyAlignment="1">
      <alignment horizontal="left" vertical="top" wrapText="1"/>
    </xf>
    <xf numFmtId="0" fontId="33" fillId="0" borderId="159" xfId="0" applyFont="1" applyBorder="1" applyAlignment="1">
      <alignment horizontal="left" vertical="top" wrapText="1"/>
    </xf>
    <xf numFmtId="0" fontId="14" fillId="14" borderId="191" xfId="0" applyFont="1" applyFill="1" applyBorder="1" applyAlignment="1">
      <alignment horizontal="left" vertical="top" wrapText="1"/>
    </xf>
    <xf numFmtId="0" fontId="39" fillId="0" borderId="198" xfId="0" applyFont="1" applyBorder="1" applyAlignment="1">
      <alignment horizontal="left" vertical="top" wrapText="1"/>
    </xf>
    <xf numFmtId="0" fontId="29" fillId="0" borderId="70" xfId="0" applyFont="1" applyBorder="1" applyAlignment="1">
      <alignment horizontal="left" vertical="top" wrapText="1"/>
    </xf>
    <xf numFmtId="0" fontId="30" fillId="0" borderId="169" xfId="0" applyFont="1" applyBorder="1" applyAlignment="1">
      <alignment horizontal="left" vertical="top" wrapText="1"/>
    </xf>
    <xf numFmtId="0" fontId="29" fillId="0" borderId="159" xfId="0" applyFont="1" applyBorder="1" applyAlignment="1">
      <alignment horizontal="left" vertical="top" wrapText="1"/>
    </xf>
    <xf numFmtId="0" fontId="14" fillId="14" borderId="322" xfId="0" applyFont="1" applyFill="1" applyBorder="1" applyAlignment="1">
      <alignment horizontal="left" vertical="top" wrapText="1"/>
    </xf>
    <xf numFmtId="49" fontId="32" fillId="0" borderId="198" xfId="0" applyNumberFormat="1" applyFont="1" applyBorder="1" applyAlignment="1">
      <alignment horizontal="left" vertical="top" wrapText="1"/>
    </xf>
    <xf numFmtId="0" fontId="55" fillId="0" borderId="159" xfId="0" applyFont="1" applyBorder="1" applyAlignment="1">
      <alignment horizontal="left" vertical="top" wrapText="1"/>
    </xf>
    <xf numFmtId="0" fontId="1" fillId="14" borderId="191" xfId="0" applyFont="1" applyFill="1" applyBorder="1" applyAlignment="1">
      <alignment horizontal="left" vertical="top" wrapText="1"/>
    </xf>
    <xf numFmtId="0" fontId="41" fillId="14" borderId="191" xfId="0" applyFont="1" applyFill="1" applyBorder="1" applyAlignment="1">
      <alignment horizontal="left" vertical="top" wrapText="1"/>
    </xf>
    <xf numFmtId="0" fontId="8" fillId="3" borderId="168" xfId="0" applyFont="1" applyFill="1" applyBorder="1" applyAlignment="1">
      <alignment vertical="top" wrapText="1"/>
    </xf>
    <xf numFmtId="0" fontId="8" fillId="3" borderId="173" xfId="0" applyFont="1" applyFill="1" applyBorder="1" applyAlignment="1">
      <alignment vertical="top" wrapText="1"/>
    </xf>
    <xf numFmtId="0" fontId="1" fillId="0" borderId="221" xfId="0" applyFont="1" applyBorder="1" applyAlignment="1">
      <alignment horizontal="left" vertical="top" wrapText="1"/>
    </xf>
    <xf numFmtId="0" fontId="1" fillId="0" borderId="198" xfId="0" applyFont="1" applyBorder="1" applyAlignment="1">
      <alignment horizontal="left" vertical="top" wrapText="1"/>
    </xf>
    <xf numFmtId="0" fontId="14" fillId="3" borderId="161" xfId="0" applyFont="1" applyFill="1" applyBorder="1" applyAlignment="1">
      <alignment vertical="top" wrapText="1"/>
    </xf>
    <xf numFmtId="0" fontId="30" fillId="0" borderId="203" xfId="0" applyFont="1" applyBorder="1" applyAlignment="1">
      <alignment horizontal="left" vertical="top" wrapText="1"/>
    </xf>
    <xf numFmtId="0" fontId="1" fillId="0" borderId="526" xfId="0" applyFont="1" applyBorder="1" applyAlignment="1">
      <alignment horizontal="left" vertical="top" wrapText="1"/>
    </xf>
    <xf numFmtId="0" fontId="14" fillId="6" borderId="70" xfId="0" applyFont="1" applyFill="1" applyBorder="1" applyAlignment="1">
      <alignment horizontal="left" vertical="top" wrapText="1"/>
    </xf>
    <xf numFmtId="0" fontId="30" fillId="0" borderId="250" xfId="0" applyFont="1" applyBorder="1" applyAlignment="1">
      <alignment horizontal="left" vertical="top" wrapText="1"/>
    </xf>
    <xf numFmtId="0" fontId="30" fillId="0" borderId="191" xfId="0" applyFont="1" applyBorder="1" applyAlignment="1">
      <alignment horizontal="left" vertical="top" wrapText="1"/>
    </xf>
    <xf numFmtId="0" fontId="30" fillId="14" borderId="191" xfId="0" applyFont="1" applyFill="1" applyBorder="1" applyAlignment="1">
      <alignment horizontal="left" vertical="top" wrapText="1"/>
    </xf>
    <xf numFmtId="0" fontId="1" fillId="14" borderId="199" xfId="0" applyFont="1" applyFill="1" applyBorder="1" applyAlignment="1">
      <alignment horizontal="left" vertical="top" wrapText="1"/>
    </xf>
    <xf numFmtId="0" fontId="1" fillId="14" borderId="108" xfId="0" applyFont="1" applyFill="1" applyBorder="1" applyAlignment="1">
      <alignment horizontal="left" vertical="top" wrapText="1"/>
    </xf>
    <xf numFmtId="0" fontId="30" fillId="0" borderId="472" xfId="0" applyFont="1" applyBorder="1" applyAlignment="1">
      <alignment horizontal="left" vertical="top" wrapText="1"/>
    </xf>
    <xf numFmtId="0" fontId="30" fillId="0" borderId="112" xfId="0" applyFont="1" applyBorder="1" applyAlignment="1">
      <alignment horizontal="left" vertical="top" wrapText="1"/>
    </xf>
    <xf numFmtId="0" fontId="30" fillId="0" borderId="110" xfId="0" applyFont="1" applyBorder="1" applyAlignment="1">
      <alignment horizontal="left" vertical="top" wrapText="1"/>
    </xf>
    <xf numFmtId="0" fontId="30" fillId="14" borderId="199" xfId="0" applyFont="1" applyFill="1" applyBorder="1" applyAlignment="1">
      <alignment horizontal="left" vertical="top" wrapText="1"/>
    </xf>
    <xf numFmtId="0" fontId="30" fillId="14" borderId="108" xfId="0" applyFont="1" applyFill="1" applyBorder="1" applyAlignment="1">
      <alignment horizontal="left" vertical="top" wrapText="1"/>
    </xf>
    <xf numFmtId="0" fontId="8" fillId="3" borderId="161" xfId="0" applyFont="1" applyFill="1" applyBorder="1" applyAlignment="1">
      <alignment vertical="top" wrapText="1"/>
    </xf>
    <xf numFmtId="0" fontId="1" fillId="0" borderId="515" xfId="0" applyFont="1" applyBorder="1" applyAlignment="1">
      <alignment horizontal="left" vertical="top" wrapText="1"/>
    </xf>
    <xf numFmtId="0" fontId="1" fillId="14" borderId="540" xfId="0" applyFont="1" applyFill="1" applyBorder="1" applyAlignment="1">
      <alignment horizontal="left" vertical="top" wrapText="1"/>
    </xf>
    <xf numFmtId="0" fontId="1" fillId="14" borderId="541" xfId="0" applyFont="1" applyFill="1" applyBorder="1" applyAlignment="1">
      <alignment horizontal="left" vertical="top" wrapText="1"/>
    </xf>
    <xf numFmtId="0" fontId="1" fillId="14" borderId="520" xfId="0" applyFont="1" applyFill="1" applyBorder="1" applyAlignment="1">
      <alignment horizontal="left" vertical="top" wrapText="1"/>
    </xf>
    <xf numFmtId="0" fontId="0" fillId="0" borderId="231" xfId="0" applyBorder="1" applyAlignment="1">
      <alignment horizontal="left" vertical="top"/>
    </xf>
    <xf numFmtId="0" fontId="1" fillId="14" borderId="574" xfId="0" applyFont="1" applyFill="1" applyBorder="1" applyAlignment="1">
      <alignment horizontal="left" vertical="top" wrapText="1"/>
    </xf>
    <xf numFmtId="0" fontId="1" fillId="14" borderId="512" xfId="0" applyFont="1" applyFill="1" applyBorder="1" applyAlignment="1">
      <alignment horizontal="left" vertical="top" wrapText="1"/>
    </xf>
    <xf numFmtId="0" fontId="8" fillId="3" borderId="184" xfId="0" applyFont="1" applyFill="1" applyBorder="1" applyAlignment="1">
      <alignment vertical="top" wrapText="1"/>
    </xf>
    <xf numFmtId="0" fontId="1" fillId="14" borderId="212" xfId="0" applyFont="1" applyFill="1" applyBorder="1" applyAlignment="1">
      <alignment horizontal="left" vertical="top" wrapText="1"/>
    </xf>
    <xf numFmtId="0" fontId="14" fillId="8" borderId="452" xfId="0" applyFont="1" applyFill="1" applyBorder="1" applyAlignment="1">
      <alignment horizontal="left" vertical="top" wrapText="1"/>
    </xf>
    <xf numFmtId="0" fontId="14" fillId="0" borderId="453" xfId="0" applyFont="1" applyBorder="1" applyAlignment="1">
      <alignment horizontal="left" vertical="top" wrapText="1"/>
    </xf>
    <xf numFmtId="0" fontId="8" fillId="0" borderId="515" xfId="0" applyFont="1" applyBorder="1" applyAlignment="1">
      <alignment horizontal="left" vertical="top" wrapText="1"/>
    </xf>
    <xf numFmtId="49" fontId="29" fillId="0" borderId="514" xfId="0" applyNumberFormat="1" applyFont="1" applyBorder="1" applyAlignment="1">
      <alignment horizontal="left" vertical="top" wrapText="1"/>
    </xf>
    <xf numFmtId="0" fontId="14" fillId="8" borderId="42" xfId="0" applyFont="1" applyFill="1" applyBorder="1" applyAlignment="1">
      <alignment horizontal="left" vertical="top" wrapText="1"/>
    </xf>
    <xf numFmtId="0" fontId="14" fillId="0" borderId="393" xfId="0" applyFont="1" applyBorder="1" applyAlignment="1">
      <alignment horizontal="left" vertical="top" wrapText="1"/>
    </xf>
    <xf numFmtId="0" fontId="14" fillId="0" borderId="412" xfId="0" applyFont="1" applyBorder="1" applyAlignment="1">
      <alignment horizontal="left" vertical="top" wrapText="1"/>
    </xf>
    <xf numFmtId="0" fontId="14" fillId="14" borderId="412" xfId="0" applyFont="1" applyFill="1" applyBorder="1" applyAlignment="1">
      <alignment horizontal="left" vertical="top" wrapText="1"/>
    </xf>
    <xf numFmtId="0" fontId="41" fillId="14" borderId="159" xfId="0" applyFont="1" applyFill="1" applyBorder="1" applyAlignment="1">
      <alignment horizontal="left" vertical="top" wrapText="1"/>
    </xf>
    <xf numFmtId="0" fontId="8" fillId="3" borderId="305" xfId="0" applyFont="1" applyFill="1" applyBorder="1" applyAlignment="1">
      <alignment vertical="top" wrapText="1"/>
    </xf>
    <xf numFmtId="0" fontId="1" fillId="0" borderId="146" xfId="0" applyFont="1" applyBorder="1" applyAlignment="1">
      <alignment horizontal="left" vertical="top" wrapText="1"/>
    </xf>
    <xf numFmtId="0" fontId="1" fillId="0" borderId="21" xfId="0" applyFont="1" applyBorder="1" applyAlignment="1">
      <alignment horizontal="left" vertical="top" wrapText="1"/>
    </xf>
    <xf numFmtId="0" fontId="32" fillId="0" borderId="212" xfId="0" applyFont="1" applyBorder="1" applyAlignment="1">
      <alignment horizontal="left" vertical="top" wrapText="1"/>
    </xf>
    <xf numFmtId="0" fontId="1" fillId="0" borderId="553" xfId="0" applyFont="1" applyBorder="1" applyAlignment="1">
      <alignment horizontal="left" vertical="top" wrapText="1"/>
    </xf>
    <xf numFmtId="0" fontId="32" fillId="14" borderId="191" xfId="0" applyFont="1" applyFill="1" applyBorder="1" applyAlignment="1">
      <alignment horizontal="left" vertical="top"/>
    </xf>
    <xf numFmtId="0" fontId="32" fillId="14" borderId="191" xfId="0" applyFont="1" applyFill="1" applyBorder="1" applyAlignment="1">
      <alignment horizontal="left" vertical="top" wrapText="1"/>
    </xf>
    <xf numFmtId="0" fontId="1" fillId="0" borderId="472" xfId="0" applyFont="1" applyBorder="1" applyAlignment="1">
      <alignment horizontal="left" vertical="top" wrapText="1"/>
    </xf>
    <xf numFmtId="0" fontId="1" fillId="14" borderId="159" xfId="0" applyFont="1" applyFill="1" applyBorder="1" applyAlignment="1">
      <alignment horizontal="left" vertical="top" wrapText="1"/>
    </xf>
    <xf numFmtId="0" fontId="1" fillId="0" borderId="165" xfId="0" applyFont="1" applyBorder="1" applyAlignment="1">
      <alignment horizontal="left" vertical="top" wrapText="1"/>
    </xf>
    <xf numFmtId="0" fontId="14" fillId="0" borderId="2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0" fontId="8" fillId="0" borderId="440" xfId="0" applyFont="1" applyBorder="1" applyAlignment="1" applyProtection="1">
      <alignment horizontal="left" vertical="top" wrapText="1"/>
      <protection locked="0"/>
    </xf>
    <xf numFmtId="0" fontId="8" fillId="0" borderId="442" xfId="0" applyFont="1" applyBorder="1" applyAlignment="1" applyProtection="1">
      <alignment horizontal="left" vertical="top" wrapText="1"/>
      <protection locked="0"/>
    </xf>
    <xf numFmtId="0" fontId="52" fillId="0" borderId="270" xfId="0" applyFont="1" applyBorder="1" applyAlignment="1" applyProtection="1">
      <alignment horizontal="left" vertical="top"/>
      <protection locked="0"/>
    </xf>
    <xf numFmtId="0" fontId="8" fillId="0" borderId="178" xfId="0" applyFont="1" applyBorder="1" applyAlignment="1" applyProtection="1">
      <alignment horizontal="left" vertical="top" wrapText="1"/>
      <protection locked="0"/>
    </xf>
    <xf numFmtId="0" fontId="32" fillId="0" borderId="237" xfId="0" applyFont="1" applyBorder="1" applyAlignment="1" applyProtection="1">
      <alignment horizontal="left" vertical="top"/>
      <protection locked="0"/>
    </xf>
    <xf numFmtId="0" fontId="8" fillId="0" borderId="443" xfId="0" applyFont="1" applyBorder="1" applyAlignment="1" applyProtection="1">
      <alignment horizontal="left" vertical="top" wrapText="1"/>
      <protection locked="0"/>
    </xf>
    <xf numFmtId="0" fontId="8" fillId="0" borderId="444" xfId="0" applyFont="1" applyBorder="1" applyAlignment="1" applyProtection="1">
      <alignment horizontal="left" vertical="top" wrapText="1"/>
      <protection locked="0"/>
    </xf>
    <xf numFmtId="0" fontId="8" fillId="0" borderId="238" xfId="0" applyFont="1" applyBorder="1" applyAlignment="1" applyProtection="1">
      <alignment horizontal="left" vertical="top" wrapText="1"/>
      <protection locked="0"/>
    </xf>
    <xf numFmtId="0" fontId="32" fillId="0" borderId="239" xfId="0" applyFont="1" applyBorder="1" applyAlignment="1" applyProtection="1">
      <alignment horizontal="left" vertical="top"/>
      <protection locked="0"/>
    </xf>
    <xf numFmtId="0" fontId="7" fillId="0" borderId="242" xfId="0" applyFont="1" applyBorder="1" applyAlignment="1" applyProtection="1">
      <alignment horizontal="left" vertical="top"/>
      <protection locked="0"/>
    </xf>
    <xf numFmtId="0" fontId="16" fillId="0" borderId="576" xfId="0" applyFont="1" applyBorder="1" applyAlignment="1" applyProtection="1">
      <alignment horizontal="left" vertical="top" wrapText="1"/>
      <protection locked="0"/>
    </xf>
    <xf numFmtId="0" fontId="1" fillId="0" borderId="123" xfId="0" applyFont="1" applyBorder="1" applyAlignment="1" applyProtection="1">
      <alignment horizontal="left" vertical="top" wrapText="1"/>
      <protection locked="0"/>
    </xf>
    <xf numFmtId="0" fontId="1" fillId="0" borderId="143" xfId="0" applyFont="1" applyBorder="1" applyAlignment="1" applyProtection="1">
      <alignment horizontal="left" vertical="top" wrapText="1"/>
      <protection locked="0"/>
    </xf>
    <xf numFmtId="0" fontId="32" fillId="0" borderId="131" xfId="0" applyFont="1" applyBorder="1" applyAlignment="1" applyProtection="1">
      <alignment horizontal="left" vertical="top" wrapText="1"/>
      <protection locked="0"/>
    </xf>
    <xf numFmtId="0" fontId="52" fillId="0" borderId="212" xfId="0" applyFont="1" applyBorder="1" applyAlignment="1" applyProtection="1">
      <alignment horizontal="left" vertical="top"/>
      <protection locked="0"/>
    </xf>
    <xf numFmtId="0" fontId="32" fillId="0" borderId="160" xfId="0" applyFont="1" applyBorder="1" applyAlignment="1" applyProtection="1">
      <alignment vertical="top"/>
      <protection locked="0"/>
    </xf>
    <xf numFmtId="0" fontId="32" fillId="0" borderId="112" xfId="0" applyFont="1" applyBorder="1" applyAlignment="1" applyProtection="1">
      <alignment horizontal="left" vertical="top"/>
      <protection locked="0"/>
    </xf>
    <xf numFmtId="0" fontId="30" fillId="0" borderId="218" xfId="0" applyFont="1" applyBorder="1" applyAlignment="1" applyProtection="1">
      <alignment vertical="top" wrapText="1"/>
      <protection locked="0"/>
    </xf>
    <xf numFmtId="0" fontId="30" fillId="0" borderId="219" xfId="0" applyFont="1" applyBorder="1" applyAlignment="1" applyProtection="1">
      <alignment vertical="top" wrapText="1"/>
      <protection locked="0"/>
    </xf>
    <xf numFmtId="0" fontId="30" fillId="0" borderId="320" xfId="0" applyFont="1" applyBorder="1" applyAlignment="1" applyProtection="1">
      <alignment vertical="top" wrapText="1"/>
      <protection locked="0"/>
    </xf>
    <xf numFmtId="0" fontId="1" fillId="0" borderId="244" xfId="0" applyFont="1" applyBorder="1" applyAlignment="1" applyProtection="1">
      <alignment vertical="top" wrapText="1"/>
      <protection locked="0"/>
    </xf>
    <xf numFmtId="0" fontId="8" fillId="3" borderId="217" xfId="0" applyFont="1" applyFill="1" applyBorder="1" applyAlignment="1" applyProtection="1">
      <alignment vertical="top" wrapText="1"/>
      <protection locked="0"/>
    </xf>
    <xf numFmtId="0" fontId="32" fillId="0" borderId="530" xfId="0" applyFont="1" applyBorder="1" applyAlignment="1" applyProtection="1">
      <alignment horizontal="left" vertical="top" wrapText="1"/>
      <protection locked="0"/>
    </xf>
    <xf numFmtId="0" fontId="32" fillId="0" borderId="526" xfId="0" applyFont="1" applyBorder="1" applyAlignment="1" applyProtection="1">
      <alignment horizontal="left" vertical="top" wrapText="1"/>
      <protection locked="0"/>
    </xf>
    <xf numFmtId="0" fontId="30" fillId="0" borderId="360" xfId="0" applyFont="1" applyBorder="1" applyAlignment="1" applyProtection="1">
      <alignment vertical="top" wrapText="1"/>
      <protection locked="0"/>
    </xf>
    <xf numFmtId="0" fontId="32" fillId="0" borderId="169" xfId="0" applyFont="1" applyBorder="1" applyAlignment="1" applyProtection="1">
      <alignment horizontal="left" vertical="top" wrapText="1"/>
      <protection locked="0"/>
    </xf>
    <xf numFmtId="0" fontId="32" fillId="0" borderId="107" xfId="0" applyFont="1" applyBorder="1" applyAlignment="1" applyProtection="1">
      <alignment horizontal="left" vertical="top"/>
      <protection locked="0"/>
    </xf>
    <xf numFmtId="0" fontId="32" fillId="0" borderId="170" xfId="0" applyFont="1" applyBorder="1" applyAlignment="1" applyProtection="1">
      <alignment horizontal="left" vertical="top"/>
      <protection locked="0"/>
    </xf>
    <xf numFmtId="0" fontId="3" fillId="0" borderId="37" xfId="0" applyFont="1" applyBorder="1" applyAlignment="1" applyProtection="1">
      <alignment horizontal="left" vertical="top" wrapText="1"/>
      <protection locked="0"/>
    </xf>
    <xf numFmtId="0" fontId="14" fillId="0" borderId="23" xfId="0" applyFont="1" applyBorder="1" applyAlignment="1">
      <alignment horizontal="left" vertical="top" wrapText="1"/>
    </xf>
    <xf numFmtId="0" fontId="38" fillId="0" borderId="96" xfId="0" applyFont="1" applyBorder="1" applyAlignment="1">
      <alignment horizontal="left" vertical="top" wrapText="1"/>
    </xf>
    <xf numFmtId="0" fontId="38" fillId="0" borderId="168" xfId="0" applyFont="1" applyBorder="1" applyAlignment="1">
      <alignment horizontal="left" vertical="top" wrapText="1"/>
    </xf>
    <xf numFmtId="0" fontId="62" fillId="0" borderId="68" xfId="0" applyFont="1" applyBorder="1" applyAlignment="1">
      <alignment horizontal="left" vertical="top"/>
    </xf>
    <xf numFmtId="0" fontId="8" fillId="3" borderId="252" xfId="0" applyFont="1" applyFill="1" applyBorder="1" applyAlignment="1">
      <alignment horizontal="left" vertical="top" wrapText="1"/>
    </xf>
    <xf numFmtId="0" fontId="8" fillId="13" borderId="575" xfId="0" applyFont="1" applyFill="1" applyBorder="1" applyAlignment="1">
      <alignment horizontal="left" vertical="top" wrapText="1"/>
    </xf>
    <xf numFmtId="0" fontId="1" fillId="0" borderId="329" xfId="0" applyFont="1" applyBorder="1" applyAlignment="1">
      <alignment horizontal="left" vertical="top" wrapText="1"/>
    </xf>
    <xf numFmtId="0" fontId="1" fillId="13" borderId="252" xfId="0" applyFont="1" applyFill="1" applyBorder="1" applyAlignment="1">
      <alignment horizontal="left" vertical="top" wrapText="1"/>
    </xf>
    <xf numFmtId="0" fontId="1" fillId="3" borderId="330" xfId="0" applyFont="1" applyFill="1" applyBorder="1" applyAlignment="1">
      <alignment horizontal="left" vertical="top" wrapText="1"/>
    </xf>
    <xf numFmtId="0" fontId="1" fillId="13" borderId="330" xfId="0" applyFont="1" applyFill="1" applyBorder="1" applyAlignment="1">
      <alignment horizontal="left" vertical="top" wrapText="1"/>
    </xf>
    <xf numFmtId="0" fontId="8" fillId="0" borderId="333" xfId="0" applyFont="1" applyBorder="1" applyAlignment="1">
      <alignment horizontal="left" vertical="top" wrapText="1"/>
    </xf>
    <xf numFmtId="0" fontId="8" fillId="13" borderId="278" xfId="0" applyFont="1" applyFill="1" applyBorder="1" applyAlignment="1">
      <alignment horizontal="left" vertical="top" wrapText="1"/>
    </xf>
    <xf numFmtId="0" fontId="8" fillId="13" borderId="263" xfId="0" applyFont="1" applyFill="1" applyBorder="1" applyAlignment="1">
      <alignment horizontal="left" vertical="top" wrapText="1"/>
    </xf>
    <xf numFmtId="0" fontId="8" fillId="13" borderId="427" xfId="0" applyFont="1" applyFill="1" applyBorder="1" applyAlignment="1">
      <alignment horizontal="left" vertical="top" wrapText="1"/>
    </xf>
    <xf numFmtId="0" fontId="14" fillId="3" borderId="158" xfId="0" applyFont="1" applyFill="1" applyBorder="1" applyAlignment="1">
      <alignment vertical="top" wrapText="1"/>
    </xf>
    <xf numFmtId="0" fontId="1" fillId="3" borderId="163" xfId="0" applyFont="1" applyFill="1" applyBorder="1" applyAlignment="1">
      <alignment vertical="top" wrapText="1"/>
    </xf>
    <xf numFmtId="0" fontId="14" fillId="0" borderId="159" xfId="0" applyFont="1" applyBorder="1" applyAlignment="1">
      <alignment horizontal="left" vertical="top" wrapText="1"/>
    </xf>
    <xf numFmtId="0" fontId="59" fillId="0" borderId="159" xfId="0" applyFont="1" applyBorder="1" applyAlignment="1">
      <alignment horizontal="left" vertical="top" wrapText="1"/>
    </xf>
    <xf numFmtId="0" fontId="14" fillId="3" borderId="168" xfId="0" applyFont="1" applyFill="1" applyBorder="1" applyAlignment="1">
      <alignment vertical="top" wrapText="1"/>
    </xf>
    <xf numFmtId="0" fontId="14" fillId="13" borderId="97" xfId="0" applyFont="1" applyFill="1" applyBorder="1" applyAlignment="1">
      <alignment horizontal="left" vertical="top" wrapText="1"/>
    </xf>
    <xf numFmtId="0" fontId="1" fillId="3" borderId="423" xfId="0" applyFont="1" applyFill="1" applyBorder="1" applyAlignment="1">
      <alignment horizontal="left" vertical="top" wrapText="1"/>
    </xf>
    <xf numFmtId="0" fontId="8" fillId="3" borderId="433" xfId="0" applyFont="1" applyFill="1" applyBorder="1" applyAlignment="1">
      <alignment vertical="top" wrapText="1"/>
    </xf>
    <xf numFmtId="0" fontId="8" fillId="13" borderId="442" xfId="0" applyFont="1" applyFill="1" applyBorder="1" applyAlignment="1">
      <alignment horizontal="left" vertical="top" wrapText="1"/>
    </xf>
    <xf numFmtId="0" fontId="8" fillId="3" borderId="380" xfId="0" applyFont="1" applyFill="1" applyBorder="1" applyAlignment="1">
      <alignment vertical="top" wrapText="1"/>
    </xf>
    <xf numFmtId="0" fontId="8" fillId="13" borderId="582" xfId="0" applyFont="1" applyFill="1" applyBorder="1" applyAlignment="1">
      <alignment horizontal="left" vertical="top" wrapText="1"/>
    </xf>
    <xf numFmtId="0" fontId="8" fillId="13" borderId="431" xfId="0" applyFont="1" applyFill="1" applyBorder="1" applyAlignment="1">
      <alignment horizontal="left" vertical="top" wrapText="1"/>
    </xf>
    <xf numFmtId="0" fontId="14" fillId="0" borderId="91" xfId="0" applyFont="1" applyBorder="1" applyAlignment="1">
      <alignment horizontal="left" vertical="top" wrapText="1"/>
    </xf>
    <xf numFmtId="0" fontId="64" fillId="0" borderId="91" xfId="0" applyFont="1" applyBorder="1" applyAlignment="1">
      <alignment horizontal="left" vertical="top"/>
    </xf>
    <xf numFmtId="0" fontId="33" fillId="0" borderId="91" xfId="0" applyFont="1" applyBorder="1" applyAlignment="1">
      <alignment horizontal="left" vertical="top"/>
    </xf>
    <xf numFmtId="0" fontId="14" fillId="13" borderId="91" xfId="0" applyFont="1" applyFill="1" applyBorder="1" applyAlignment="1">
      <alignment horizontal="left" vertical="top" wrapText="1"/>
    </xf>
    <xf numFmtId="0" fontId="59" fillId="13" borderId="91" xfId="0" applyFont="1" applyFill="1" applyBorder="1" applyAlignment="1">
      <alignment horizontal="left" vertical="top" wrapText="1"/>
    </xf>
    <xf numFmtId="0" fontId="8" fillId="0" borderId="289" xfId="0" applyFont="1" applyBorder="1" applyAlignment="1">
      <alignment horizontal="left" vertical="top" wrapText="1"/>
    </xf>
    <xf numFmtId="0" fontId="8" fillId="0" borderId="179" xfId="0" applyFont="1" applyBorder="1" applyAlignment="1">
      <alignment horizontal="left" vertical="top" wrapText="1"/>
    </xf>
    <xf numFmtId="0" fontId="8" fillId="13" borderId="226" xfId="0" applyFont="1" applyFill="1" applyBorder="1" applyAlignment="1">
      <alignment horizontal="left" vertical="top" wrapText="1"/>
    </xf>
    <xf numFmtId="0" fontId="8" fillId="13" borderId="179" xfId="0" applyFont="1" applyFill="1" applyBorder="1" applyAlignment="1">
      <alignment horizontal="left" vertical="top" wrapText="1"/>
    </xf>
    <xf numFmtId="0" fontId="8" fillId="13" borderId="222" xfId="0" applyFont="1" applyFill="1" applyBorder="1" applyAlignment="1">
      <alignment horizontal="left" vertical="top" wrapText="1"/>
    </xf>
    <xf numFmtId="0" fontId="1" fillId="13" borderId="581" xfId="0" applyFont="1" applyFill="1" applyBorder="1" applyAlignment="1">
      <alignment horizontal="left" vertical="top" wrapText="1"/>
    </xf>
    <xf numFmtId="0" fontId="8" fillId="3" borderId="149" xfId="0" applyFont="1" applyFill="1" applyBorder="1" applyAlignment="1">
      <alignment horizontal="left" vertical="top" wrapText="1"/>
    </xf>
    <xf numFmtId="0" fontId="8" fillId="0" borderId="339" xfId="0" applyFont="1" applyBorder="1" applyAlignment="1">
      <alignment horizontal="left" vertical="top" wrapText="1"/>
    </xf>
    <xf numFmtId="0" fontId="8" fillId="0" borderId="278" xfId="0" applyFont="1" applyBorder="1" applyAlignment="1">
      <alignment horizontal="left" vertical="top" wrapText="1"/>
    </xf>
    <xf numFmtId="0" fontId="8" fillId="3" borderId="554" xfId="0" applyFont="1" applyFill="1" applyBorder="1" applyAlignment="1">
      <alignment horizontal="left" vertical="top" wrapText="1"/>
    </xf>
    <xf numFmtId="0" fontId="8" fillId="13" borderId="583" xfId="0" applyFont="1" applyFill="1" applyBorder="1" applyAlignment="1">
      <alignment horizontal="left" vertical="top" wrapText="1"/>
    </xf>
    <xf numFmtId="0" fontId="8" fillId="3" borderId="129" xfId="0" applyFont="1" applyFill="1" applyBorder="1" applyAlignment="1">
      <alignment horizontal="left" vertical="top" wrapText="1"/>
    </xf>
    <xf numFmtId="0" fontId="13" fillId="0" borderId="263" xfId="0" applyFont="1" applyBorder="1" applyAlignment="1">
      <alignment horizontal="left" vertical="top"/>
    </xf>
    <xf numFmtId="0" fontId="1" fillId="13" borderId="431" xfId="0" applyFont="1" applyFill="1" applyBorder="1" applyAlignment="1">
      <alignment horizontal="left" vertical="top" wrapText="1"/>
    </xf>
    <xf numFmtId="0" fontId="1" fillId="13" borderId="277" xfId="0" applyFont="1" applyFill="1" applyBorder="1" applyAlignment="1">
      <alignment horizontal="left" vertical="top" wrapText="1"/>
    </xf>
    <xf numFmtId="0" fontId="1" fillId="3" borderId="129" xfId="0" applyFont="1" applyFill="1" applyBorder="1" applyAlignment="1">
      <alignment horizontal="left" vertical="top" wrapText="1"/>
    </xf>
    <xf numFmtId="0" fontId="61" fillId="0" borderId="159" xfId="0" applyFont="1" applyBorder="1" applyAlignment="1">
      <alignment horizontal="left" vertical="top"/>
    </xf>
    <xf numFmtId="0" fontId="20" fillId="0" borderId="159" xfId="0" applyFont="1" applyBorder="1" applyAlignment="1">
      <alignment horizontal="left" vertical="top"/>
    </xf>
    <xf numFmtId="0" fontId="17" fillId="0" borderId="112" xfId="0" applyFont="1" applyBorder="1" applyAlignment="1">
      <alignment horizontal="left" vertical="top" wrapText="1"/>
    </xf>
    <xf numFmtId="0" fontId="18" fillId="0" borderId="221" xfId="0" applyFont="1" applyBorder="1" applyAlignment="1">
      <alignment horizontal="left" vertical="top"/>
    </xf>
    <xf numFmtId="0" fontId="1" fillId="13" borderId="552" xfId="0" applyFont="1" applyFill="1" applyBorder="1" applyAlignment="1">
      <alignment horizontal="left" vertical="top" wrapText="1"/>
    </xf>
    <xf numFmtId="0" fontId="32" fillId="13" borderId="541" xfId="0" applyFont="1" applyFill="1" applyBorder="1" applyAlignment="1">
      <alignment horizontal="left" vertical="top"/>
    </xf>
    <xf numFmtId="0" fontId="32" fillId="13" borderId="520" xfId="0" applyFont="1" applyFill="1" applyBorder="1" applyAlignment="1">
      <alignment horizontal="left" vertical="top"/>
    </xf>
    <xf numFmtId="0" fontId="1" fillId="0" borderId="541" xfId="0" applyFont="1" applyBorder="1" applyAlignment="1">
      <alignment horizontal="left" vertical="top" wrapText="1"/>
    </xf>
    <xf numFmtId="0" fontId="1" fillId="0" borderId="586" xfId="0" applyFont="1" applyBorder="1" applyAlignment="1">
      <alignment horizontal="left" vertical="top" wrapText="1"/>
    </xf>
    <xf numFmtId="0" fontId="1" fillId="3" borderId="527" xfId="0" applyFont="1" applyFill="1" applyBorder="1" applyAlignment="1">
      <alignment horizontal="left" vertical="top" wrapText="1"/>
    </xf>
    <xf numFmtId="0" fontId="38" fillId="0" borderId="127" xfId="0" applyFont="1" applyBorder="1" applyAlignment="1">
      <alignment horizontal="left" vertical="top" wrapText="1"/>
    </xf>
    <xf numFmtId="0" fontId="38" fillId="0" borderId="128" xfId="0" applyFont="1" applyBorder="1" applyAlignment="1">
      <alignment horizontal="left" vertical="top" wrapText="1"/>
    </xf>
    <xf numFmtId="0" fontId="38" fillId="0" borderId="129" xfId="0" applyFont="1" applyBorder="1" applyAlignment="1">
      <alignment horizontal="left" vertical="top" wrapText="1"/>
    </xf>
    <xf numFmtId="0" fontId="38" fillId="0" borderId="91" xfId="0" applyFont="1" applyBorder="1" applyAlignment="1">
      <alignment horizontal="left" vertical="top" wrapText="1"/>
    </xf>
    <xf numFmtId="0" fontId="65" fillId="7" borderId="54" xfId="0" applyFont="1" applyFill="1" applyBorder="1" applyAlignment="1">
      <alignment horizontal="left" vertical="top" wrapText="1"/>
    </xf>
    <xf numFmtId="0" fontId="20" fillId="7" borderId="54" xfId="0" applyFont="1" applyFill="1" applyBorder="1" applyAlignment="1">
      <alignment horizontal="left" vertical="top" wrapText="1"/>
    </xf>
    <xf numFmtId="0" fontId="1" fillId="7" borderId="54" xfId="0" applyFont="1" applyFill="1" applyBorder="1" applyAlignment="1">
      <alignment horizontal="left" vertical="top" wrapText="1"/>
    </xf>
    <xf numFmtId="0" fontId="17" fillId="7" borderId="60" xfId="0" applyFont="1" applyFill="1" applyBorder="1" applyAlignment="1">
      <alignment horizontal="left" vertical="top" wrapText="1"/>
    </xf>
    <xf numFmtId="0" fontId="18" fillId="7" borderId="60" xfId="0" applyFont="1" applyFill="1" applyBorder="1" applyAlignment="1">
      <alignment horizontal="left" vertical="top"/>
    </xf>
    <xf numFmtId="0" fontId="7" fillId="0" borderId="263" xfId="0" applyFont="1" applyBorder="1" applyAlignment="1" applyProtection="1">
      <alignment horizontal="left" vertical="top"/>
      <protection locked="0"/>
    </xf>
    <xf numFmtId="0" fontId="7" fillId="0" borderId="278" xfId="0" applyFont="1" applyBorder="1" applyAlignment="1" applyProtection="1">
      <alignment horizontal="left" vertical="top"/>
      <protection locked="0"/>
    </xf>
    <xf numFmtId="0" fontId="7" fillId="0" borderId="427" xfId="0" applyFont="1" applyBorder="1" applyAlignment="1" applyProtection="1">
      <alignment horizontal="left" vertical="top" wrapText="1"/>
      <protection locked="0"/>
    </xf>
    <xf numFmtId="0" fontId="7" fillId="0" borderId="548" xfId="0" applyFont="1" applyBorder="1" applyAlignment="1" applyProtection="1">
      <alignment horizontal="left" vertical="top"/>
      <protection locked="0"/>
    </xf>
    <xf numFmtId="0" fontId="7" fillId="0" borderId="356" xfId="0" applyFont="1" applyBorder="1" applyAlignment="1" applyProtection="1">
      <alignment horizontal="left" vertical="top"/>
      <protection locked="0"/>
    </xf>
    <xf numFmtId="0" fontId="7" fillId="0" borderId="178" xfId="0" applyFont="1" applyBorder="1" applyAlignment="1" applyProtection="1">
      <alignment horizontal="left" vertical="top"/>
      <protection locked="0"/>
    </xf>
    <xf numFmtId="0" fontId="7" fillId="0" borderId="412" xfId="0" applyFont="1" applyBorder="1" applyAlignment="1" applyProtection="1">
      <alignment horizontal="left" vertical="top"/>
      <protection locked="0"/>
    </xf>
    <xf numFmtId="0" fontId="7" fillId="0" borderId="226" xfId="0" applyFont="1" applyBorder="1" applyAlignment="1" applyProtection="1">
      <alignment horizontal="left" vertical="top" wrapText="1"/>
      <protection locked="0"/>
    </xf>
    <xf numFmtId="0" fontId="7" fillId="0" borderId="352" xfId="0" applyFont="1" applyBorder="1" applyAlignment="1" applyProtection="1">
      <alignment horizontal="left" vertical="top"/>
      <protection locked="0"/>
    </xf>
    <xf numFmtId="0" fontId="16" fillId="0" borderId="352" xfId="0" applyFont="1" applyBorder="1" applyAlignment="1" applyProtection="1">
      <alignment horizontal="left" vertical="top" wrapText="1"/>
      <protection locked="0"/>
    </xf>
    <xf numFmtId="0" fontId="16" fillId="0" borderId="550" xfId="0" applyFont="1" applyBorder="1" applyAlignment="1" applyProtection="1">
      <alignment horizontal="left" vertical="top" wrapText="1"/>
      <protection locked="0"/>
    </xf>
    <xf numFmtId="0" fontId="8" fillId="6" borderId="108" xfId="0" applyFont="1" applyFill="1" applyBorder="1" applyAlignment="1" applyProtection="1">
      <alignment horizontal="left" vertical="top" wrapText="1"/>
      <protection locked="0"/>
    </xf>
    <xf numFmtId="0" fontId="8" fillId="6" borderId="174" xfId="0" applyFont="1" applyFill="1" applyBorder="1" applyAlignment="1" applyProtection="1">
      <alignment horizontal="left" vertical="top" wrapText="1"/>
      <protection locked="0"/>
    </xf>
    <xf numFmtId="0" fontId="16" fillId="0" borderId="527" xfId="0" applyFont="1" applyBorder="1" applyAlignment="1" applyProtection="1">
      <alignment horizontal="left" vertical="top" wrapText="1"/>
      <protection locked="0"/>
    </xf>
    <xf numFmtId="0" fontId="16" fillId="0" borderId="305" xfId="0" applyFont="1" applyBorder="1" applyAlignment="1" applyProtection="1">
      <alignment horizontal="left" vertical="top" wrapText="1"/>
      <protection locked="0"/>
    </xf>
    <xf numFmtId="0" fontId="16" fillId="0" borderId="300" xfId="0" applyFont="1" applyBorder="1" applyAlignment="1" applyProtection="1">
      <alignment horizontal="left" vertical="top" wrapText="1"/>
      <protection locked="0"/>
    </xf>
    <xf numFmtId="0" fontId="3" fillId="0" borderId="114" xfId="0" applyFont="1" applyBorder="1" applyAlignment="1" applyProtection="1">
      <alignment horizontal="left" vertical="top" wrapText="1"/>
      <protection locked="0"/>
    </xf>
    <xf numFmtId="0" fontId="1" fillId="0" borderId="32" xfId="0" applyFont="1" applyBorder="1" applyAlignment="1" applyProtection="1">
      <alignment horizontal="left" vertical="top" wrapText="1"/>
      <protection locked="0"/>
    </xf>
    <xf numFmtId="0" fontId="39" fillId="0" borderId="244" xfId="0" applyFont="1" applyBorder="1" applyAlignment="1" applyProtection="1">
      <alignment horizontal="left" vertical="top"/>
      <protection locked="0"/>
    </xf>
    <xf numFmtId="0" fontId="39" fillId="0" borderId="159" xfId="0" applyFont="1" applyBorder="1" applyAlignment="1" applyProtection="1">
      <alignment horizontal="left" vertical="top"/>
      <protection locked="0"/>
    </xf>
    <xf numFmtId="0" fontId="39" fillId="0" borderId="160" xfId="0" applyFont="1" applyBorder="1" applyAlignment="1" applyProtection="1">
      <alignment horizontal="left" vertical="top"/>
      <protection locked="0"/>
    </xf>
    <xf numFmtId="0" fontId="39" fillId="0" borderId="169" xfId="0" applyFont="1" applyBorder="1" applyAlignment="1" applyProtection="1">
      <alignment horizontal="left" vertical="top"/>
      <protection locked="0"/>
    </xf>
    <xf numFmtId="0" fontId="0" fillId="0" borderId="525" xfId="0" applyBorder="1" applyAlignment="1" applyProtection="1">
      <alignment horizontal="left" vertical="top" wrapText="1"/>
      <protection locked="0"/>
    </xf>
    <xf numFmtId="0" fontId="0" fillId="0" borderId="526" xfId="0" applyBorder="1" applyAlignment="1" applyProtection="1">
      <alignment horizontal="left" vertical="top"/>
      <protection locked="0"/>
    </xf>
    <xf numFmtId="0" fontId="0" fillId="0" borderId="527" xfId="0" applyBorder="1" applyAlignment="1" applyProtection="1">
      <alignment horizontal="left" vertical="top"/>
      <protection locked="0"/>
    </xf>
    <xf numFmtId="0" fontId="0" fillId="0" borderId="305" xfId="0" applyBorder="1" applyAlignment="1" applyProtection="1">
      <alignment horizontal="left" vertical="top"/>
      <protection locked="0"/>
    </xf>
    <xf numFmtId="0" fontId="0" fillId="0" borderId="115" xfId="0" applyBorder="1" applyAlignment="1" applyProtection="1">
      <alignment horizontal="left" vertical="top" wrapText="1"/>
      <protection locked="0"/>
    </xf>
    <xf numFmtId="0" fontId="0" fillId="0" borderId="172" xfId="0" applyBorder="1" applyAlignment="1" applyProtection="1">
      <alignment horizontal="left" vertical="top"/>
      <protection locked="0"/>
    </xf>
    <xf numFmtId="0" fontId="0" fillId="0" borderId="300" xfId="0" applyBorder="1" applyAlignment="1" applyProtection="1">
      <alignment horizontal="left" vertical="top"/>
      <protection locked="0"/>
    </xf>
    <xf numFmtId="0" fontId="0" fillId="0" borderId="114" xfId="0" applyBorder="1" applyAlignment="1" applyProtection="1">
      <alignment horizontal="left" vertical="top"/>
      <protection locked="0"/>
    </xf>
    <xf numFmtId="0" fontId="32" fillId="0" borderId="300" xfId="0" applyFont="1" applyBorder="1" applyAlignment="1" applyProtection="1">
      <alignment horizontal="left" vertical="top" wrapText="1"/>
      <protection locked="0"/>
    </xf>
    <xf numFmtId="0" fontId="32" fillId="0" borderId="70" xfId="0" applyFont="1" applyBorder="1" applyAlignment="1" applyProtection="1">
      <alignment horizontal="left" vertical="top" wrapText="1"/>
      <protection locked="0"/>
    </xf>
    <xf numFmtId="0" fontId="39" fillId="0" borderId="214" xfId="0" applyFont="1" applyBorder="1" applyAlignment="1" applyProtection="1">
      <alignment horizontal="left" vertical="top" wrapText="1"/>
      <protection locked="0"/>
    </xf>
    <xf numFmtId="0" fontId="32" fillId="0" borderId="168" xfId="0" applyFont="1" applyBorder="1" applyAlignment="1" applyProtection="1">
      <alignment horizontal="left" vertical="top" wrapText="1"/>
      <protection locked="0"/>
    </xf>
    <xf numFmtId="0" fontId="32" fillId="0" borderId="204" xfId="0" applyFont="1" applyBorder="1" applyAlignment="1" applyProtection="1">
      <alignment horizontal="left" vertical="top" wrapText="1"/>
      <protection locked="0"/>
    </xf>
    <xf numFmtId="0" fontId="32" fillId="0" borderId="516" xfId="0" applyFont="1" applyBorder="1" applyAlignment="1" applyProtection="1">
      <alignment horizontal="left" vertical="top" wrapText="1"/>
      <protection locked="0"/>
    </xf>
    <xf numFmtId="0" fontId="32" fillId="0" borderId="314" xfId="0" applyFont="1" applyBorder="1" applyAlignment="1" applyProtection="1">
      <alignment horizontal="left" vertical="top" wrapText="1"/>
      <protection locked="0"/>
    </xf>
    <xf numFmtId="0" fontId="32" fillId="0" borderId="113" xfId="0" applyFont="1" applyBorder="1" applyAlignment="1" applyProtection="1">
      <alignment horizontal="left" vertical="top" wrapText="1"/>
      <protection locked="0"/>
    </xf>
    <xf numFmtId="0" fontId="32" fillId="0" borderId="305" xfId="0" applyFont="1" applyBorder="1" applyAlignment="1" applyProtection="1">
      <alignment horizontal="left" vertical="top"/>
      <protection locked="0"/>
    </xf>
    <xf numFmtId="0" fontId="32" fillId="0" borderId="305" xfId="0" applyFont="1" applyBorder="1" applyAlignment="1" applyProtection="1">
      <alignment horizontal="left" vertical="top" wrapText="1"/>
      <protection locked="0"/>
    </xf>
    <xf numFmtId="0" fontId="32" fillId="0" borderId="115" xfId="0" applyFont="1" applyBorder="1" applyAlignment="1" applyProtection="1">
      <alignment horizontal="left" vertical="top" wrapText="1"/>
      <protection locked="0"/>
    </xf>
    <xf numFmtId="0" fontId="32" fillId="0" borderId="116" xfId="0" applyFont="1" applyBorder="1" applyAlignment="1" applyProtection="1">
      <alignment horizontal="left" vertical="top" wrapText="1"/>
      <protection locked="0"/>
    </xf>
    <xf numFmtId="0" fontId="32" fillId="0" borderId="114" xfId="0" applyFont="1" applyBorder="1" applyAlignment="1" applyProtection="1">
      <alignment horizontal="left" vertical="top" wrapText="1"/>
      <protection locked="0"/>
    </xf>
    <xf numFmtId="0" fontId="32" fillId="0" borderId="514" xfId="0" applyFont="1" applyBorder="1" applyAlignment="1" applyProtection="1">
      <alignment horizontal="left" vertical="top"/>
      <protection locked="0"/>
    </xf>
    <xf numFmtId="0" fontId="32" fillId="0" borderId="42" xfId="0" applyFont="1" applyBorder="1" applyAlignment="1" applyProtection="1">
      <alignment horizontal="left" vertical="top"/>
      <protection locked="0"/>
    </xf>
    <xf numFmtId="0" fontId="32" fillId="0" borderId="527" xfId="0" applyFont="1" applyBorder="1" applyAlignment="1" applyProtection="1">
      <alignment horizontal="left" vertical="top"/>
      <protection locked="0"/>
    </xf>
    <xf numFmtId="0" fontId="32" fillId="0" borderId="303" xfId="0" applyFont="1" applyBorder="1" applyAlignment="1" applyProtection="1">
      <alignment horizontal="left" vertical="top" wrapText="1"/>
      <protection locked="0"/>
    </xf>
    <xf numFmtId="0" fontId="32" fillId="0" borderId="198" xfId="0" applyFont="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74" xfId="0" applyFont="1" applyBorder="1" applyAlignment="1" applyProtection="1">
      <alignment horizontal="left" vertical="top" wrapText="1"/>
      <protection locked="0"/>
    </xf>
    <xf numFmtId="0" fontId="0" fillId="0" borderId="178" xfId="0" applyBorder="1" applyAlignment="1" applyProtection="1">
      <alignment horizontal="left" vertical="top" wrapText="1"/>
      <protection locked="0"/>
    </xf>
    <xf numFmtId="0" fontId="22" fillId="0" borderId="181" xfId="0" applyFont="1" applyBorder="1" applyAlignment="1" applyProtection="1">
      <alignment horizontal="left" vertical="top"/>
      <protection locked="0"/>
    </xf>
    <xf numFmtId="0" fontId="18" fillId="0" borderId="181" xfId="0" applyFont="1" applyBorder="1" applyAlignment="1" applyProtection="1">
      <alignment horizontal="left" vertical="top"/>
      <protection locked="0"/>
    </xf>
    <xf numFmtId="0" fontId="0" fillId="0" borderId="181" xfId="0" applyBorder="1" applyAlignment="1" applyProtection="1">
      <alignment horizontal="left" vertical="top" wrapText="1"/>
      <protection locked="0"/>
    </xf>
    <xf numFmtId="0" fontId="41" fillId="0" borderId="103" xfId="0" applyFont="1" applyBorder="1" applyAlignment="1" applyProtection="1">
      <alignment horizontal="left" vertical="top" wrapText="1"/>
      <protection locked="0"/>
    </xf>
    <xf numFmtId="0" fontId="41" fillId="0" borderId="354" xfId="0" applyFont="1" applyBorder="1" applyAlignment="1" applyProtection="1">
      <alignment horizontal="left" vertical="top" wrapText="1"/>
      <protection locked="0"/>
    </xf>
    <xf numFmtId="0" fontId="8" fillId="0" borderId="122" xfId="0" applyFont="1" applyBorder="1" applyAlignment="1" applyProtection="1">
      <alignment horizontal="left" vertical="top" wrapText="1"/>
      <protection locked="0"/>
    </xf>
    <xf numFmtId="0" fontId="41" fillId="6" borderId="0" xfId="0" applyFont="1" applyFill="1" applyAlignment="1" applyProtection="1">
      <alignment horizontal="left" vertical="top" wrapText="1"/>
      <protection locked="0"/>
    </xf>
    <xf numFmtId="0" fontId="14" fillId="6" borderId="168" xfId="0" applyFont="1" applyFill="1" applyBorder="1" applyAlignment="1" applyProtection="1">
      <alignment horizontal="left" vertical="top" wrapText="1"/>
      <protection locked="0"/>
    </xf>
    <xf numFmtId="0" fontId="15" fillId="0" borderId="75" xfId="0" applyFont="1" applyBorder="1" applyAlignment="1" applyProtection="1">
      <alignment horizontal="left" vertical="top" wrapText="1"/>
      <protection locked="0"/>
    </xf>
    <xf numFmtId="0" fontId="19" fillId="0" borderId="0" xfId="0" applyFont="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450" xfId="0" applyFont="1" applyBorder="1" applyAlignment="1" applyProtection="1">
      <alignment horizontal="left" vertical="top" wrapText="1"/>
      <protection locked="0"/>
    </xf>
    <xf numFmtId="0" fontId="1" fillId="13" borderId="546" xfId="0" applyFont="1" applyFill="1" applyBorder="1" applyAlignment="1">
      <alignment horizontal="left" vertical="top" wrapText="1"/>
    </xf>
    <xf numFmtId="0" fontId="1" fillId="13" borderId="547" xfId="0" applyFont="1" applyFill="1" applyBorder="1" applyAlignment="1">
      <alignment horizontal="left" vertical="top" wrapText="1"/>
    </xf>
    <xf numFmtId="0" fontId="1" fillId="13" borderId="457" xfId="0" applyFont="1" applyFill="1" applyBorder="1" applyAlignment="1">
      <alignment horizontal="left" vertical="top" wrapText="1"/>
    </xf>
    <xf numFmtId="0" fontId="1" fillId="13" borderId="419" xfId="0" applyFont="1" applyFill="1" applyBorder="1" applyAlignment="1">
      <alignment horizontal="left" vertical="top" wrapText="1"/>
    </xf>
    <xf numFmtId="0" fontId="1" fillId="13" borderId="487" xfId="0" applyFont="1" applyFill="1" applyBorder="1" applyAlignment="1">
      <alignment horizontal="left" vertical="top" wrapText="1"/>
    </xf>
    <xf numFmtId="0" fontId="1" fillId="13" borderId="355" xfId="0" applyFont="1" applyFill="1" applyBorder="1" applyAlignment="1">
      <alignment horizontal="left" vertical="top" wrapText="1"/>
    </xf>
    <xf numFmtId="0" fontId="8" fillId="3" borderId="211" xfId="0" applyFont="1" applyFill="1" applyBorder="1" applyAlignment="1">
      <alignment horizontal="left" vertical="top" wrapText="1"/>
    </xf>
    <xf numFmtId="0" fontId="1" fillId="3" borderId="156" xfId="0" applyFont="1" applyFill="1" applyBorder="1" applyAlignment="1">
      <alignment horizontal="left" vertical="top" wrapText="1"/>
    </xf>
    <xf numFmtId="0" fontId="1" fillId="13" borderId="3" xfId="0" applyFont="1" applyFill="1" applyBorder="1" applyAlignment="1">
      <alignment horizontal="left" vertical="top" wrapText="1"/>
    </xf>
    <xf numFmtId="0" fontId="1" fillId="3" borderId="462" xfId="0" applyFont="1" applyFill="1" applyBorder="1" applyAlignment="1">
      <alignment horizontal="left" vertical="top" wrapText="1"/>
    </xf>
    <xf numFmtId="0" fontId="1" fillId="13" borderId="17" xfId="0" applyFont="1" applyFill="1" applyBorder="1" applyAlignment="1">
      <alignment horizontal="left" vertical="top" wrapText="1"/>
    </xf>
    <xf numFmtId="0" fontId="8" fillId="13" borderId="475" xfId="0" applyFont="1" applyFill="1" applyBorder="1" applyAlignment="1">
      <alignment horizontal="left" vertical="top" wrapText="1"/>
    </xf>
    <xf numFmtId="0" fontId="1" fillId="13" borderId="470" xfId="0" applyFont="1" applyFill="1" applyBorder="1" applyAlignment="1">
      <alignment horizontal="left" vertical="top" wrapText="1"/>
    </xf>
    <xf numFmtId="0" fontId="8" fillId="8" borderId="171" xfId="0" applyFont="1" applyFill="1" applyBorder="1" applyAlignment="1">
      <alignment horizontal="left" vertical="top" wrapText="1"/>
    </xf>
    <xf numFmtId="0" fontId="41" fillId="13" borderId="153" xfId="0" applyFont="1" applyFill="1" applyBorder="1" applyAlignment="1">
      <alignment horizontal="left" vertical="top" wrapText="1"/>
    </xf>
    <xf numFmtId="0" fontId="39" fillId="13" borderId="516" xfId="0" applyFont="1" applyFill="1" applyBorder="1" applyAlignment="1">
      <alignment horizontal="left" vertical="top" wrapText="1"/>
    </xf>
    <xf numFmtId="0" fontId="32" fillId="13" borderId="169" xfId="0" applyFont="1" applyFill="1" applyBorder="1" applyAlignment="1">
      <alignment horizontal="left" vertical="top"/>
    </xf>
    <xf numFmtId="0" fontId="39" fillId="13" borderId="159" xfId="0" applyFont="1" applyFill="1" applyBorder="1" applyAlignment="1">
      <alignment horizontal="left" vertical="top"/>
    </xf>
    <xf numFmtId="0" fontId="39" fillId="13" borderId="520" xfId="0" applyFont="1" applyFill="1" applyBorder="1" applyAlignment="1">
      <alignment horizontal="left" vertical="top"/>
    </xf>
    <xf numFmtId="0" fontId="39" fillId="13" borderId="212" xfId="0" applyFont="1" applyFill="1" applyBorder="1" applyAlignment="1">
      <alignment horizontal="left" vertical="top" wrapText="1"/>
    </xf>
    <xf numFmtId="0" fontId="8" fillId="13" borderId="549" xfId="0" applyFont="1" applyFill="1" applyBorder="1" applyAlignment="1">
      <alignment horizontal="left" vertical="top" wrapText="1"/>
    </xf>
    <xf numFmtId="0" fontId="1" fillId="13" borderId="318" xfId="0" applyFont="1" applyFill="1" applyBorder="1" applyAlignment="1">
      <alignment horizontal="left" vertical="top" wrapText="1"/>
    </xf>
    <xf numFmtId="0" fontId="1" fillId="13" borderId="501" xfId="0" applyFont="1" applyFill="1" applyBorder="1" applyAlignment="1">
      <alignment horizontal="left" vertical="top" wrapText="1"/>
    </xf>
    <xf numFmtId="49" fontId="32" fillId="13" borderId="121" xfId="0" applyNumberFormat="1" applyFont="1" applyFill="1" applyBorder="1" applyAlignment="1">
      <alignment horizontal="left" vertical="top" wrapText="1"/>
    </xf>
    <xf numFmtId="0" fontId="8" fillId="13" borderId="316" xfId="0" applyFont="1" applyFill="1" applyBorder="1" applyAlignment="1">
      <alignment horizontal="left" vertical="top" wrapText="1"/>
    </xf>
    <xf numFmtId="0" fontId="57" fillId="13" borderId="212" xfId="0" applyFont="1" applyFill="1" applyBorder="1" applyAlignment="1">
      <alignment horizontal="left" vertical="top"/>
    </xf>
    <xf numFmtId="0" fontId="52" fillId="13" borderId="212" xfId="0" applyFont="1" applyFill="1" applyBorder="1" applyAlignment="1">
      <alignment horizontal="left" vertical="top"/>
    </xf>
    <xf numFmtId="0" fontId="73" fillId="0" borderId="0" xfId="0" applyFont="1" applyAlignment="1">
      <alignment horizontal="left" vertical="top" wrapText="1"/>
    </xf>
    <xf numFmtId="0" fontId="0" fillId="0" borderId="0" xfId="0" applyAlignment="1">
      <alignment horizontal="center" vertical="top"/>
    </xf>
    <xf numFmtId="0" fontId="9" fillId="0" borderId="0" xfId="0" applyFont="1" applyFill="1" applyBorder="1" applyAlignment="1">
      <alignment horizontal="center" vertical="center"/>
    </xf>
    <xf numFmtId="0" fontId="9" fillId="0" borderId="21" xfId="0" applyFont="1" applyFill="1" applyBorder="1" applyAlignment="1">
      <alignment horizontal="center" vertical="center"/>
    </xf>
    <xf numFmtId="0" fontId="1" fillId="0" borderId="161" xfId="3" applyFont="1" applyFill="1" applyBorder="1" applyAlignment="1" applyProtection="1">
      <alignment horizontal="left" vertical="top" wrapText="1"/>
      <protection locked="0"/>
    </xf>
    <xf numFmtId="0" fontId="30" fillId="0" borderId="110" xfId="3" applyFont="1" applyFill="1" applyBorder="1" applyAlignment="1" applyProtection="1">
      <alignment horizontal="left" vertical="top" wrapText="1"/>
      <protection locked="0"/>
    </xf>
    <xf numFmtId="0" fontId="1" fillId="0" borderId="110" xfId="3" applyFont="1" applyFill="1" applyBorder="1" applyAlignment="1" applyProtection="1">
      <alignment horizontal="left" vertical="top" wrapText="1"/>
      <protection locked="0"/>
    </xf>
    <xf numFmtId="0" fontId="1" fillId="0" borderId="163" xfId="3" applyFont="1" applyFill="1" applyBorder="1" applyAlignment="1" applyProtection="1">
      <alignment horizontal="left" vertical="top" wrapText="1"/>
      <protection locked="0"/>
    </xf>
    <xf numFmtId="0" fontId="30" fillId="0" borderId="164" xfId="3" applyFont="1" applyFill="1" applyBorder="1" applyAlignment="1" applyProtection="1">
      <alignment horizontal="left" vertical="top" wrapText="1"/>
      <protection locked="0"/>
    </xf>
    <xf numFmtId="0" fontId="1" fillId="0" borderId="164" xfId="3" applyFont="1" applyFill="1" applyBorder="1" applyAlignment="1" applyProtection="1">
      <alignment horizontal="left" vertical="top" wrapText="1"/>
      <protection locked="0"/>
    </xf>
    <xf numFmtId="0" fontId="41" fillId="0" borderId="178" xfId="3" applyFont="1" applyBorder="1" applyAlignment="1" applyProtection="1">
      <alignment horizontal="left" vertical="top" wrapText="1"/>
      <protection locked="0"/>
    </xf>
    <xf numFmtId="0" fontId="41" fillId="0" borderId="313" xfId="3" applyFont="1" applyBorder="1" applyAlignment="1" applyProtection="1">
      <alignment horizontal="left" vertical="top" wrapText="1"/>
      <protection locked="0"/>
    </xf>
    <xf numFmtId="0" fontId="41" fillId="0" borderId="200" xfId="3" applyFont="1" applyBorder="1" applyAlignment="1" applyProtection="1">
      <alignment horizontal="left" vertical="top" wrapText="1"/>
      <protection locked="0"/>
    </xf>
    <xf numFmtId="0" fontId="41" fillId="0" borderId="336" xfId="3" applyFont="1" applyBorder="1" applyAlignment="1" applyProtection="1">
      <alignment horizontal="left" vertical="top" wrapText="1"/>
      <protection locked="0"/>
    </xf>
    <xf numFmtId="0" fontId="41" fillId="0" borderId="268" xfId="3" applyFont="1" applyBorder="1" applyAlignment="1" applyProtection="1">
      <alignment horizontal="left" vertical="top" wrapText="1"/>
      <protection locked="0"/>
    </xf>
    <xf numFmtId="0" fontId="41" fillId="0" borderId="331" xfId="3" applyFont="1" applyBorder="1" applyAlignment="1" applyProtection="1">
      <alignment horizontal="left" vertical="top" wrapText="1"/>
      <protection locked="0"/>
    </xf>
    <xf numFmtId="0" fontId="39" fillId="0" borderId="178" xfId="3" applyFont="1" applyFill="1" applyBorder="1" applyAlignment="1" applyProtection="1">
      <alignment horizontal="left" vertical="top"/>
      <protection locked="0"/>
    </xf>
    <xf numFmtId="0" fontId="39" fillId="0" borderId="268" xfId="3" applyFont="1" applyFill="1" applyBorder="1" applyAlignment="1" applyProtection="1">
      <alignment horizontal="left" vertical="top"/>
      <protection locked="0"/>
    </xf>
    <xf numFmtId="0" fontId="41" fillId="0" borderId="178" xfId="3" applyFont="1" applyFill="1" applyBorder="1" applyAlignment="1" applyProtection="1">
      <alignment horizontal="left" vertical="top" wrapText="1"/>
      <protection locked="0"/>
    </xf>
    <xf numFmtId="0" fontId="41" fillId="0" borderId="271" xfId="3" applyFont="1" applyFill="1" applyBorder="1" applyAlignment="1" applyProtection="1">
      <alignment horizontal="left" vertical="top" wrapText="1"/>
      <protection locked="0"/>
    </xf>
    <xf numFmtId="0" fontId="41" fillId="0" borderId="200" xfId="3" applyFont="1" applyFill="1" applyBorder="1" applyAlignment="1" applyProtection="1">
      <alignment horizontal="left" vertical="top" wrapText="1"/>
      <protection locked="0"/>
    </xf>
    <xf numFmtId="0" fontId="41" fillId="0" borderId="336" xfId="3" applyFont="1" applyFill="1" applyBorder="1" applyAlignment="1" applyProtection="1">
      <alignment horizontal="left" vertical="top" wrapText="1"/>
      <protection locked="0"/>
    </xf>
    <xf numFmtId="0" fontId="39" fillId="0" borderId="200" xfId="3" applyFont="1" applyFill="1" applyBorder="1" applyAlignment="1" applyProtection="1">
      <alignment horizontal="left" vertical="top"/>
      <protection locked="0"/>
    </xf>
    <xf numFmtId="0" fontId="41" fillId="0" borderId="226" xfId="3" applyFont="1" applyBorder="1" applyAlignment="1" applyProtection="1">
      <alignment horizontal="left" vertical="top" wrapText="1"/>
      <protection locked="0"/>
    </xf>
    <xf numFmtId="0" fontId="41" fillId="0" borderId="248" xfId="3" applyFont="1" applyBorder="1" applyAlignment="1" applyProtection="1">
      <alignment horizontal="left" vertical="top" wrapText="1"/>
      <protection locked="0"/>
    </xf>
    <xf numFmtId="0" fontId="41" fillId="0" borderId="204" xfId="3" applyFont="1" applyBorder="1" applyAlignment="1" applyProtection="1">
      <alignment horizontal="left" vertical="top" wrapText="1"/>
      <protection locked="0"/>
    </xf>
    <xf numFmtId="0" fontId="39" fillId="0" borderId="226" xfId="3" applyFont="1" applyBorder="1" applyAlignment="1" applyProtection="1">
      <alignment horizontal="left" vertical="top"/>
      <protection locked="0"/>
    </xf>
    <xf numFmtId="0" fontId="41" fillId="0" borderId="369" xfId="3" applyFont="1" applyFill="1" applyBorder="1" applyAlignment="1" applyProtection="1">
      <alignment horizontal="left" vertical="top" wrapText="1"/>
      <protection locked="0"/>
    </xf>
    <xf numFmtId="0" fontId="41" fillId="0" borderId="238" xfId="3" applyFont="1" applyFill="1" applyBorder="1" applyAlignment="1" applyProtection="1">
      <alignment horizontal="left" vertical="top" wrapText="1"/>
      <protection locked="0"/>
    </xf>
    <xf numFmtId="0" fontId="41" fillId="0" borderId="273" xfId="3" applyFont="1" applyFill="1" applyBorder="1" applyAlignment="1" applyProtection="1">
      <alignment horizontal="left" vertical="top" wrapText="1"/>
      <protection locked="0"/>
    </xf>
    <xf numFmtId="0" fontId="41" fillId="0" borderId="373" xfId="3" applyFont="1" applyFill="1" applyBorder="1" applyAlignment="1" applyProtection="1">
      <alignment horizontal="left" vertical="top" wrapText="1"/>
      <protection locked="0"/>
    </xf>
    <xf numFmtId="0" fontId="41" fillId="0" borderId="268" xfId="3" applyFont="1" applyFill="1" applyBorder="1" applyAlignment="1" applyProtection="1">
      <alignment horizontal="left" vertical="top" wrapText="1"/>
      <protection locked="0"/>
    </xf>
    <xf numFmtId="0" fontId="41" fillId="0" borderId="331" xfId="3" applyFont="1" applyFill="1" applyBorder="1" applyAlignment="1" applyProtection="1">
      <alignment horizontal="left" vertical="top" wrapText="1"/>
      <protection locked="0"/>
    </xf>
    <xf numFmtId="0" fontId="41" fillId="0" borderId="361" xfId="3" applyFont="1" applyFill="1" applyBorder="1" applyAlignment="1" applyProtection="1">
      <alignment horizontal="left" vertical="top" wrapText="1"/>
      <protection locked="0"/>
    </xf>
    <xf numFmtId="0" fontId="41" fillId="0" borderId="190" xfId="3" applyFont="1" applyFill="1" applyBorder="1" applyAlignment="1" applyProtection="1">
      <alignment horizontal="left" vertical="top" wrapText="1"/>
      <protection locked="0"/>
    </xf>
    <xf numFmtId="0" fontId="41" fillId="0" borderId="616" xfId="3" applyFont="1" applyFill="1" applyBorder="1" applyAlignment="1" applyProtection="1">
      <alignment horizontal="left" vertical="top" wrapText="1"/>
      <protection locked="0"/>
    </xf>
    <xf numFmtId="0" fontId="41" fillId="0" borderId="206" xfId="3" applyFont="1" applyFill="1" applyBorder="1" applyAlignment="1" applyProtection="1">
      <alignment horizontal="left" vertical="top" wrapText="1"/>
      <protection locked="0"/>
    </xf>
    <xf numFmtId="0" fontId="39" fillId="0" borderId="238" xfId="3" applyFont="1" applyFill="1" applyBorder="1" applyAlignment="1" applyProtection="1">
      <alignment horizontal="left" vertical="top"/>
      <protection locked="0"/>
    </xf>
    <xf numFmtId="0" fontId="39" fillId="0" borderId="190" xfId="3" applyFont="1" applyFill="1" applyBorder="1" applyAlignment="1" applyProtection="1">
      <alignment horizontal="left" vertical="top"/>
      <protection locked="0"/>
    </xf>
    <xf numFmtId="0" fontId="41" fillId="0" borderId="199" xfId="3" applyFont="1" applyFill="1" applyBorder="1" applyAlignment="1" applyProtection="1">
      <alignment horizontal="left" vertical="top" wrapText="1"/>
      <protection locked="0"/>
    </xf>
    <xf numFmtId="0" fontId="41" fillId="0" borderId="203" xfId="3" applyFont="1" applyFill="1" applyBorder="1" applyAlignment="1" applyProtection="1">
      <alignment horizontal="left" vertical="top" wrapText="1"/>
      <protection locked="0"/>
    </xf>
    <xf numFmtId="0" fontId="39" fillId="0" borderId="199" xfId="3" applyFont="1" applyFill="1" applyBorder="1" applyAlignment="1" applyProtection="1">
      <alignment horizontal="left" vertical="top"/>
      <protection locked="0"/>
    </xf>
    <xf numFmtId="0" fontId="41" fillId="0" borderId="110" xfId="3" applyFont="1" applyFill="1" applyBorder="1" applyAlignment="1" applyProtection="1">
      <alignment horizontal="left" vertical="top" wrapText="1"/>
      <protection locked="0"/>
    </xf>
    <xf numFmtId="0" fontId="41" fillId="0" borderId="113" xfId="3" applyFont="1" applyFill="1" applyBorder="1" applyAlignment="1" applyProtection="1">
      <alignment horizontal="left" vertical="top" wrapText="1"/>
      <protection locked="0"/>
    </xf>
    <xf numFmtId="0" fontId="41" fillId="0" borderId="164" xfId="3" applyFont="1" applyFill="1" applyBorder="1" applyAlignment="1" applyProtection="1">
      <alignment horizontal="left" vertical="top" wrapText="1"/>
      <protection locked="0"/>
    </xf>
    <xf numFmtId="0" fontId="41" fillId="0" borderId="198" xfId="3" applyFont="1" applyFill="1" applyBorder="1" applyAlignment="1" applyProtection="1">
      <alignment horizontal="left" vertical="top" wrapText="1"/>
      <protection locked="0"/>
    </xf>
    <xf numFmtId="0" fontId="41" fillId="0" borderId="191" xfId="3" applyFont="1" applyFill="1" applyBorder="1" applyAlignment="1" applyProtection="1">
      <alignment horizontal="left" vertical="top" wrapText="1"/>
      <protection locked="0"/>
    </xf>
    <xf numFmtId="0" fontId="41" fillId="0" borderId="322" xfId="3" applyFont="1" applyFill="1" applyBorder="1" applyAlignment="1" applyProtection="1">
      <alignment horizontal="left" vertical="top" wrapText="1"/>
      <protection locked="0"/>
    </xf>
    <xf numFmtId="0" fontId="39" fillId="0" borderId="110" xfId="3" applyFont="1" applyFill="1" applyBorder="1" applyAlignment="1" applyProtection="1">
      <alignment horizontal="left" vertical="top"/>
      <protection locked="0"/>
    </xf>
    <xf numFmtId="0" fontId="39" fillId="0" borderId="164" xfId="3" applyFont="1" applyFill="1" applyBorder="1" applyAlignment="1" applyProtection="1">
      <alignment horizontal="left" vertical="top"/>
      <protection locked="0"/>
    </xf>
    <xf numFmtId="0" fontId="39" fillId="0" borderId="191" xfId="3" applyFont="1" applyFill="1" applyBorder="1" applyAlignment="1" applyProtection="1">
      <alignment horizontal="left" vertical="top"/>
      <protection locked="0"/>
    </xf>
    <xf numFmtId="0" fontId="41" fillId="0" borderId="108" xfId="3" applyFont="1" applyBorder="1" applyAlignment="1" applyProtection="1">
      <alignment horizontal="left" vertical="top" wrapText="1"/>
      <protection locked="0"/>
    </xf>
    <xf numFmtId="0" fontId="41" fillId="0" borderId="221" xfId="3" applyFont="1" applyBorder="1" applyAlignment="1" applyProtection="1">
      <alignment horizontal="left" vertical="top" wrapText="1"/>
      <protection locked="0"/>
    </xf>
    <xf numFmtId="0" fontId="41" fillId="0" borderId="174" xfId="3" applyFont="1" applyBorder="1" applyAlignment="1" applyProtection="1">
      <alignment horizontal="left" vertical="top" wrapText="1"/>
      <protection locked="0"/>
    </xf>
    <xf numFmtId="0" fontId="39" fillId="0" borderId="108" xfId="3" applyFont="1" applyBorder="1" applyAlignment="1" applyProtection="1">
      <alignment horizontal="left" vertical="top"/>
      <protection locked="0"/>
    </xf>
    <xf numFmtId="0" fontId="41" fillId="0" borderId="110" xfId="3" applyFont="1" applyBorder="1" applyAlignment="1" applyProtection="1">
      <alignment horizontal="left" vertical="top" wrapText="1"/>
      <protection locked="0"/>
    </xf>
    <xf numFmtId="0" fontId="41" fillId="0" borderId="113" xfId="3" applyFont="1" applyBorder="1" applyAlignment="1" applyProtection="1">
      <alignment horizontal="left" vertical="top" wrapText="1"/>
      <protection locked="0"/>
    </xf>
    <xf numFmtId="0" fontId="41" fillId="0" borderId="162" xfId="3" applyFont="1" applyBorder="1" applyAlignment="1" applyProtection="1">
      <alignment horizontal="left" vertical="top" wrapText="1"/>
      <protection locked="0"/>
    </xf>
    <xf numFmtId="0" fontId="41" fillId="0" borderId="164" xfId="3" applyFont="1" applyBorder="1" applyAlignment="1" applyProtection="1">
      <alignment horizontal="left" vertical="top" wrapText="1"/>
      <protection locked="0"/>
    </xf>
    <xf numFmtId="0" fontId="41" fillId="0" borderId="198" xfId="3" applyFont="1" applyBorder="1" applyAlignment="1" applyProtection="1">
      <alignment horizontal="left" vertical="top" wrapText="1"/>
      <protection locked="0"/>
    </xf>
    <xf numFmtId="0" fontId="41" fillId="0" borderId="165" xfId="3" applyFont="1" applyBorder="1" applyAlignment="1" applyProtection="1">
      <alignment horizontal="left" vertical="top" wrapText="1"/>
      <protection locked="0"/>
    </xf>
    <xf numFmtId="0" fontId="39" fillId="0" borderId="110" xfId="3" applyFont="1" applyBorder="1" applyAlignment="1" applyProtection="1">
      <alignment horizontal="left" vertical="top"/>
      <protection locked="0"/>
    </xf>
    <xf numFmtId="0" fontId="39" fillId="0" borderId="164" xfId="3" applyFont="1" applyBorder="1" applyAlignment="1" applyProtection="1">
      <alignment horizontal="left" vertical="top"/>
      <protection locked="0"/>
    </xf>
    <xf numFmtId="0" fontId="41" fillId="0" borderId="108" xfId="0" applyFont="1" applyFill="1" applyBorder="1" applyAlignment="1" applyProtection="1">
      <alignment horizontal="left" vertical="top" wrapText="1"/>
      <protection locked="0"/>
    </xf>
    <xf numFmtId="0" fontId="41" fillId="0" borderId="164" xfId="0" applyFont="1" applyFill="1" applyBorder="1" applyAlignment="1" applyProtection="1">
      <alignment horizontal="left" vertical="top" wrapText="1"/>
      <protection locked="0"/>
    </xf>
    <xf numFmtId="0" fontId="39" fillId="0" borderId="108" xfId="0" applyFont="1" applyFill="1" applyBorder="1" applyAlignment="1" applyProtection="1">
      <alignment horizontal="left" vertical="top" wrapText="1"/>
      <protection locked="0"/>
    </xf>
    <xf numFmtId="0" fontId="41" fillId="0" borderId="110" xfId="0" applyFont="1" applyFill="1" applyBorder="1" applyAlignment="1" applyProtection="1">
      <alignment horizontal="left" vertical="top" wrapText="1"/>
      <protection locked="0"/>
    </xf>
    <xf numFmtId="0" fontId="1" fillId="0" borderId="110" xfId="0" applyFont="1" applyFill="1" applyBorder="1" applyAlignment="1" applyProtection="1">
      <alignment horizontal="left" vertical="top" wrapText="1"/>
      <protection locked="0"/>
    </xf>
    <xf numFmtId="0" fontId="41" fillId="0" borderId="115" xfId="0" applyFont="1" applyFill="1" applyBorder="1" applyAlignment="1" applyProtection="1">
      <alignment horizontal="left" vertical="top" wrapText="1"/>
      <protection locked="0"/>
    </xf>
    <xf numFmtId="0" fontId="39" fillId="0" borderId="110" xfId="0" applyFont="1" applyFill="1" applyBorder="1" applyAlignment="1" applyProtection="1">
      <alignment horizontal="left" vertical="top"/>
      <protection locked="0"/>
    </xf>
    <xf numFmtId="0" fontId="39" fillId="0" borderId="115" xfId="0" applyFont="1" applyFill="1" applyBorder="1" applyAlignment="1" applyProtection="1">
      <alignment horizontal="left" vertical="top"/>
      <protection locked="0"/>
    </xf>
    <xf numFmtId="0" fontId="1" fillId="0" borderId="162" xfId="0" applyFont="1" applyFill="1" applyBorder="1" applyAlignment="1" applyProtection="1">
      <alignment horizontal="left" vertical="top" wrapText="1"/>
      <protection locked="0"/>
    </xf>
    <xf numFmtId="0" fontId="41" fillId="0" borderId="162" xfId="0" applyFont="1" applyFill="1" applyBorder="1" applyAlignment="1" applyProtection="1">
      <alignment horizontal="left" vertical="top" wrapText="1"/>
      <protection locked="0"/>
    </xf>
    <xf numFmtId="0" fontId="41" fillId="0" borderId="172" xfId="0" applyFont="1" applyFill="1" applyBorder="1" applyAlignment="1" applyProtection="1">
      <alignment horizontal="left" vertical="top" wrapText="1"/>
      <protection locked="0"/>
    </xf>
    <xf numFmtId="0" fontId="41" fillId="0" borderId="191" xfId="0" applyFont="1" applyFill="1" applyBorder="1" applyAlignment="1" applyProtection="1">
      <alignment horizontal="left" vertical="top" wrapText="1"/>
      <protection locked="0"/>
    </xf>
    <xf numFmtId="0" fontId="1" fillId="0" borderId="191" xfId="0" applyFont="1" applyFill="1" applyBorder="1" applyAlignment="1" applyProtection="1">
      <alignment horizontal="left" vertical="top" wrapText="1"/>
      <protection locked="0"/>
    </xf>
    <xf numFmtId="0" fontId="1" fillId="0" borderId="192" xfId="0" applyFont="1" applyFill="1" applyBorder="1" applyAlignment="1" applyProtection="1">
      <alignment horizontal="left" vertical="top" wrapText="1"/>
      <protection locked="0"/>
    </xf>
    <xf numFmtId="0" fontId="41" fillId="0" borderId="192" xfId="0" applyFont="1" applyFill="1" applyBorder="1" applyAlignment="1" applyProtection="1">
      <alignment horizontal="left" vertical="top" wrapText="1"/>
      <protection locked="0"/>
    </xf>
    <xf numFmtId="0" fontId="39" fillId="0" borderId="191" xfId="0" applyFont="1" applyFill="1" applyBorder="1" applyAlignment="1" applyProtection="1">
      <alignment horizontal="left" vertical="top"/>
      <protection locked="0"/>
    </xf>
    <xf numFmtId="0" fontId="1" fillId="0" borderId="159" xfId="0" applyFont="1" applyFill="1" applyBorder="1" applyAlignment="1" applyProtection="1">
      <alignment horizontal="left" vertical="top" wrapText="1"/>
      <protection locked="0"/>
    </xf>
    <xf numFmtId="0" fontId="41" fillId="0" borderId="159" xfId="0" applyFont="1" applyFill="1" applyBorder="1" applyAlignment="1" applyProtection="1">
      <alignment horizontal="left" vertical="top" wrapText="1"/>
      <protection locked="0"/>
    </xf>
    <xf numFmtId="0" fontId="1" fillId="0" borderId="160" xfId="0" applyFont="1" applyFill="1" applyBorder="1" applyAlignment="1" applyProtection="1">
      <alignment horizontal="left" vertical="top" wrapText="1"/>
      <protection locked="0"/>
    </xf>
    <xf numFmtId="0" fontId="1" fillId="0" borderId="164" xfId="0" applyFont="1" applyFill="1" applyBorder="1" applyAlignment="1" applyProtection="1">
      <alignment horizontal="left" vertical="top" wrapText="1"/>
      <protection locked="0"/>
    </xf>
    <xf numFmtId="0" fontId="1" fillId="0" borderId="165" xfId="0" applyFont="1" applyFill="1" applyBorder="1" applyAlignment="1" applyProtection="1">
      <alignment horizontal="left" vertical="top" wrapText="1"/>
      <protection locked="0"/>
    </xf>
    <xf numFmtId="49" fontId="7" fillId="0" borderId="110" xfId="0" applyNumberFormat="1" applyFont="1" applyFill="1" applyBorder="1" applyAlignment="1" applyProtection="1">
      <alignment horizontal="left" vertical="top" wrapText="1"/>
      <protection locked="0"/>
    </xf>
    <xf numFmtId="49" fontId="22" fillId="0" borderId="110" xfId="0" applyNumberFormat="1" applyFont="1" applyFill="1" applyBorder="1" applyAlignment="1" applyProtection="1">
      <alignment horizontal="left" vertical="top" wrapText="1"/>
      <protection locked="0"/>
    </xf>
    <xf numFmtId="49" fontId="7" fillId="0" borderId="162" xfId="0" applyNumberFormat="1" applyFont="1" applyFill="1" applyBorder="1" applyAlignment="1" applyProtection="1">
      <alignment horizontal="left" vertical="top" wrapText="1"/>
      <protection locked="0"/>
    </xf>
    <xf numFmtId="49" fontId="18" fillId="0" borderId="110" xfId="0" applyNumberFormat="1" applyFont="1" applyFill="1" applyBorder="1" applyAlignment="1" applyProtection="1">
      <alignment horizontal="left" vertical="top" wrapText="1"/>
      <protection locked="0"/>
    </xf>
    <xf numFmtId="49" fontId="18" fillId="0" borderId="162" xfId="0" applyNumberFormat="1" applyFont="1" applyFill="1" applyBorder="1" applyAlignment="1" applyProtection="1">
      <alignment horizontal="left" vertical="top" wrapText="1"/>
      <protection locked="0"/>
    </xf>
    <xf numFmtId="49" fontId="1" fillId="0" borderId="164" xfId="0" applyNumberFormat="1" applyFont="1" applyFill="1" applyBorder="1" applyAlignment="1" applyProtection="1">
      <alignment horizontal="left" vertical="top" wrapText="1"/>
      <protection locked="0"/>
    </xf>
    <xf numFmtId="49" fontId="22" fillId="0" borderId="164" xfId="0" applyNumberFormat="1" applyFont="1" applyFill="1" applyBorder="1" applyAlignment="1" applyProtection="1">
      <alignment horizontal="left" vertical="top" wrapText="1"/>
      <protection locked="0"/>
    </xf>
    <xf numFmtId="49" fontId="41" fillId="0" borderId="164" xfId="0" applyNumberFormat="1" applyFont="1" applyFill="1" applyBorder="1" applyAlignment="1" applyProtection="1">
      <alignment horizontal="left" vertical="top" wrapText="1"/>
      <protection locked="0"/>
    </xf>
    <xf numFmtId="49" fontId="7" fillId="0" borderId="164" xfId="0" applyNumberFormat="1" applyFont="1" applyFill="1" applyBorder="1" applyAlignment="1" applyProtection="1">
      <alignment horizontal="left" vertical="top" wrapText="1"/>
      <protection locked="0"/>
    </xf>
    <xf numFmtId="49" fontId="7" fillId="0" borderId="165" xfId="0" applyNumberFormat="1" applyFont="1" applyFill="1" applyBorder="1" applyAlignment="1" applyProtection="1">
      <alignment horizontal="left" vertical="top" wrapText="1"/>
      <protection locked="0"/>
    </xf>
    <xf numFmtId="0" fontId="1" fillId="0" borderId="113" xfId="0" applyFont="1" applyFill="1" applyBorder="1" applyAlignment="1" applyProtection="1">
      <alignment horizontal="left" vertical="top" wrapText="1"/>
      <protection locked="0"/>
    </xf>
    <xf numFmtId="0" fontId="41" fillId="0" borderId="113" xfId="0" applyFont="1" applyFill="1" applyBorder="1" applyAlignment="1" applyProtection="1">
      <alignment horizontal="left" vertical="top" wrapText="1"/>
      <protection locked="0"/>
    </xf>
    <xf numFmtId="0" fontId="39" fillId="0" borderId="229" xfId="0" applyFont="1" applyFill="1" applyBorder="1" applyAlignment="1" applyProtection="1">
      <alignment horizontal="left" vertical="top" wrapText="1"/>
      <protection locked="0"/>
    </xf>
    <xf numFmtId="0" fontId="39" fillId="0" borderId="391" xfId="0" applyFont="1" applyFill="1" applyBorder="1" applyAlignment="1" applyProtection="1">
      <alignment horizontal="left" vertical="top" wrapText="1"/>
      <protection locked="0"/>
    </xf>
    <xf numFmtId="0" fontId="39" fillId="0" borderId="159" xfId="0" applyFont="1" applyFill="1" applyBorder="1" applyAlignment="1" applyProtection="1">
      <alignment horizontal="left" vertical="top" wrapText="1"/>
      <protection locked="0"/>
    </xf>
    <xf numFmtId="0" fontId="41" fillId="0" borderId="221" xfId="0" applyFont="1" applyFill="1" applyBorder="1" applyAlignment="1" applyProtection="1">
      <alignment horizontal="left" vertical="top" wrapText="1"/>
      <protection locked="0"/>
    </xf>
    <xf numFmtId="0" fontId="39" fillId="0" borderId="164" xfId="0" applyFont="1" applyFill="1" applyBorder="1" applyAlignment="1" applyProtection="1">
      <alignment horizontal="left" vertical="top" wrapText="1"/>
      <protection locked="0"/>
    </xf>
    <xf numFmtId="0" fontId="41" fillId="0" borderId="174" xfId="0" applyFont="1" applyBorder="1" applyAlignment="1" applyProtection="1">
      <alignment horizontal="left" vertical="top" wrapText="1"/>
      <protection locked="0"/>
    </xf>
    <xf numFmtId="0" fontId="41" fillId="0" borderId="162" xfId="0" applyFont="1" applyBorder="1" applyAlignment="1" applyProtection="1">
      <alignment horizontal="left" vertical="top" wrapText="1"/>
      <protection locked="0"/>
    </xf>
    <xf numFmtId="0" fontId="41" fillId="0" borderId="165" xfId="0" applyFont="1" applyBorder="1" applyAlignment="1" applyProtection="1">
      <alignment horizontal="left" vertical="top" wrapText="1"/>
      <protection locked="0"/>
    </xf>
    <xf numFmtId="0" fontId="39" fillId="0" borderId="110" xfId="0" applyFont="1" applyFill="1" applyBorder="1" applyAlignment="1" applyProtection="1">
      <alignment horizontal="left" vertical="top" wrapText="1"/>
      <protection locked="0"/>
    </xf>
    <xf numFmtId="0" fontId="39" fillId="0" borderId="164" xfId="0" applyFont="1" applyFill="1" applyBorder="1" applyAlignment="1" applyProtection="1">
      <alignment horizontal="left" vertical="top"/>
      <protection locked="0"/>
    </xf>
    <xf numFmtId="49" fontId="39" fillId="0" borderId="110" xfId="0" applyNumberFormat="1" applyFont="1" applyBorder="1" applyAlignment="1" applyProtection="1">
      <alignment horizontal="left" vertical="top" wrapText="1"/>
      <protection locked="0"/>
    </xf>
    <xf numFmtId="49" fontId="39" fillId="0" borderId="113" xfId="0" applyNumberFormat="1" applyFont="1" applyBorder="1" applyAlignment="1" applyProtection="1">
      <alignment horizontal="left" vertical="top" wrapText="1"/>
      <protection locked="0"/>
    </xf>
    <xf numFmtId="49" fontId="39" fillId="0" borderId="162" xfId="0" applyNumberFormat="1" applyFont="1" applyBorder="1" applyAlignment="1" applyProtection="1">
      <alignment horizontal="left" vertical="top" wrapText="1"/>
      <protection locked="0"/>
    </xf>
    <xf numFmtId="49" fontId="39" fillId="0" borderId="164" xfId="0" applyNumberFormat="1" applyFont="1" applyBorder="1" applyAlignment="1" applyProtection="1">
      <alignment horizontal="left" vertical="top" wrapText="1"/>
      <protection locked="0"/>
    </xf>
    <xf numFmtId="49" fontId="39" fillId="0" borderId="198" xfId="0" applyNumberFormat="1" applyFont="1" applyBorder="1" applyAlignment="1" applyProtection="1">
      <alignment horizontal="left" vertical="top" wrapText="1"/>
      <protection locked="0"/>
    </xf>
    <xf numFmtId="49" fontId="39" fillId="0" borderId="165" xfId="0" applyNumberFormat="1" applyFont="1" applyBorder="1" applyAlignment="1" applyProtection="1">
      <alignment horizontal="left" vertical="top" wrapText="1"/>
      <protection locked="0"/>
    </xf>
    <xf numFmtId="0" fontId="1" fillId="0" borderId="296" xfId="0" applyFont="1" applyFill="1" applyBorder="1" applyAlignment="1" applyProtection="1">
      <alignment horizontal="left" vertical="top" wrapText="1"/>
      <protection locked="0"/>
    </xf>
    <xf numFmtId="0" fontId="1" fillId="0" borderId="231" xfId="0" applyFont="1" applyFill="1" applyBorder="1" applyAlignment="1" applyProtection="1">
      <alignment horizontal="left" vertical="top" wrapText="1"/>
      <protection locked="0"/>
    </xf>
    <xf numFmtId="0" fontId="1" fillId="0" borderId="198" xfId="0" applyFont="1" applyFill="1" applyBorder="1" applyAlignment="1" applyProtection="1">
      <alignment horizontal="left" vertical="top" wrapText="1"/>
      <protection locked="0"/>
    </xf>
    <xf numFmtId="0" fontId="1" fillId="0" borderId="322" xfId="0" applyFont="1" applyFill="1" applyBorder="1" applyAlignment="1" applyProtection="1">
      <alignment horizontal="left" vertical="top" wrapText="1"/>
      <protection locked="0"/>
    </xf>
    <xf numFmtId="0" fontId="1" fillId="0" borderId="168" xfId="0" applyFont="1" applyFill="1" applyBorder="1" applyAlignment="1" applyProtection="1">
      <alignment horizontal="left" vertical="top" wrapText="1"/>
      <protection locked="0"/>
    </xf>
    <xf numFmtId="0" fontId="12" fillId="4" borderId="12" xfId="0" applyFont="1" applyFill="1" applyBorder="1" applyAlignment="1">
      <alignment horizontal="center" vertical="top" wrapText="1"/>
    </xf>
    <xf numFmtId="0" fontId="0" fillId="0" borderId="0" xfId="0" applyAlignment="1">
      <alignment horizontal="left" vertical="top"/>
    </xf>
    <xf numFmtId="0" fontId="36" fillId="7" borderId="55" xfId="0" applyFont="1" applyFill="1" applyBorder="1" applyAlignment="1">
      <alignment horizontal="left" vertical="top" wrapText="1"/>
    </xf>
    <xf numFmtId="0" fontId="17" fillId="0" borderId="161" xfId="0" applyFont="1" applyBorder="1" applyAlignment="1" applyProtection="1">
      <alignment horizontal="left" vertical="top" wrapText="1"/>
      <protection locked="0"/>
    </xf>
    <xf numFmtId="0" fontId="17" fillId="0" borderId="163" xfId="0" applyFont="1" applyBorder="1" applyAlignment="1" applyProtection="1">
      <alignment horizontal="left" vertical="top" wrapText="1"/>
      <protection locked="0"/>
    </xf>
    <xf numFmtId="0" fontId="30" fillId="0" borderId="96"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1" fillId="0" borderId="29"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0" fillId="0" borderId="0" xfId="0" applyAlignment="1">
      <alignment horizontal="left" vertical="top" wrapText="1"/>
    </xf>
    <xf numFmtId="0" fontId="16" fillId="0" borderId="0" xfId="0" applyFont="1" applyAlignment="1">
      <alignment horizontal="left" vertical="top" wrapText="1"/>
    </xf>
    <xf numFmtId="0" fontId="8" fillId="0" borderId="0" xfId="0" applyFont="1" applyAlignment="1">
      <alignment horizontal="left" vertical="top" wrapText="1"/>
    </xf>
    <xf numFmtId="0" fontId="36" fillId="7" borderId="159" xfId="0" applyFont="1" applyFill="1" applyBorder="1" applyAlignment="1">
      <alignment horizontal="left" vertical="top" wrapText="1"/>
    </xf>
    <xf numFmtId="0" fontId="16" fillId="0" borderId="110" xfId="0" applyFont="1" applyBorder="1" applyAlignment="1">
      <alignment horizontal="left" vertical="top" wrapText="1"/>
    </xf>
    <xf numFmtId="0" fontId="16" fillId="0" borderId="164" xfId="0" applyFont="1" applyBorder="1" applyAlignment="1">
      <alignment horizontal="left" vertical="top" wrapText="1"/>
    </xf>
    <xf numFmtId="0" fontId="17" fillId="0" borderId="112" xfId="0" applyFont="1" applyBorder="1" applyAlignment="1" applyProtection="1">
      <alignment horizontal="left" vertical="top" wrapText="1"/>
      <protection locked="0"/>
    </xf>
    <xf numFmtId="0" fontId="8" fillId="0" borderId="29" xfId="0" applyFont="1" applyBorder="1" applyAlignment="1" applyProtection="1">
      <alignment horizontal="left" vertical="top" wrapText="1"/>
      <protection locked="0"/>
    </xf>
    <xf numFmtId="0" fontId="1" fillId="0" borderId="29"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244" xfId="0" applyFont="1" applyBorder="1" applyAlignment="1" applyProtection="1">
      <alignment horizontal="left" vertical="top" wrapText="1"/>
      <protection locked="0"/>
    </xf>
    <xf numFmtId="0" fontId="1" fillId="0" borderId="204" xfId="0" applyFont="1" applyBorder="1" applyAlignment="1" applyProtection="1">
      <alignment horizontal="left" vertical="top" wrapText="1"/>
      <protection locked="0"/>
    </xf>
    <xf numFmtId="0" fontId="1" fillId="0" borderId="68" xfId="0" applyFont="1" applyBorder="1" applyAlignment="1" applyProtection="1">
      <alignment horizontal="left" vertical="top" wrapText="1"/>
      <protection locked="0"/>
    </xf>
    <xf numFmtId="0" fontId="1" fillId="0" borderId="121" xfId="0" applyFont="1" applyBorder="1" applyAlignment="1" applyProtection="1">
      <alignment horizontal="left" vertical="top" wrapText="1"/>
      <protection locked="0"/>
    </xf>
    <xf numFmtId="0" fontId="1" fillId="0" borderId="316" xfId="0" applyFont="1" applyBorder="1" applyAlignment="1" applyProtection="1">
      <alignment horizontal="left" vertical="top" wrapText="1"/>
      <protection locked="0"/>
    </xf>
    <xf numFmtId="0" fontId="1" fillId="0" borderId="343" xfId="0" applyFont="1" applyBorder="1" applyAlignment="1" applyProtection="1">
      <alignment horizontal="left" vertical="top" wrapText="1"/>
      <protection locked="0"/>
    </xf>
    <xf numFmtId="0" fontId="1" fillId="0" borderId="208" xfId="0" applyFont="1" applyBorder="1" applyAlignment="1" applyProtection="1">
      <alignment horizontal="left" vertical="top" wrapText="1"/>
      <protection locked="0"/>
    </xf>
    <xf numFmtId="0" fontId="1" fillId="0" borderId="146" xfId="0" applyFont="1" applyBorder="1" applyAlignment="1" applyProtection="1">
      <alignment horizontal="left" vertical="top" wrapText="1"/>
      <protection locked="0"/>
    </xf>
    <xf numFmtId="0" fontId="11" fillId="4" borderId="618" xfId="0" applyFont="1" applyFill="1" applyBorder="1" applyAlignment="1">
      <alignment horizontal="center" vertical="center" wrapText="1"/>
    </xf>
    <xf numFmtId="0" fontId="11" fillId="4" borderId="619" xfId="0" applyFont="1" applyFill="1" applyBorder="1" applyAlignment="1" applyProtection="1">
      <alignment horizontal="center" vertical="center" wrapText="1"/>
      <protection locked="0"/>
    </xf>
    <xf numFmtId="15" fontId="11" fillId="4" borderId="619" xfId="0" applyNumberFormat="1" applyFont="1" applyFill="1" applyBorder="1" applyAlignment="1" applyProtection="1">
      <alignment horizontal="center" vertical="center" wrapText="1"/>
      <protection locked="0"/>
    </xf>
    <xf numFmtId="0" fontId="12" fillId="4" borderId="620" xfId="0" applyFont="1" applyFill="1" applyBorder="1" applyAlignment="1" applyProtection="1">
      <alignment horizontal="center" vertical="center" wrapText="1"/>
      <protection locked="0"/>
    </xf>
    <xf numFmtId="0" fontId="5" fillId="4" borderId="621" xfId="0" applyFont="1" applyFill="1" applyBorder="1" applyAlignment="1" applyProtection="1">
      <alignment horizontal="center" vertical="center" wrapText="1"/>
      <protection locked="0"/>
    </xf>
    <xf numFmtId="0" fontId="5" fillId="4" borderId="620" xfId="0" applyFont="1" applyFill="1" applyBorder="1" applyAlignment="1" applyProtection="1">
      <alignment horizontal="center" vertical="center" wrapText="1"/>
      <protection locked="0"/>
    </xf>
    <xf numFmtId="0" fontId="9" fillId="0" borderId="68" xfId="0" applyFont="1" applyFill="1" applyBorder="1" applyAlignment="1">
      <alignment horizontal="center" vertical="center"/>
    </xf>
    <xf numFmtId="0" fontId="1" fillId="0" borderId="23" xfId="0" applyFont="1" applyBorder="1" applyAlignment="1">
      <alignment horizontal="left" vertical="top"/>
    </xf>
    <xf numFmtId="0" fontId="9" fillId="0" borderId="86" xfId="0" applyFont="1" applyFill="1" applyBorder="1" applyAlignment="1">
      <alignment horizontal="center" vertical="center"/>
    </xf>
    <xf numFmtId="0" fontId="1" fillId="0" borderId="86" xfId="0" applyFont="1" applyBorder="1" applyAlignment="1">
      <alignment horizontal="left" vertical="top"/>
    </xf>
    <xf numFmtId="0" fontId="1" fillId="0" borderId="0" xfId="0" applyFont="1" applyBorder="1" applyAlignment="1">
      <alignment horizontal="left" vertical="center"/>
    </xf>
    <xf numFmtId="0" fontId="30" fillId="0" borderId="121" xfId="0" applyFont="1" applyBorder="1" applyAlignment="1" applyProtection="1">
      <alignment vertical="top" wrapText="1"/>
      <protection locked="0"/>
    </xf>
    <xf numFmtId="0" fontId="1" fillId="0" borderId="68" xfId="0" applyFont="1" applyBorder="1" applyAlignment="1" applyProtection="1">
      <alignment horizontal="left" vertical="top" wrapText="1"/>
      <protection locked="0"/>
    </xf>
    <xf numFmtId="0" fontId="18" fillId="0" borderId="86" xfId="0" applyFont="1" applyBorder="1" applyAlignment="1" applyProtection="1">
      <alignment horizontal="left" vertical="top" wrapText="1"/>
      <protection locked="0"/>
    </xf>
    <xf numFmtId="0" fontId="18" fillId="0" borderId="23" xfId="0" applyFont="1" applyBorder="1" applyAlignment="1" applyProtection="1">
      <alignment horizontal="left" vertical="top" wrapText="1"/>
      <protection locked="0"/>
    </xf>
    <xf numFmtId="0" fontId="1" fillId="0" borderId="0" xfId="0" applyFont="1" applyBorder="1" applyAlignment="1" applyProtection="1">
      <alignment horizontal="left" vertical="top" wrapText="1"/>
      <protection locked="0"/>
    </xf>
    <xf numFmtId="0" fontId="18" fillId="0" borderId="0" xfId="0" applyFont="1" applyFill="1" applyAlignment="1" applyProtection="1">
      <alignment horizontal="left" vertical="top" wrapText="1"/>
      <protection locked="0"/>
    </xf>
    <xf numFmtId="0" fontId="1" fillId="0" borderId="107" xfId="0" applyFont="1" applyFill="1" applyBorder="1" applyAlignment="1">
      <alignment horizontal="left" vertical="top" wrapText="1"/>
    </xf>
    <xf numFmtId="0" fontId="1" fillId="0" borderId="108" xfId="0" applyFont="1" applyFill="1" applyBorder="1" applyAlignment="1">
      <alignment horizontal="left" vertical="top" wrapText="1"/>
    </xf>
    <xf numFmtId="0" fontId="41" fillId="13" borderId="91" xfId="0" applyFont="1" applyFill="1" applyBorder="1" applyAlignment="1">
      <alignment vertical="top" wrapText="1"/>
    </xf>
    <xf numFmtId="0" fontId="3" fillId="0" borderId="107" xfId="0" applyFont="1" applyBorder="1" applyAlignment="1" applyProtection="1">
      <alignment horizontal="left" vertical="top" wrapText="1"/>
      <protection locked="0"/>
    </xf>
    <xf numFmtId="0" fontId="18" fillId="0" borderId="0" xfId="0" applyFont="1" applyBorder="1" applyAlignment="1" applyProtection="1">
      <alignment horizontal="left" vertical="top" wrapText="1"/>
      <protection locked="0"/>
    </xf>
    <xf numFmtId="0" fontId="18" fillId="0" borderId="68" xfId="0" applyFont="1" applyBorder="1" applyAlignment="1" applyProtection="1">
      <alignment horizontal="left" vertical="top" wrapText="1"/>
      <protection locked="0"/>
    </xf>
    <xf numFmtId="0" fontId="18" fillId="0" borderId="103" xfId="0" applyFont="1" applyBorder="1" applyAlignment="1" applyProtection="1">
      <alignment vertical="top" wrapText="1"/>
      <protection locked="0"/>
    </xf>
    <xf numFmtId="0" fontId="14" fillId="6" borderId="250" xfId="0" applyFont="1" applyFill="1" applyBorder="1" applyAlignment="1" applyProtection="1">
      <alignment horizontal="left" vertical="top" wrapText="1"/>
      <protection locked="0"/>
    </xf>
    <xf numFmtId="0" fontId="18" fillId="0" borderId="93" xfId="0" applyFont="1" applyBorder="1" applyAlignment="1" applyProtection="1">
      <alignment horizontal="left" vertical="top" wrapText="1"/>
      <protection locked="0"/>
    </xf>
    <xf numFmtId="0" fontId="18" fillId="0" borderId="42" xfId="0" applyFont="1" applyBorder="1" applyAlignment="1" applyProtection="1">
      <alignment vertical="top" wrapText="1"/>
      <protection locked="0"/>
    </xf>
    <xf numFmtId="0" fontId="18" fillId="0" borderId="176" xfId="0" applyFont="1" applyBorder="1" applyAlignment="1" applyProtection="1">
      <alignment vertical="top" wrapText="1"/>
      <protection locked="0"/>
    </xf>
    <xf numFmtId="0" fontId="18" fillId="0" borderId="74" xfId="0" applyFont="1" applyBorder="1" applyAlignment="1" applyProtection="1">
      <alignment vertical="top" wrapText="1"/>
      <protection locked="0"/>
    </xf>
    <xf numFmtId="0" fontId="18" fillId="0" borderId="306" xfId="0" applyFont="1" applyBorder="1" applyAlignment="1" applyProtection="1">
      <alignment vertical="top" wrapText="1"/>
      <protection locked="0"/>
    </xf>
    <xf numFmtId="0" fontId="18" fillId="0" borderId="72" xfId="0" applyFont="1" applyBorder="1" applyAlignment="1" applyProtection="1">
      <alignment vertical="top" wrapText="1"/>
      <protection locked="0"/>
    </xf>
    <xf numFmtId="0" fontId="20" fillId="0" borderId="122" xfId="0" applyFont="1" applyBorder="1" applyAlignment="1" applyProtection="1">
      <alignment horizontal="left" vertical="top" wrapText="1"/>
      <protection locked="0"/>
    </xf>
    <xf numFmtId="0" fontId="18" fillId="0" borderId="72" xfId="0" applyFont="1" applyBorder="1" applyAlignment="1" applyProtection="1">
      <alignment horizontal="left" vertical="top" wrapText="1"/>
      <protection locked="0"/>
    </xf>
    <xf numFmtId="0" fontId="18" fillId="0" borderId="121" xfId="0" applyFont="1" applyBorder="1" applyAlignment="1" applyProtection="1">
      <alignment horizontal="left" vertical="top" wrapText="1"/>
      <protection locked="0"/>
    </xf>
    <xf numFmtId="0" fontId="18" fillId="0" borderId="245" xfId="0" applyFont="1" applyBorder="1" applyAlignment="1" applyProtection="1">
      <alignment horizontal="left" vertical="top" wrapText="1"/>
      <protection locked="0"/>
    </xf>
    <xf numFmtId="0" fontId="18" fillId="0" borderId="257" xfId="0" applyFont="1" applyBorder="1" applyAlignment="1" applyProtection="1">
      <alignment horizontal="left" vertical="top" wrapText="1"/>
      <protection locked="0"/>
    </xf>
    <xf numFmtId="0" fontId="18" fillId="0" borderId="217" xfId="0" applyFont="1" applyBorder="1" applyAlignment="1" applyProtection="1">
      <alignment horizontal="left" vertical="top" wrapText="1"/>
      <protection locked="0"/>
    </xf>
    <xf numFmtId="0" fontId="32" fillId="0" borderId="103" xfId="0" applyFont="1" applyBorder="1" applyAlignment="1" applyProtection="1">
      <alignment vertical="top" wrapText="1"/>
      <protection locked="0"/>
    </xf>
    <xf numFmtId="0" fontId="32" fillId="0" borderId="74" xfId="0" applyFont="1" applyBorder="1" applyAlignment="1" applyProtection="1">
      <alignment vertical="top" wrapText="1"/>
      <protection locked="0"/>
    </xf>
    <xf numFmtId="0" fontId="18" fillId="0" borderId="175" xfId="0" applyFont="1" applyBorder="1" applyAlignment="1" applyProtection="1">
      <alignment vertical="top" wrapText="1"/>
      <protection locked="0"/>
    </xf>
    <xf numFmtId="0" fontId="32" fillId="0" borderId="175" xfId="0" applyFont="1" applyBorder="1" applyAlignment="1" applyProtection="1">
      <alignment vertical="top" wrapText="1"/>
      <protection locked="0"/>
    </xf>
    <xf numFmtId="0" fontId="32" fillId="0" borderId="110" xfId="0" applyFont="1" applyBorder="1" applyAlignment="1" applyProtection="1">
      <alignment vertical="top" wrapText="1"/>
      <protection locked="0"/>
    </xf>
    <xf numFmtId="0" fontId="32" fillId="0" borderId="310" xfId="0" applyFont="1" applyBorder="1" applyAlignment="1" applyProtection="1">
      <alignment vertical="top" wrapText="1"/>
      <protection locked="0"/>
    </xf>
    <xf numFmtId="0" fontId="32" fillId="0" borderId="306" xfId="0" applyFont="1" applyBorder="1" applyAlignment="1" applyProtection="1">
      <alignment vertical="top" wrapText="1"/>
      <protection locked="0"/>
    </xf>
    <xf numFmtId="0" fontId="18" fillId="0" borderId="310" xfId="0" applyFont="1" applyBorder="1" applyAlignment="1" applyProtection="1">
      <alignment vertical="top" wrapText="1"/>
      <protection locked="0"/>
    </xf>
    <xf numFmtId="0" fontId="32" fillId="0" borderId="311" xfId="0" applyFont="1" applyBorder="1" applyAlignment="1" applyProtection="1">
      <alignment vertical="top" wrapText="1"/>
      <protection locked="0"/>
    </xf>
    <xf numFmtId="0" fontId="32" fillId="0" borderId="70" xfId="0" applyFont="1" applyBorder="1" applyAlignment="1" applyProtection="1">
      <alignment vertical="top" wrapText="1"/>
      <protection locked="0"/>
    </xf>
    <xf numFmtId="0" fontId="14" fillId="6" borderId="184" xfId="0" applyFont="1" applyFill="1" applyBorder="1" applyAlignment="1" applyProtection="1">
      <alignment horizontal="left" vertical="top" wrapText="1"/>
      <protection locked="0"/>
    </xf>
    <xf numFmtId="0" fontId="18" fillId="0" borderId="86" xfId="0" applyFont="1" applyBorder="1" applyAlignment="1" applyProtection="1">
      <alignment vertical="top" wrapText="1"/>
      <protection locked="0"/>
    </xf>
    <xf numFmtId="0" fontId="18" fillId="0" borderId="219" xfId="0" applyFont="1" applyBorder="1" applyAlignment="1" applyProtection="1">
      <alignment vertical="top" wrapText="1"/>
      <protection locked="0"/>
    </xf>
    <xf numFmtId="0" fontId="18" fillId="0" borderId="320" xfId="0" applyFont="1" applyBorder="1" applyAlignment="1" applyProtection="1">
      <alignment vertical="top" wrapText="1"/>
      <protection locked="0"/>
    </xf>
    <xf numFmtId="0" fontId="18" fillId="0" borderId="360" xfId="0" applyFont="1" applyBorder="1" applyAlignment="1" applyProtection="1">
      <alignment vertical="top" wrapText="1"/>
      <protection locked="0"/>
    </xf>
    <xf numFmtId="0" fontId="17" fillId="0" borderId="160" xfId="0" applyFont="1" applyBorder="1" applyAlignment="1" applyProtection="1">
      <alignment horizontal="left" vertical="top" wrapText="1"/>
      <protection locked="0"/>
    </xf>
    <xf numFmtId="49" fontId="18" fillId="0" borderId="86" xfId="0" applyNumberFormat="1" applyFont="1" applyBorder="1" applyAlignment="1" applyProtection="1">
      <alignment horizontal="left" vertical="top" wrapText="1"/>
      <protection locked="0"/>
    </xf>
    <xf numFmtId="0" fontId="18" fillId="0" borderId="93" xfId="0" applyFont="1" applyBorder="1" applyAlignment="1" applyProtection="1">
      <alignment vertical="top" wrapText="1"/>
      <protection locked="0"/>
    </xf>
    <xf numFmtId="0" fontId="18" fillId="0" borderId="103" xfId="0" applyFont="1" applyBorder="1" applyAlignment="1" applyProtection="1">
      <alignment horizontal="left" vertical="top" wrapText="1"/>
      <protection locked="0"/>
    </xf>
    <xf numFmtId="0" fontId="20" fillId="0" borderId="42" xfId="0" applyFont="1" applyBorder="1" applyAlignment="1" applyProtection="1">
      <alignment horizontal="left" vertical="top" wrapText="1"/>
      <protection locked="0"/>
    </xf>
    <xf numFmtId="0" fontId="18" fillId="0" borderId="360" xfId="0" applyFont="1" applyBorder="1" applyAlignment="1" applyProtection="1">
      <alignment horizontal="left" vertical="top" wrapText="1"/>
      <protection locked="0"/>
    </xf>
    <xf numFmtId="0" fontId="18" fillId="0" borderId="42" xfId="0" applyFont="1" applyBorder="1" applyAlignment="1" applyProtection="1">
      <alignment horizontal="left" vertical="top" wrapText="1"/>
      <protection locked="0"/>
    </xf>
    <xf numFmtId="0" fontId="32" fillId="0" borderId="161" xfId="0" applyFont="1" applyBorder="1" applyAlignment="1" applyProtection="1">
      <alignment vertical="top" wrapText="1"/>
      <protection locked="0"/>
    </xf>
    <xf numFmtId="0" fontId="20" fillId="0" borderId="244" xfId="0" applyFont="1" applyBorder="1" applyAlignment="1" applyProtection="1">
      <alignment horizontal="left" vertical="top" wrapText="1"/>
      <protection locked="0"/>
    </xf>
    <xf numFmtId="0" fontId="18" fillId="0" borderId="173" xfId="0" applyFont="1" applyBorder="1" applyAlignment="1" applyProtection="1">
      <alignment horizontal="left" vertical="top" wrapText="1"/>
      <protection locked="0"/>
    </xf>
    <xf numFmtId="0" fontId="20" fillId="0" borderId="86" xfId="0" applyFont="1" applyBorder="1" applyAlignment="1" applyProtection="1">
      <alignment horizontal="left" vertical="top" wrapText="1"/>
      <protection locked="0"/>
    </xf>
    <xf numFmtId="0" fontId="18" fillId="0" borderId="211" xfId="0" applyFont="1" applyBorder="1" applyAlignment="1" applyProtection="1">
      <alignment horizontal="left" vertical="top" wrapText="1"/>
      <protection locked="0"/>
    </xf>
    <xf numFmtId="0" fontId="18" fillId="0" borderId="218" xfId="0" applyFont="1" applyBorder="1" applyAlignment="1" applyProtection="1">
      <alignment vertical="top" wrapText="1"/>
      <protection locked="0"/>
    </xf>
    <xf numFmtId="0" fontId="18" fillId="0" borderId="160" xfId="0" applyFont="1" applyBorder="1" applyAlignment="1" applyProtection="1">
      <alignment horizontal="left" vertical="top" wrapText="1"/>
      <protection locked="0"/>
    </xf>
    <xf numFmtId="0" fontId="1" fillId="0" borderId="623" xfId="0" applyFont="1" applyBorder="1" applyAlignment="1" applyProtection="1">
      <alignment horizontal="left" vertical="top" wrapText="1"/>
      <protection locked="0"/>
    </xf>
    <xf numFmtId="0" fontId="30" fillId="0" borderId="465" xfId="0" applyFont="1" applyBorder="1" applyAlignment="1" applyProtection="1">
      <alignment vertical="top" wrapText="1"/>
      <protection locked="0"/>
    </xf>
    <xf numFmtId="0" fontId="1" fillId="0" borderId="129" xfId="0" applyFont="1" applyBorder="1" applyAlignment="1" applyProtection="1">
      <alignment horizontal="left" vertical="top" wrapText="1"/>
      <protection locked="0"/>
    </xf>
    <xf numFmtId="0" fontId="39" fillId="0" borderId="191" xfId="0" applyFont="1" applyFill="1" applyBorder="1" applyAlignment="1" applyProtection="1">
      <alignment horizontal="left" vertical="top" wrapText="1"/>
      <protection locked="0"/>
    </xf>
    <xf numFmtId="0" fontId="0" fillId="0" borderId="220" xfId="0" applyFill="1" applyBorder="1" applyAlignment="1" applyProtection="1">
      <alignment horizontal="left" vertical="top" wrapText="1"/>
      <protection locked="0"/>
    </xf>
    <xf numFmtId="0" fontId="1" fillId="0" borderId="391" xfId="0" applyFont="1" applyFill="1" applyBorder="1" applyAlignment="1" applyProtection="1">
      <alignment horizontal="left" vertical="top" wrapText="1"/>
      <protection locked="0"/>
    </xf>
    <xf numFmtId="0" fontId="1" fillId="0" borderId="624" xfId="0" applyFont="1" applyFill="1" applyBorder="1" applyAlignment="1" applyProtection="1">
      <alignment horizontal="left" vertical="top" wrapText="1"/>
      <protection locked="0"/>
    </xf>
    <xf numFmtId="0" fontId="18" fillId="0" borderId="113" xfId="0" applyFont="1" applyBorder="1" applyAlignment="1" applyProtection="1">
      <alignment horizontal="left" vertical="top" wrapText="1"/>
      <protection locked="0"/>
    </xf>
    <xf numFmtId="0" fontId="18" fillId="0" borderId="214" xfId="0" applyFont="1" applyBorder="1" applyAlignment="1" applyProtection="1">
      <alignment horizontal="left" vertical="top" wrapText="1"/>
      <protection locked="0"/>
    </xf>
    <xf numFmtId="0" fontId="18" fillId="0" borderId="112" xfId="0" applyFont="1" applyBorder="1" applyAlignment="1" applyProtection="1">
      <alignment horizontal="left" vertical="top" wrapText="1"/>
      <protection locked="0"/>
    </xf>
    <xf numFmtId="0" fontId="30" fillId="0" borderId="163" xfId="0" applyFont="1" applyBorder="1" applyAlignment="1" applyProtection="1">
      <alignment vertical="top" wrapText="1"/>
      <protection locked="0"/>
    </xf>
    <xf numFmtId="0" fontId="30" fillId="0" borderId="42" xfId="0" applyFont="1" applyBorder="1" applyAlignment="1" applyProtection="1">
      <alignment vertical="top" wrapText="1"/>
      <protection locked="0"/>
    </xf>
    <xf numFmtId="0" fontId="8" fillId="0" borderId="161"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30" fillId="0" borderId="170" xfId="0" applyFont="1" applyBorder="1" applyAlignment="1" applyProtection="1">
      <alignment vertical="top" wrapText="1"/>
      <protection locked="0"/>
    </xf>
    <xf numFmtId="0" fontId="30" fillId="3" borderId="146" xfId="0" applyFont="1" applyFill="1" applyBorder="1" applyAlignment="1" applyProtection="1">
      <alignment vertical="top" wrapText="1"/>
      <protection locked="0"/>
    </xf>
    <xf numFmtId="0" fontId="8" fillId="0" borderId="158" xfId="0" applyFont="1" applyBorder="1" applyAlignment="1" applyProtection="1">
      <alignment horizontal="left" vertical="top" wrapText="1"/>
      <protection locked="0"/>
    </xf>
    <xf numFmtId="0" fontId="8" fillId="0" borderId="163" xfId="0" applyFont="1" applyBorder="1" applyAlignment="1" applyProtection="1">
      <alignment horizontal="left" vertical="top" wrapText="1"/>
      <protection locked="0"/>
    </xf>
    <xf numFmtId="0" fontId="8" fillId="0" borderId="168" xfId="0" applyFont="1" applyBorder="1" applyAlignment="1" applyProtection="1">
      <alignment horizontal="left" vertical="top" wrapText="1"/>
      <protection locked="0"/>
    </xf>
    <xf numFmtId="0" fontId="8" fillId="0" borderId="249" xfId="0" applyFont="1" applyBorder="1" applyAlignment="1" applyProtection="1">
      <alignment horizontal="left" vertical="top" wrapText="1"/>
      <protection locked="0"/>
    </xf>
    <xf numFmtId="0" fontId="8" fillId="0" borderId="203" xfId="0" applyFont="1" applyBorder="1" applyAlignment="1" applyProtection="1">
      <alignment horizontal="left" vertical="top" wrapText="1"/>
      <protection locked="0"/>
    </xf>
    <xf numFmtId="0" fontId="8" fillId="0" borderId="212" xfId="0" applyFont="1" applyBorder="1" applyAlignment="1" applyProtection="1">
      <alignment horizontal="left" vertical="top" wrapText="1"/>
      <protection locked="0"/>
    </xf>
    <xf numFmtId="0" fontId="8" fillId="0" borderId="199" xfId="0" applyFont="1" applyBorder="1" applyAlignment="1" applyProtection="1">
      <alignment horizontal="left" vertical="top" wrapText="1"/>
      <protection locked="0"/>
    </xf>
    <xf numFmtId="0" fontId="52" fillId="0" borderId="244" xfId="0" applyFont="1" applyBorder="1" applyAlignment="1" applyProtection="1">
      <alignment horizontal="left" vertical="top"/>
      <protection locked="0"/>
    </xf>
    <xf numFmtId="0" fontId="41" fillId="0" borderId="112" xfId="0" applyFont="1" applyBorder="1" applyAlignment="1" applyProtection="1">
      <alignment horizontal="left" vertical="top" wrapText="1"/>
      <protection locked="0"/>
    </xf>
    <xf numFmtId="0" fontId="41" fillId="0" borderId="170" xfId="0" applyFont="1" applyBorder="1" applyAlignment="1" applyProtection="1">
      <alignment horizontal="left" vertical="top" wrapText="1"/>
      <protection locked="0"/>
    </xf>
    <xf numFmtId="0" fontId="8" fillId="0" borderId="169" xfId="0" applyFont="1" applyBorder="1" applyAlignment="1" applyProtection="1">
      <alignment horizontal="left" vertical="top" wrapText="1"/>
      <protection locked="0"/>
    </xf>
    <xf numFmtId="0" fontId="8" fillId="0" borderId="112" xfId="0" applyFont="1" applyBorder="1" applyAlignment="1" applyProtection="1">
      <alignment horizontal="left" vertical="top" wrapText="1"/>
      <protection locked="0"/>
    </xf>
    <xf numFmtId="0" fontId="8" fillId="0" borderId="170" xfId="0" applyFont="1" applyBorder="1" applyAlignment="1" applyProtection="1">
      <alignment horizontal="left" vertical="top" wrapText="1"/>
      <protection locked="0"/>
    </xf>
    <xf numFmtId="0" fontId="55" fillId="0" borderId="211" xfId="0" applyFont="1" applyBorder="1" applyAlignment="1" applyProtection="1">
      <alignment horizontal="left" vertical="top" wrapText="1"/>
      <protection locked="0"/>
    </xf>
    <xf numFmtId="0" fontId="1" fillId="0" borderId="103"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8" fillId="0" borderId="244" xfId="0" applyFont="1" applyBorder="1" applyAlignment="1" applyProtection="1">
      <alignment horizontal="left" vertical="top" wrapText="1"/>
      <protection locked="0"/>
    </xf>
    <xf numFmtId="0" fontId="8" fillId="0" borderId="204" xfId="0" applyFont="1" applyBorder="1" applyAlignment="1" applyProtection="1">
      <alignment horizontal="left" vertical="top" wrapText="1"/>
      <protection locked="0"/>
    </xf>
    <xf numFmtId="0" fontId="8" fillId="0" borderId="206" xfId="0" applyFont="1" applyBorder="1" applyAlignment="1" applyProtection="1">
      <alignment horizontal="left" vertical="top" wrapText="1"/>
      <protection locked="0"/>
    </xf>
    <xf numFmtId="0" fontId="0" fillId="0" borderId="0" xfId="0" applyAlignment="1" applyProtection="1">
      <alignment horizontal="left" vertical="top"/>
      <protection locked="0"/>
    </xf>
    <xf numFmtId="0" fontId="30" fillId="0" borderId="306" xfId="0" applyFont="1" applyBorder="1" applyAlignment="1" applyProtection="1">
      <alignment vertical="top" wrapText="1"/>
      <protection locked="0"/>
    </xf>
    <xf numFmtId="0" fontId="30" fillId="0" borderId="176" xfId="0" applyFont="1" applyBorder="1" applyAlignment="1" applyProtection="1">
      <alignment vertical="top" wrapText="1"/>
      <protection locked="0"/>
    </xf>
    <xf numFmtId="0" fontId="30" fillId="0" borderId="70" xfId="0" applyFont="1" applyBorder="1" applyAlignment="1" applyProtection="1">
      <alignment vertical="top" wrapText="1"/>
      <protection locked="0"/>
    </xf>
    <xf numFmtId="0" fontId="8" fillId="0" borderId="0" xfId="0" applyFont="1" applyAlignment="1">
      <alignment horizontal="left" vertical="top" wrapText="1"/>
    </xf>
    <xf numFmtId="0" fontId="1" fillId="0" borderId="211" xfId="0" applyFont="1" applyBorder="1" applyAlignment="1" applyProtection="1">
      <alignment horizontal="left" vertical="top" wrapText="1"/>
      <protection locked="0"/>
    </xf>
    <xf numFmtId="0" fontId="1" fillId="0" borderId="209" xfId="0" applyFont="1" applyBorder="1" applyAlignment="1" applyProtection="1">
      <alignment horizontal="left" vertical="top" wrapText="1"/>
      <protection locked="0"/>
    </xf>
    <xf numFmtId="0" fontId="1" fillId="0" borderId="244" xfId="0" applyFont="1" applyBorder="1" applyAlignment="1" applyProtection="1">
      <alignment horizontal="left" vertical="top" wrapText="1"/>
      <protection locked="0"/>
    </xf>
    <xf numFmtId="0" fontId="1" fillId="0" borderId="204" xfId="0" applyFont="1" applyBorder="1" applyAlignment="1" applyProtection="1">
      <alignment horizontal="left" vertical="top" wrapText="1"/>
      <protection locked="0"/>
    </xf>
    <xf numFmtId="0" fontId="1" fillId="12" borderId="212" xfId="3" applyFont="1" applyFill="1" applyBorder="1" applyAlignment="1" applyProtection="1">
      <alignment horizontal="left" vertical="top" wrapText="1"/>
    </xf>
    <xf numFmtId="0" fontId="30" fillId="12" borderId="159" xfId="3" applyFont="1" applyFill="1" applyBorder="1" applyAlignment="1" applyProtection="1">
      <alignment horizontal="left" vertical="top" wrapText="1"/>
    </xf>
    <xf numFmtId="0" fontId="1" fillId="12" borderId="159" xfId="3" applyFont="1" applyFill="1" applyBorder="1" applyAlignment="1" applyProtection="1">
      <alignment horizontal="left" vertical="top" wrapText="1"/>
    </xf>
    <xf numFmtId="0" fontId="1" fillId="12" borderId="520" xfId="3" applyFont="1" applyFill="1" applyBorder="1" applyAlignment="1" applyProtection="1">
      <alignment horizontal="left" vertical="top" wrapText="1"/>
    </xf>
    <xf numFmtId="0" fontId="32" fillId="0" borderId="168" xfId="0" applyFont="1" applyBorder="1" applyAlignment="1" applyProtection="1">
      <alignment horizontal="left" vertical="top"/>
      <protection locked="0"/>
    </xf>
    <xf numFmtId="0" fontId="32" fillId="0" borderId="184" xfId="0" applyFont="1" applyBorder="1" applyAlignment="1" applyProtection="1">
      <alignment horizontal="left" vertical="top"/>
      <protection locked="0"/>
    </xf>
    <xf numFmtId="0" fontId="7" fillId="0" borderId="288" xfId="0" applyFont="1" applyBorder="1" applyAlignment="1" applyProtection="1">
      <alignment horizontal="left" vertical="top"/>
      <protection locked="0"/>
    </xf>
    <xf numFmtId="0" fontId="7" fillId="0" borderId="417" xfId="0" applyFont="1" applyBorder="1" applyAlignment="1" applyProtection="1">
      <alignment horizontal="left" vertical="top"/>
      <protection locked="0"/>
    </xf>
    <xf numFmtId="0" fontId="16" fillId="0" borderId="417" xfId="0" applyFont="1" applyBorder="1" applyAlignment="1" applyProtection="1">
      <alignment horizontal="left" vertical="top" wrapText="1"/>
      <protection locked="0"/>
    </xf>
    <xf numFmtId="0" fontId="16" fillId="0" borderId="419" xfId="0" applyFont="1" applyBorder="1" applyAlignment="1" applyProtection="1">
      <alignment horizontal="left" vertical="top" wrapText="1"/>
      <protection locked="0"/>
    </xf>
    <xf numFmtId="0" fontId="32" fillId="0" borderId="0" xfId="0" applyFont="1" applyAlignment="1" applyProtection="1">
      <alignment horizontal="left" vertical="top"/>
    </xf>
    <xf numFmtId="0" fontId="1" fillId="0" borderId="0" xfId="0" applyFont="1" applyAlignment="1" applyProtection="1">
      <alignment horizontal="left" vertical="top" wrapText="1"/>
    </xf>
    <xf numFmtId="0" fontId="8"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23" xfId="0" applyFont="1" applyBorder="1" applyAlignment="1" applyProtection="1">
      <alignment horizontal="left" vertical="top" wrapText="1"/>
    </xf>
    <xf numFmtId="0" fontId="1" fillId="0" borderId="23" xfId="0" applyFont="1" applyBorder="1" applyAlignment="1" applyProtection="1">
      <alignment horizontal="left" vertical="top" wrapText="1"/>
    </xf>
    <xf numFmtId="0" fontId="16" fillId="0" borderId="0" xfId="0" applyFont="1" applyAlignment="1" applyProtection="1">
      <alignment horizontal="left" vertical="top" wrapText="1"/>
    </xf>
    <xf numFmtId="0" fontId="7" fillId="0" borderId="0" xfId="0" applyFont="1" applyAlignment="1" applyProtection="1">
      <alignment horizontal="left" vertical="top"/>
    </xf>
    <xf numFmtId="0" fontId="55" fillId="0" borderId="0" xfId="0" applyFont="1" applyAlignment="1" applyProtection="1">
      <alignment horizontal="left" vertical="top" wrapText="1"/>
    </xf>
    <xf numFmtId="0" fontId="16" fillId="0" borderId="23" xfId="0" applyFont="1" applyBorder="1" applyAlignment="1" applyProtection="1">
      <alignment horizontal="left" vertical="top" wrapText="1"/>
    </xf>
    <xf numFmtId="0" fontId="41" fillId="0" borderId="0" xfId="0" applyFont="1" applyAlignment="1" applyProtection="1">
      <alignment horizontal="left" vertical="top" wrapText="1"/>
    </xf>
    <xf numFmtId="0" fontId="39" fillId="0" borderId="0" xfId="0" applyFont="1" applyAlignment="1" applyProtection="1">
      <alignment horizontal="left" vertical="top"/>
    </xf>
    <xf numFmtId="0" fontId="53" fillId="0" borderId="0" xfId="0" applyFont="1" applyAlignment="1" applyProtection="1">
      <alignment horizontal="left" vertical="top" wrapText="1"/>
    </xf>
    <xf numFmtId="0" fontId="36" fillId="7" borderId="0" xfId="0" applyFont="1" applyFill="1" applyAlignment="1" applyProtection="1">
      <alignment horizontal="left" vertical="top" wrapText="1"/>
    </xf>
    <xf numFmtId="0" fontId="36" fillId="7" borderId="98" xfId="0" applyFont="1" applyFill="1" applyBorder="1" applyAlignment="1" applyProtection="1">
      <alignment horizontal="left" vertical="top" wrapText="1"/>
    </xf>
    <xf numFmtId="0" fontId="36" fillId="7" borderId="73" xfId="0" applyFont="1" applyFill="1" applyBorder="1" applyAlignment="1" applyProtection="1">
      <alignment horizontal="left" vertical="top" wrapText="1"/>
    </xf>
    <xf numFmtId="0" fontId="36" fillId="7" borderId="118" xfId="0" applyFont="1" applyFill="1" applyBorder="1" applyAlignment="1" applyProtection="1">
      <alignment horizontal="left" vertical="top" wrapText="1"/>
    </xf>
    <xf numFmtId="0" fontId="58" fillId="0" borderId="0" xfId="0" applyFont="1" applyAlignment="1" applyProtection="1">
      <alignment horizontal="left" vertical="top"/>
    </xf>
    <xf numFmtId="49" fontId="18" fillId="0" borderId="0" xfId="0" applyNumberFormat="1" applyFont="1" applyAlignment="1" applyProtection="1">
      <alignment horizontal="left" vertical="top" wrapText="1"/>
    </xf>
    <xf numFmtId="0" fontId="32" fillId="0" borderId="0" xfId="0" applyFont="1" applyAlignment="1" applyProtection="1">
      <alignment horizontal="left" vertical="top" wrapText="1"/>
    </xf>
    <xf numFmtId="0" fontId="16" fillId="7" borderId="98" xfId="0" applyFont="1" applyFill="1" applyBorder="1" applyAlignment="1" applyProtection="1">
      <alignment horizontal="left" vertical="top" wrapText="1"/>
    </xf>
    <xf numFmtId="0" fontId="16" fillId="7" borderId="73" xfId="0" applyFont="1" applyFill="1" applyBorder="1" applyAlignment="1" applyProtection="1">
      <alignment horizontal="left" vertical="top" wrapText="1"/>
    </xf>
    <xf numFmtId="0" fontId="16" fillId="7" borderId="118" xfId="0" applyFont="1" applyFill="1" applyBorder="1" applyAlignment="1" applyProtection="1">
      <alignment horizontal="left" vertical="top" wrapText="1"/>
    </xf>
    <xf numFmtId="0" fontId="3" fillId="7" borderId="0" xfId="0" applyFont="1" applyFill="1" applyAlignment="1" applyProtection="1">
      <alignment horizontal="left" vertical="top" wrapText="1"/>
    </xf>
    <xf numFmtId="0" fontId="3" fillId="7" borderId="98" xfId="0" applyFont="1" applyFill="1" applyBorder="1" applyAlignment="1" applyProtection="1">
      <alignment horizontal="left" vertical="top" wrapText="1"/>
    </xf>
    <xf numFmtId="0" fontId="3" fillId="7" borderId="73" xfId="0" applyFont="1" applyFill="1" applyBorder="1" applyAlignment="1" applyProtection="1">
      <alignment horizontal="left" vertical="top" wrapText="1"/>
    </xf>
    <xf numFmtId="0" fontId="3" fillId="7" borderId="118" xfId="0" applyFont="1" applyFill="1" applyBorder="1" applyAlignment="1" applyProtection="1">
      <alignment horizontal="left" vertical="top" wrapText="1"/>
    </xf>
    <xf numFmtId="0" fontId="3" fillId="0" borderId="0" xfId="0" applyFont="1" applyAlignment="1" applyProtection="1">
      <alignment horizontal="left" vertical="top" wrapText="1"/>
    </xf>
    <xf numFmtId="49" fontId="32" fillId="0" borderId="0" xfId="0" applyNumberFormat="1" applyFont="1" applyAlignment="1" applyProtection="1">
      <alignment horizontal="left" vertical="top" wrapText="1"/>
    </xf>
    <xf numFmtId="0" fontId="22" fillId="0" borderId="0" xfId="0" applyFont="1" applyAlignment="1" applyProtection="1">
      <alignment horizontal="left" vertical="top"/>
    </xf>
    <xf numFmtId="0" fontId="18" fillId="0" borderId="0" xfId="0" applyFont="1" applyAlignment="1" applyProtection="1">
      <alignment horizontal="left" vertical="top"/>
    </xf>
    <xf numFmtId="0" fontId="0" fillId="0" borderId="0" xfId="0" applyAlignment="1" applyProtection="1">
      <alignment horizontal="left" vertical="top" wrapText="1"/>
    </xf>
    <xf numFmtId="0" fontId="6" fillId="0" borderId="0" xfId="2" applyFill="1" applyBorder="1" applyAlignment="1" applyProtection="1">
      <alignment horizontal="left" vertical="top" wrapText="1"/>
    </xf>
    <xf numFmtId="0" fontId="1" fillId="0" borderId="112" xfId="0" applyFont="1" applyBorder="1" applyAlignment="1" applyProtection="1">
      <alignment horizontal="left" vertical="top" wrapText="1"/>
    </xf>
    <xf numFmtId="0" fontId="1" fillId="0" borderId="110" xfId="0" applyFont="1" applyBorder="1" applyAlignment="1" applyProtection="1">
      <alignment horizontal="left" vertical="top" wrapText="1"/>
    </xf>
    <xf numFmtId="0" fontId="1" fillId="0" borderId="18" xfId="0" applyFont="1" applyBorder="1" applyAlignment="1" applyProtection="1">
      <alignment horizontal="left" vertical="top" wrapText="1"/>
    </xf>
    <xf numFmtId="0" fontId="36" fillId="7" borderId="55" xfId="0" applyFont="1" applyFill="1" applyBorder="1" applyAlignment="1" applyProtection="1">
      <alignment horizontal="left" vertical="top" wrapText="1"/>
    </xf>
    <xf numFmtId="0" fontId="16" fillId="7" borderId="47" xfId="0" applyFont="1" applyFill="1" applyBorder="1" applyAlignment="1" applyProtection="1">
      <alignment horizontal="left" vertical="top" wrapText="1"/>
    </xf>
    <xf numFmtId="0" fontId="16" fillId="7" borderId="26" xfId="0" applyFont="1" applyFill="1" applyBorder="1" applyAlignment="1" applyProtection="1">
      <alignment horizontal="left" vertical="top" wrapText="1"/>
    </xf>
    <xf numFmtId="0" fontId="16" fillId="7" borderId="50" xfId="0" applyFont="1" applyFill="1" applyBorder="1" applyAlignment="1" applyProtection="1">
      <alignment horizontal="left" vertical="top" wrapText="1"/>
    </xf>
    <xf numFmtId="0" fontId="3" fillId="7" borderId="55" xfId="0" applyFont="1" applyFill="1" applyBorder="1" applyAlignment="1" applyProtection="1">
      <alignment horizontal="left" vertical="top" wrapText="1"/>
    </xf>
    <xf numFmtId="0" fontId="3" fillId="7" borderId="47" xfId="0" applyFont="1" applyFill="1" applyBorder="1" applyAlignment="1" applyProtection="1">
      <alignment horizontal="left" vertical="top" wrapText="1"/>
    </xf>
    <xf numFmtId="0" fontId="3" fillId="7" borderId="26" xfId="0" applyFont="1" applyFill="1" applyBorder="1" applyAlignment="1" applyProtection="1">
      <alignment horizontal="left" vertical="top" wrapText="1"/>
    </xf>
    <xf numFmtId="0" fontId="3" fillId="7" borderId="50" xfId="0" applyFont="1" applyFill="1" applyBorder="1" applyAlignment="1" applyProtection="1">
      <alignment horizontal="left" vertical="top" wrapText="1"/>
    </xf>
    <xf numFmtId="0" fontId="1" fillId="0" borderId="223" xfId="0" applyFont="1" applyBorder="1" applyAlignment="1" applyProtection="1">
      <alignment horizontal="left" vertical="top" wrapText="1"/>
    </xf>
    <xf numFmtId="0" fontId="1" fillId="0" borderId="7" xfId="0" applyFont="1" applyBorder="1" applyAlignment="1" applyProtection="1">
      <alignment horizontal="left" vertical="top" wrapText="1"/>
    </xf>
    <xf numFmtId="0" fontId="1" fillId="0" borderId="54" xfId="0" applyFont="1" applyBorder="1" applyAlignment="1" applyProtection="1">
      <alignment horizontal="left" vertical="top" wrapText="1"/>
    </xf>
    <xf numFmtId="0" fontId="1" fillId="0" borderId="114" xfId="0" applyFont="1" applyBorder="1" applyAlignment="1" applyProtection="1">
      <alignment horizontal="left" vertical="top" wrapText="1"/>
    </xf>
    <xf numFmtId="0" fontId="1" fillId="0" borderId="115" xfId="0" applyFont="1" applyBorder="1" applyAlignment="1" applyProtection="1">
      <alignment horizontal="left" vertical="top" wrapText="1"/>
    </xf>
    <xf numFmtId="0" fontId="1" fillId="0" borderId="116" xfId="0" applyFont="1" applyBorder="1" applyAlignment="1" applyProtection="1">
      <alignment horizontal="left" vertical="top" wrapText="1"/>
    </xf>
    <xf numFmtId="0" fontId="36" fillId="7" borderId="47" xfId="0" applyFont="1" applyFill="1" applyBorder="1" applyAlignment="1" applyProtection="1">
      <alignment horizontal="left" vertical="top" wrapText="1"/>
    </xf>
    <xf numFmtId="0" fontId="36" fillId="7" borderId="26" xfId="0" applyFont="1" applyFill="1" applyBorder="1" applyAlignment="1" applyProtection="1">
      <alignment horizontal="left" vertical="top" wrapText="1"/>
    </xf>
    <xf numFmtId="0" fontId="36" fillId="7" borderId="50" xfId="0" applyFont="1" applyFill="1" applyBorder="1" applyAlignment="1" applyProtection="1">
      <alignment horizontal="left" vertical="top" wrapText="1"/>
    </xf>
    <xf numFmtId="0" fontId="1" fillId="0" borderId="64" xfId="0" applyFont="1" applyBorder="1" applyAlignment="1" applyProtection="1">
      <alignment horizontal="left" vertical="top" wrapText="1"/>
    </xf>
    <xf numFmtId="0" fontId="1" fillId="0" borderId="107" xfId="0" applyFont="1" applyBorder="1" applyAlignment="1" applyProtection="1">
      <alignment horizontal="left" vertical="top" wrapText="1"/>
    </xf>
    <xf numFmtId="0" fontId="1" fillId="0" borderId="108" xfId="0" applyFont="1" applyBorder="1" applyAlignment="1" applyProtection="1">
      <alignment horizontal="left" vertical="top" wrapText="1"/>
    </xf>
    <xf numFmtId="0" fontId="1" fillId="0" borderId="221" xfId="0" applyFont="1" applyBorder="1" applyAlignment="1" applyProtection="1">
      <alignment horizontal="left" vertical="top" wrapText="1"/>
    </xf>
    <xf numFmtId="0" fontId="7" fillId="0" borderId="23" xfId="0" applyFont="1" applyBorder="1" applyAlignment="1" applyProtection="1">
      <alignment horizontal="left" vertical="top"/>
    </xf>
    <xf numFmtId="0" fontId="30" fillId="0" borderId="0" xfId="0" applyFont="1" applyAlignment="1" applyProtection="1">
      <alignment horizontal="left" vertical="top" wrapText="1"/>
    </xf>
    <xf numFmtId="0" fontId="8" fillId="0" borderId="29" xfId="0" applyFont="1" applyBorder="1" applyAlignment="1" applyProtection="1">
      <alignment horizontal="left" vertical="top" wrapText="1"/>
    </xf>
    <xf numFmtId="0" fontId="13" fillId="0" borderId="0" xfId="0" applyFont="1" applyAlignment="1" applyProtection="1">
      <alignment horizontal="left" vertical="top" wrapText="1"/>
    </xf>
    <xf numFmtId="0" fontId="0" fillId="0" borderId="0" xfId="0" applyAlignment="1" applyProtection="1">
      <alignment horizontal="left" vertical="top"/>
    </xf>
    <xf numFmtId="0" fontId="7" fillId="0" borderId="0" xfId="0" applyFont="1" applyAlignment="1" applyProtection="1">
      <alignment horizontal="left" vertical="top" wrapText="1"/>
    </xf>
    <xf numFmtId="0" fontId="67" fillId="7" borderId="0" xfId="0" applyFont="1" applyFill="1" applyAlignment="1" applyProtection="1">
      <alignment horizontal="left" vertical="top" wrapText="1"/>
    </xf>
    <xf numFmtId="0" fontId="39" fillId="0" borderId="23" xfId="0" applyFont="1" applyBorder="1" applyAlignment="1" applyProtection="1">
      <alignment horizontal="left" vertical="top"/>
    </xf>
    <xf numFmtId="0" fontId="39" fillId="0" borderId="23" xfId="0" applyFont="1" applyBorder="1" applyAlignment="1" applyProtection="1">
      <alignment horizontal="left" vertical="top" wrapText="1"/>
    </xf>
    <xf numFmtId="0" fontId="16" fillId="0" borderId="54" xfId="0" applyFont="1" applyBorder="1" applyAlignment="1" applyProtection="1">
      <alignment horizontal="left" vertical="top" wrapText="1"/>
    </xf>
    <xf numFmtId="0" fontId="16" fillId="0" borderId="29" xfId="0" applyFont="1" applyBorder="1" applyAlignment="1" applyProtection="1">
      <alignment horizontal="left" vertical="top" wrapText="1"/>
    </xf>
    <xf numFmtId="0" fontId="8" fillId="0" borderId="23" xfId="0" applyFont="1" applyBorder="1" applyAlignment="1" applyProtection="1">
      <alignment horizontal="left" vertical="top" wrapText="1"/>
    </xf>
    <xf numFmtId="0" fontId="27" fillId="0" borderId="0" xfId="0" applyFont="1" applyAlignment="1" applyProtection="1">
      <alignment horizontal="left" vertical="top" wrapText="1"/>
    </xf>
    <xf numFmtId="0" fontId="39" fillId="0" borderId="0" xfId="0" applyFont="1" applyAlignment="1" applyProtection="1">
      <alignment horizontal="left" vertical="top" wrapText="1"/>
    </xf>
    <xf numFmtId="0" fontId="13" fillId="0" borderId="29" xfId="0" applyFont="1" applyBorder="1" applyAlignment="1" applyProtection="1">
      <alignment horizontal="left" vertical="top" wrapText="1"/>
    </xf>
    <xf numFmtId="0" fontId="36" fillId="7" borderId="54" xfId="0" applyFont="1" applyFill="1" applyBorder="1" applyAlignment="1" applyProtection="1">
      <alignment horizontal="left" vertical="top" wrapText="1"/>
    </xf>
    <xf numFmtId="0" fontId="16" fillId="7" borderId="46" xfId="0" applyFont="1" applyFill="1" applyBorder="1" applyAlignment="1" applyProtection="1">
      <alignment horizontal="left" vertical="top" wrapText="1"/>
    </xf>
    <xf numFmtId="0" fontId="16" fillId="7" borderId="44" xfId="0" applyFont="1" applyFill="1" applyBorder="1" applyAlignment="1" applyProtection="1">
      <alignment horizontal="left" vertical="top" wrapText="1"/>
    </xf>
    <xf numFmtId="0" fontId="16" fillId="7" borderId="49" xfId="0" applyFont="1" applyFill="1" applyBorder="1" applyAlignment="1" applyProtection="1">
      <alignment horizontal="left" vertical="top" wrapText="1"/>
    </xf>
    <xf numFmtId="0" fontId="3" fillId="7" borderId="54" xfId="0" applyFont="1" applyFill="1" applyBorder="1" applyAlignment="1" applyProtection="1">
      <alignment horizontal="left" vertical="top" wrapText="1"/>
    </xf>
    <xf numFmtId="0" fontId="78" fillId="7" borderId="54" xfId="0" applyFont="1" applyFill="1" applyBorder="1" applyAlignment="1" applyProtection="1">
      <alignment horizontal="left" vertical="top" wrapText="1"/>
    </xf>
    <xf numFmtId="0" fontId="3" fillId="7" borderId="46" xfId="0" applyFont="1" applyFill="1" applyBorder="1" applyAlignment="1" applyProtection="1">
      <alignment horizontal="left" vertical="top" wrapText="1"/>
    </xf>
    <xf numFmtId="0" fontId="3" fillId="7" borderId="44" xfId="0" applyFont="1" applyFill="1" applyBorder="1" applyAlignment="1" applyProtection="1">
      <alignment horizontal="left" vertical="top" wrapText="1"/>
    </xf>
    <xf numFmtId="0" fontId="3" fillId="7" borderId="49" xfId="0" applyFont="1" applyFill="1" applyBorder="1" applyAlignment="1" applyProtection="1">
      <alignment horizontal="left" vertical="top" wrapText="1"/>
    </xf>
    <xf numFmtId="0" fontId="55" fillId="0" borderId="23" xfId="0" applyFont="1" applyBorder="1" applyAlignment="1" applyProtection="1">
      <alignment horizontal="left" vertical="top" wrapText="1"/>
    </xf>
    <xf numFmtId="0" fontId="78" fillId="0" borderId="0" xfId="0" applyFont="1" applyAlignment="1" applyProtection="1">
      <alignment horizontal="left" vertical="top" wrapText="1"/>
    </xf>
    <xf numFmtId="0" fontId="1" fillId="0" borderId="2" xfId="0" applyFont="1" applyBorder="1" applyAlignment="1" applyProtection="1">
      <alignment horizontal="left" vertical="top" wrapText="1"/>
    </xf>
    <xf numFmtId="0" fontId="78" fillId="7" borderId="55" xfId="0" applyFont="1" applyFill="1" applyBorder="1" applyAlignment="1" applyProtection="1">
      <alignment horizontal="left" vertical="top" wrapText="1"/>
    </xf>
    <xf numFmtId="0" fontId="36" fillId="0" borderId="141" xfId="0" applyFont="1" applyBorder="1" applyAlignment="1" applyProtection="1">
      <alignment horizontal="left" vertical="top" wrapText="1"/>
    </xf>
    <xf numFmtId="0" fontId="36" fillId="0" borderId="64" xfId="0" applyFont="1" applyBorder="1" applyAlignment="1" applyProtection="1">
      <alignment horizontal="left" vertical="top" wrapText="1"/>
    </xf>
    <xf numFmtId="0" fontId="8" fillId="0" borderId="64" xfId="0" applyFont="1" applyBorder="1" applyAlignment="1" applyProtection="1">
      <alignment horizontal="left" vertical="top" wrapText="1"/>
    </xf>
    <xf numFmtId="0" fontId="8" fillId="0" borderId="62" xfId="0" applyFont="1" applyBorder="1" applyAlignment="1" applyProtection="1">
      <alignment horizontal="left" vertical="top" wrapText="1"/>
    </xf>
    <xf numFmtId="0" fontId="16" fillId="0" borderId="62" xfId="0" applyFont="1" applyBorder="1" applyAlignment="1" applyProtection="1">
      <alignment horizontal="left" vertical="top" wrapText="1"/>
    </xf>
    <xf numFmtId="0" fontId="16" fillId="0" borderId="40" xfId="0" applyFont="1" applyBorder="1" applyAlignment="1" applyProtection="1">
      <alignment horizontal="left" vertical="top" wrapText="1"/>
    </xf>
    <xf numFmtId="0" fontId="16" fillId="0" borderId="63" xfId="0" applyFont="1" applyBorder="1" applyAlignment="1" applyProtection="1">
      <alignment horizontal="left" vertical="top" wrapText="1"/>
    </xf>
    <xf numFmtId="0" fontId="3" fillId="0" borderId="64" xfId="0" applyFont="1" applyBorder="1" applyAlignment="1" applyProtection="1">
      <alignment horizontal="left" vertical="top" wrapText="1"/>
    </xf>
    <xf numFmtId="0" fontId="78" fillId="0" borderId="64" xfId="0" applyFont="1" applyBorder="1" applyAlignment="1" applyProtection="1">
      <alignment horizontal="left" vertical="top" wrapText="1"/>
    </xf>
    <xf numFmtId="0" fontId="3" fillId="0" borderId="40" xfId="0" applyFont="1" applyBorder="1" applyAlignment="1" applyProtection="1">
      <alignment horizontal="left" vertical="top" wrapText="1"/>
    </xf>
    <xf numFmtId="0" fontId="3" fillId="0" borderId="63" xfId="0" applyFont="1" applyBorder="1" applyAlignment="1" applyProtection="1">
      <alignment horizontal="left" vertical="top" wrapText="1"/>
    </xf>
    <xf numFmtId="0" fontId="1" fillId="0" borderId="29" xfId="0" applyFont="1" applyBorder="1" applyAlignment="1" applyProtection="1">
      <alignment horizontal="left" vertical="top" wrapText="1"/>
    </xf>
    <xf numFmtId="0" fontId="1" fillId="0" borderId="4" xfId="0" applyFont="1" applyBorder="1" applyAlignment="1" applyProtection="1">
      <alignment horizontal="left" vertical="top" wrapText="1"/>
    </xf>
    <xf numFmtId="0" fontId="0" fillId="0" borderId="23" xfId="0" applyBorder="1" applyAlignment="1" applyProtection="1">
      <alignment horizontal="left" vertical="top" wrapText="1"/>
    </xf>
    <xf numFmtId="0" fontId="13" fillId="0" borderId="23" xfId="0" applyFont="1" applyBorder="1" applyAlignment="1" applyProtection="1">
      <alignment horizontal="left" vertical="top" wrapText="1"/>
    </xf>
    <xf numFmtId="0" fontId="8" fillId="0" borderId="54" xfId="0" applyFont="1" applyBorder="1" applyAlignment="1" applyProtection="1">
      <alignment horizontal="left" vertical="top" wrapText="1"/>
    </xf>
    <xf numFmtId="0" fontId="0" fillId="0" borderId="23" xfId="0" applyBorder="1" applyAlignment="1" applyProtection="1">
      <alignment horizontal="left" vertical="top"/>
    </xf>
    <xf numFmtId="0" fontId="55" fillId="0" borderId="29" xfId="0" applyFont="1" applyBorder="1" applyAlignment="1" applyProtection="1">
      <alignment horizontal="left" vertical="top" wrapText="1"/>
    </xf>
    <xf numFmtId="0" fontId="22" fillId="0" borderId="23" xfId="0" applyFont="1" applyBorder="1" applyAlignment="1" applyProtection="1">
      <alignment horizontal="left" vertical="top"/>
    </xf>
    <xf numFmtId="0" fontId="18" fillId="0" borderId="23" xfId="0" applyFont="1" applyBorder="1" applyAlignment="1" applyProtection="1">
      <alignment horizontal="left" vertical="top"/>
    </xf>
    <xf numFmtId="0" fontId="41" fillId="0" borderId="23" xfId="0" applyFont="1" applyBorder="1" applyAlignment="1" applyProtection="1">
      <alignment horizontal="left" vertical="top" wrapText="1"/>
    </xf>
    <xf numFmtId="0" fontId="67" fillId="7" borderId="55" xfId="0" applyFont="1" applyFill="1" applyBorder="1" applyAlignment="1" applyProtection="1">
      <alignment horizontal="left" vertical="top" wrapText="1"/>
    </xf>
    <xf numFmtId="0" fontId="1" fillId="0" borderId="61" xfId="0" applyFont="1" applyBorder="1" applyAlignment="1" applyProtection="1">
      <alignment horizontal="left" vertical="top" wrapText="1"/>
    </xf>
    <xf numFmtId="0" fontId="8" fillId="0" borderId="43" xfId="0" applyFont="1" applyBorder="1" applyAlignment="1" applyProtection="1">
      <alignment horizontal="left" vertical="top" wrapText="1"/>
    </xf>
    <xf numFmtId="0" fontId="27" fillId="0" borderId="118" xfId="0" applyFont="1" applyBorder="1" applyAlignment="1" applyProtection="1">
      <alignment horizontal="left" vertical="top"/>
    </xf>
    <xf numFmtId="0" fontId="1" fillId="0" borderId="118" xfId="0" applyFont="1" applyBorder="1" applyAlignment="1" applyProtection="1">
      <alignment horizontal="left" vertical="top" wrapText="1"/>
    </xf>
    <xf numFmtId="0" fontId="27" fillId="0" borderId="98" xfId="0" applyFont="1" applyBorder="1" applyAlignment="1" applyProtection="1">
      <alignment horizontal="left" vertical="top"/>
    </xf>
    <xf numFmtId="0" fontId="27" fillId="0" borderId="0" xfId="0" applyFont="1" applyAlignment="1" applyProtection="1">
      <alignment horizontal="left" vertical="top"/>
    </xf>
    <xf numFmtId="0" fontId="31" fillId="0" borderId="145" xfId="0" applyFont="1" applyBorder="1" applyAlignment="1" applyProtection="1">
      <alignment horizontal="left" vertical="top" wrapText="1"/>
    </xf>
    <xf numFmtId="0" fontId="31" fillId="0" borderId="142" xfId="0" applyFont="1" applyBorder="1" applyAlignment="1" applyProtection="1">
      <alignment horizontal="left" vertical="top" wrapText="1"/>
    </xf>
    <xf numFmtId="0" fontId="8" fillId="0" borderId="73" xfId="0" applyFont="1" applyBorder="1" applyAlignment="1" applyProtection="1">
      <alignment horizontal="left" vertical="top" wrapText="1"/>
    </xf>
    <xf numFmtId="0" fontId="8" fillId="0" borderId="118" xfId="0" applyFont="1" applyBorder="1" applyAlignment="1" applyProtection="1">
      <alignment horizontal="left" vertical="top" wrapText="1"/>
    </xf>
    <xf numFmtId="0" fontId="8" fillId="0" borderId="91" xfId="0" applyFont="1" applyBorder="1" applyAlignment="1" applyProtection="1">
      <alignment horizontal="left" vertical="top" wrapText="1"/>
    </xf>
    <xf numFmtId="0" fontId="27" fillId="0" borderId="86" xfId="0" applyFont="1" applyBorder="1" applyAlignment="1" applyProtection="1">
      <alignment horizontal="left" vertical="top"/>
    </xf>
    <xf numFmtId="0" fontId="17" fillId="0" borderId="61" xfId="0" applyFont="1" applyBorder="1" applyAlignment="1" applyProtection="1">
      <alignment horizontal="left" vertical="top" wrapText="1"/>
    </xf>
    <xf numFmtId="0" fontId="16" fillId="0" borderId="61" xfId="0" applyFont="1" applyBorder="1" applyAlignment="1" applyProtection="1">
      <alignment horizontal="left" vertical="top" wrapText="1"/>
    </xf>
    <xf numFmtId="0" fontId="16" fillId="0" borderId="64" xfId="0" applyFont="1" applyBorder="1" applyAlignment="1" applyProtection="1">
      <alignment horizontal="left" vertical="top" wrapText="1"/>
    </xf>
    <xf numFmtId="0" fontId="36" fillId="0" borderId="0" xfId="0" applyFont="1" applyAlignment="1" applyProtection="1">
      <alignment horizontal="left" vertical="top" wrapText="1"/>
    </xf>
    <xf numFmtId="0" fontId="68" fillId="0" borderId="18" xfId="0" applyFont="1" applyBorder="1" applyAlignment="1" applyProtection="1">
      <alignment horizontal="left" vertical="top" wrapText="1"/>
    </xf>
    <xf numFmtId="0" fontId="69" fillId="0" borderId="18" xfId="0" applyFont="1" applyBorder="1" applyAlignment="1" applyProtection="1">
      <alignment horizontal="left" vertical="top" wrapText="1"/>
    </xf>
    <xf numFmtId="0" fontId="69" fillId="0" borderId="0" xfId="0" applyFont="1" applyAlignment="1" applyProtection="1">
      <alignment horizontal="left" vertical="top"/>
    </xf>
    <xf numFmtId="0" fontId="38" fillId="0" borderId="148" xfId="0" applyFont="1" applyBorder="1" applyAlignment="1" applyProtection="1">
      <alignment horizontal="left" vertical="top" wrapText="1"/>
    </xf>
    <xf numFmtId="0" fontId="67" fillId="0" borderId="148" xfId="0" applyFont="1" applyBorder="1" applyAlignment="1" applyProtection="1">
      <alignment horizontal="left" vertical="top" wrapText="1"/>
    </xf>
    <xf numFmtId="0" fontId="58" fillId="0" borderId="148" xfId="0" applyFont="1" applyBorder="1" applyAlignment="1" applyProtection="1">
      <alignment horizontal="left" vertical="top"/>
    </xf>
    <xf numFmtId="0" fontId="7" fillId="7" borderId="37" xfId="0" applyFont="1" applyFill="1" applyBorder="1" applyAlignment="1" applyProtection="1">
      <alignment horizontal="left" vertical="top"/>
    </xf>
    <xf numFmtId="0" fontId="7" fillId="0" borderId="61" xfId="0" applyFont="1" applyBorder="1" applyAlignment="1" applyProtection="1">
      <alignment horizontal="left" vertical="top"/>
    </xf>
    <xf numFmtId="0" fontId="1" fillId="0" borderId="91" xfId="0" applyFont="1" applyBorder="1" applyAlignment="1" applyProtection="1">
      <alignment horizontal="left" vertical="top" wrapText="1"/>
    </xf>
    <xf numFmtId="0" fontId="14" fillId="7" borderId="0" xfId="0" applyFont="1" applyFill="1" applyAlignment="1" applyProtection="1">
      <alignment horizontal="left" vertical="top" wrapText="1"/>
    </xf>
    <xf numFmtId="0" fontId="63" fillId="7" borderId="0" xfId="0" applyFont="1" applyFill="1" applyAlignment="1" applyProtection="1">
      <alignment horizontal="left" vertical="top"/>
    </xf>
    <xf numFmtId="0" fontId="28" fillId="0" borderId="0" xfId="0" applyFont="1" applyAlignment="1" applyProtection="1">
      <alignment horizontal="left" vertical="top"/>
    </xf>
    <xf numFmtId="0" fontId="27" fillId="0" borderId="23" xfId="0" applyFont="1" applyBorder="1" applyAlignment="1" applyProtection="1">
      <alignment horizontal="left" vertical="top"/>
    </xf>
    <xf numFmtId="0" fontId="16" fillId="0" borderId="28" xfId="0" applyFont="1" applyBorder="1" applyAlignment="1" applyProtection="1">
      <alignment horizontal="left" vertical="top" wrapText="1"/>
    </xf>
    <xf numFmtId="0" fontId="16" fillId="0" borderId="57" xfId="0" applyFont="1" applyBorder="1" applyAlignment="1" applyProtection="1">
      <alignment horizontal="left" vertical="top" wrapText="1"/>
    </xf>
    <xf numFmtId="0" fontId="72" fillId="0" borderId="39" xfId="0" applyFont="1" applyBorder="1" applyAlignment="1" applyProtection="1">
      <alignment horizontal="left" vertical="top" wrapText="1"/>
    </xf>
    <xf numFmtId="0" fontId="71" fillId="0" borderId="39" xfId="0" applyFont="1" applyBorder="1" applyAlignment="1" applyProtection="1">
      <alignment horizontal="left" vertical="top" wrapText="1"/>
    </xf>
    <xf numFmtId="0" fontId="71" fillId="0" borderId="39" xfId="0" applyFont="1" applyBorder="1" applyAlignment="1" applyProtection="1">
      <alignment horizontal="left" vertical="top"/>
    </xf>
    <xf numFmtId="0" fontId="71" fillId="0" borderId="0" xfId="0" applyFont="1" applyAlignment="1" applyProtection="1">
      <alignment horizontal="left" vertical="top"/>
    </xf>
    <xf numFmtId="0" fontId="7" fillId="7" borderId="0" xfId="0" applyFont="1" applyFill="1" applyAlignment="1" applyProtection="1">
      <alignment horizontal="left" vertical="top"/>
    </xf>
    <xf numFmtId="0" fontId="16" fillId="0" borderId="89" xfId="0" applyFont="1" applyBorder="1" applyAlignment="1" applyProtection="1">
      <alignment horizontal="left" vertical="top" wrapText="1"/>
    </xf>
    <xf numFmtId="0" fontId="16" fillId="0" borderId="142" xfId="0" applyFont="1" applyBorder="1" applyAlignment="1" applyProtection="1">
      <alignment horizontal="left" vertical="top" wrapText="1"/>
    </xf>
    <xf numFmtId="0" fontId="16" fillId="0" borderId="88" xfId="0" applyFont="1" applyBorder="1" applyAlignment="1" applyProtection="1">
      <alignment horizontal="left" vertical="top" wrapText="1"/>
    </xf>
    <xf numFmtId="0" fontId="3" fillId="0" borderId="98" xfId="0" applyFont="1" applyBorder="1" applyAlignment="1" applyProtection="1">
      <alignment horizontal="left" vertical="top" wrapText="1"/>
    </xf>
    <xf numFmtId="0" fontId="36" fillId="0" borderId="118" xfId="0" applyFont="1" applyBorder="1" applyAlignment="1" applyProtection="1">
      <alignment horizontal="left" vertical="top" wrapText="1"/>
    </xf>
    <xf numFmtId="0" fontId="3" fillId="0" borderId="23" xfId="0" applyFont="1" applyBorder="1" applyAlignment="1" applyProtection="1">
      <alignment horizontal="left" vertical="top" wrapText="1"/>
    </xf>
    <xf numFmtId="0" fontId="8" fillId="7" borderId="0" xfId="0" applyFont="1" applyFill="1" applyAlignment="1" applyProtection="1">
      <alignment horizontal="left" vertical="top" wrapText="1"/>
    </xf>
    <xf numFmtId="0" fontId="31" fillId="7" borderId="0" xfId="0" applyFont="1" applyFill="1" applyAlignment="1" applyProtection="1">
      <alignment horizontal="left" vertical="top"/>
    </xf>
    <xf numFmtId="0" fontId="27" fillId="7" borderId="0" xfId="0" applyFont="1" applyFill="1" applyAlignment="1" applyProtection="1">
      <alignment horizontal="left" vertical="top"/>
    </xf>
    <xf numFmtId="0" fontId="1" fillId="0" borderId="31" xfId="0" applyFont="1" applyBorder="1" applyAlignment="1" applyProtection="1">
      <alignment horizontal="left" vertical="top" wrapText="1"/>
    </xf>
    <xf numFmtId="0" fontId="36" fillId="0" borderId="247" xfId="0" applyFont="1" applyBorder="1" applyAlignment="1" applyProtection="1">
      <alignment horizontal="left" vertical="top" wrapText="1"/>
    </xf>
    <xf numFmtId="0" fontId="58" fillId="7" borderId="0" xfId="0" applyFont="1" applyFill="1" applyAlignment="1" applyProtection="1">
      <alignment horizontal="left" vertical="top"/>
    </xf>
    <xf numFmtId="0" fontId="8" fillId="0" borderId="410" xfId="0" applyFont="1" applyBorder="1" applyAlignment="1" applyProtection="1">
      <alignment horizontal="left" vertical="top" wrapText="1"/>
      <protection locked="0"/>
    </xf>
    <xf numFmtId="0" fontId="27" fillId="0" borderId="203" xfId="0" applyFont="1" applyBorder="1" applyAlignment="1" applyProtection="1">
      <alignment horizontal="left" vertical="top"/>
      <protection locked="0"/>
    </xf>
    <xf numFmtId="0" fontId="16" fillId="0" borderId="418" xfId="0" applyFont="1" applyBorder="1" applyAlignment="1" applyProtection="1">
      <alignment horizontal="left" vertical="top" wrapText="1"/>
      <protection locked="0"/>
    </xf>
    <xf numFmtId="0" fontId="31" fillId="0" borderId="160" xfId="0" applyFont="1" applyBorder="1" applyAlignment="1" applyProtection="1">
      <alignment horizontal="left" vertical="top"/>
      <protection locked="0"/>
    </xf>
    <xf numFmtId="0" fontId="3" fillId="0" borderId="161" xfId="0" applyFont="1" applyBorder="1" applyAlignment="1" applyProtection="1">
      <alignment horizontal="left" vertical="top" wrapText="1"/>
      <protection locked="0"/>
    </xf>
    <xf numFmtId="0" fontId="3" fillId="0" borderId="163" xfId="0" applyFont="1" applyBorder="1" applyAlignment="1" applyProtection="1">
      <alignment horizontal="left" vertical="top" wrapText="1"/>
      <protection locked="0"/>
    </xf>
    <xf numFmtId="0" fontId="1" fillId="0" borderId="1" xfId="0" applyFont="1" applyBorder="1" applyAlignment="1" applyProtection="1">
      <alignment horizontal="left" vertical="top" wrapText="1"/>
    </xf>
    <xf numFmtId="0" fontId="8" fillId="0" borderId="559" xfId="0" applyFont="1" applyBorder="1" applyAlignment="1" applyProtection="1">
      <alignment horizontal="left" vertical="top" wrapText="1"/>
      <protection locked="0"/>
    </xf>
    <xf numFmtId="0" fontId="29" fillId="0" borderId="114" xfId="0" applyFont="1" applyBorder="1" applyAlignment="1" applyProtection="1">
      <alignment horizontal="left" vertical="top"/>
      <protection locked="0"/>
    </xf>
    <xf numFmtId="0" fontId="13" fillId="0" borderId="212" xfId="0" applyFont="1" applyBorder="1" applyAlignment="1" applyProtection="1">
      <alignment horizontal="left" vertical="top" wrapText="1"/>
      <protection locked="0"/>
    </xf>
    <xf numFmtId="0" fontId="7" fillId="0" borderId="107" xfId="0" applyFont="1" applyBorder="1" applyAlignment="1" applyProtection="1">
      <alignment horizontal="left" vertical="top" wrapText="1"/>
      <protection locked="0"/>
    </xf>
    <xf numFmtId="0" fontId="7" fillId="0" borderId="112" xfId="0" applyFont="1" applyBorder="1" applyAlignment="1" applyProtection="1">
      <alignment horizontal="left" vertical="top" wrapText="1"/>
      <protection locked="0"/>
    </xf>
    <xf numFmtId="0" fontId="7" fillId="0" borderId="114" xfId="0" applyFont="1" applyBorder="1" applyAlignment="1" applyProtection="1">
      <alignment horizontal="left" vertical="top" wrapText="1"/>
      <protection locked="0"/>
    </xf>
    <xf numFmtId="0" fontId="7" fillId="0" borderId="520" xfId="0" applyFont="1" applyBorder="1" applyAlignment="1" applyProtection="1">
      <alignment horizontal="left" vertical="top" wrapText="1"/>
      <protection locked="0"/>
    </xf>
    <xf numFmtId="0" fontId="7" fillId="0" borderId="170" xfId="0" applyFont="1" applyBorder="1" applyAlignment="1" applyProtection="1">
      <alignment horizontal="left" vertical="top" wrapText="1"/>
      <protection locked="0"/>
    </xf>
    <xf numFmtId="0" fontId="16" fillId="0" borderId="221" xfId="0" applyFont="1" applyBorder="1" applyAlignment="1" applyProtection="1">
      <alignment horizontal="left" vertical="top" wrapText="1"/>
      <protection locked="0"/>
    </xf>
    <xf numFmtId="0" fontId="17" fillId="7" borderId="0" xfId="0" applyFont="1" applyFill="1" applyAlignment="1" applyProtection="1">
      <alignment horizontal="left" vertical="top" wrapText="1"/>
    </xf>
    <xf numFmtId="0" fontId="1" fillId="7" borderId="0" xfId="0" applyFont="1" applyFill="1" applyAlignment="1" applyProtection="1">
      <alignment horizontal="left" vertical="top" wrapText="1"/>
    </xf>
    <xf numFmtId="0" fontId="16" fillId="7" borderId="0" xfId="0" applyFont="1" applyFill="1" applyAlignment="1" applyProtection="1">
      <alignment horizontal="left" vertical="top" wrapText="1"/>
    </xf>
    <xf numFmtId="0" fontId="55" fillId="7" borderId="0" xfId="0" applyFont="1" applyFill="1" applyAlignment="1" applyProtection="1">
      <alignment horizontal="left" vertical="top" wrapText="1"/>
    </xf>
    <xf numFmtId="49" fontId="1" fillId="0" borderId="23" xfId="0" applyNumberFormat="1" applyFont="1" applyBorder="1" applyAlignment="1" applyProtection="1">
      <alignment horizontal="left" vertical="top" wrapText="1"/>
    </xf>
    <xf numFmtId="0" fontId="24" fillId="7" borderId="0" xfId="0" applyFont="1" applyFill="1" applyAlignment="1" applyProtection="1">
      <alignment horizontal="left" vertical="top" wrapText="1"/>
    </xf>
    <xf numFmtId="0" fontId="18" fillId="7" borderId="0" xfId="0" applyFont="1" applyFill="1" applyAlignment="1" applyProtection="1">
      <alignment horizontal="left" vertical="top" wrapText="1"/>
    </xf>
    <xf numFmtId="0" fontId="32" fillId="7" borderId="0" xfId="0" applyFont="1" applyFill="1" applyAlignment="1" applyProtection="1">
      <alignment horizontal="left" vertical="top" wrapText="1"/>
    </xf>
    <xf numFmtId="0" fontId="8" fillId="7" borderId="98" xfId="0" applyFont="1" applyFill="1" applyBorder="1" applyAlignment="1" applyProtection="1">
      <alignment horizontal="left" vertical="top" wrapText="1"/>
    </xf>
    <xf numFmtId="0" fontId="53" fillId="7" borderId="0" xfId="0" applyFont="1" applyFill="1" applyAlignment="1" applyProtection="1">
      <alignment horizontal="left" vertical="top" wrapText="1"/>
    </xf>
    <xf numFmtId="0" fontId="8" fillId="7" borderId="118" xfId="0" applyFont="1" applyFill="1" applyBorder="1" applyAlignment="1" applyProtection="1">
      <alignment horizontal="left" vertical="top" wrapText="1"/>
    </xf>
    <xf numFmtId="0" fontId="0" fillId="7" borderId="0" xfId="0" applyFill="1" applyAlignment="1" applyProtection="1">
      <alignment horizontal="left" vertical="top"/>
    </xf>
    <xf numFmtId="0" fontId="22" fillId="7" borderId="0" xfId="0" applyFont="1" applyFill="1" applyAlignment="1" applyProtection="1">
      <alignment horizontal="left" vertical="top"/>
    </xf>
    <xf numFmtId="0" fontId="36" fillId="7" borderId="0" xfId="3" applyFont="1" applyFill="1" applyAlignment="1" applyProtection="1">
      <alignment horizontal="left" vertical="top" wrapText="1"/>
    </xf>
    <xf numFmtId="0" fontId="8" fillId="7" borderId="0" xfId="3" applyFont="1" applyFill="1" applyAlignment="1" applyProtection="1">
      <alignment horizontal="left" vertical="top" wrapText="1"/>
    </xf>
    <xf numFmtId="0" fontId="17" fillId="0" borderId="247" xfId="0" applyFont="1" applyBorder="1" applyAlignment="1" applyProtection="1">
      <alignment horizontal="left" vertical="top" wrapText="1"/>
    </xf>
    <xf numFmtId="0" fontId="41" fillId="7" borderId="0" xfId="0" applyFont="1" applyFill="1" applyAlignment="1" applyProtection="1">
      <alignment horizontal="left" vertical="top" wrapText="1"/>
    </xf>
    <xf numFmtId="0" fontId="17" fillId="0" borderId="0" xfId="0" applyFont="1" applyAlignment="1" applyProtection="1">
      <alignment vertical="top" wrapText="1"/>
    </xf>
    <xf numFmtId="49" fontId="18" fillId="0" borderId="0" xfId="0" applyNumberFormat="1" applyFont="1" applyAlignment="1" applyProtection="1">
      <alignment vertical="top" wrapText="1"/>
    </xf>
    <xf numFmtId="0" fontId="39" fillId="0" borderId="0" xfId="0" applyFont="1" applyAlignment="1" applyProtection="1">
      <alignment vertical="top"/>
    </xf>
    <xf numFmtId="0" fontId="32" fillId="0" borderId="0" xfId="0" applyFont="1" applyAlignment="1" applyProtection="1">
      <alignment vertical="top"/>
    </xf>
    <xf numFmtId="0" fontId="32" fillId="0" borderId="0" xfId="0" applyFont="1" applyAlignment="1" applyProtection="1">
      <alignment vertical="top" wrapText="1"/>
    </xf>
    <xf numFmtId="0" fontId="1" fillId="0" borderId="0" xfId="0" applyFont="1" applyAlignment="1" applyProtection="1">
      <alignment vertical="top" wrapText="1"/>
    </xf>
    <xf numFmtId="0" fontId="41" fillId="0" borderId="0" xfId="0" applyFont="1" applyAlignment="1" applyProtection="1">
      <alignment vertical="top" wrapText="1"/>
    </xf>
    <xf numFmtId="0" fontId="8" fillId="0" borderId="0" xfId="0" applyFont="1" applyAlignment="1" applyProtection="1">
      <alignment vertical="top" wrapText="1"/>
    </xf>
    <xf numFmtId="0" fontId="36" fillId="7" borderId="55" xfId="0" applyFont="1" applyFill="1" applyBorder="1" applyAlignment="1" applyProtection="1">
      <alignment vertical="top" wrapText="1"/>
    </xf>
    <xf numFmtId="0" fontId="16" fillId="7" borderId="47" xfId="0" applyFont="1" applyFill="1" applyBorder="1" applyAlignment="1" applyProtection="1">
      <alignment vertical="top" wrapText="1"/>
    </xf>
    <xf numFmtId="0" fontId="55" fillId="7" borderId="47" xfId="0" applyFont="1" applyFill="1" applyBorder="1" applyAlignment="1" applyProtection="1">
      <alignment vertical="top" wrapText="1"/>
    </xf>
    <xf numFmtId="0" fontId="16" fillId="7" borderId="26" xfId="0" applyFont="1" applyFill="1" applyBorder="1" applyAlignment="1" applyProtection="1">
      <alignment vertical="top" wrapText="1"/>
    </xf>
    <xf numFmtId="0" fontId="16" fillId="7" borderId="50" xfId="0" applyFont="1" applyFill="1" applyBorder="1" applyAlignment="1" applyProtection="1">
      <alignment vertical="top" wrapText="1"/>
    </xf>
    <xf numFmtId="0" fontId="3" fillId="7" borderId="55" xfId="0" applyFont="1" applyFill="1" applyBorder="1" applyAlignment="1" applyProtection="1">
      <alignment vertical="top" wrapText="1"/>
    </xf>
    <xf numFmtId="0" fontId="3" fillId="7" borderId="47" xfId="0" applyFont="1" applyFill="1" applyBorder="1" applyAlignment="1" applyProtection="1">
      <alignment vertical="top" wrapText="1"/>
    </xf>
    <xf numFmtId="0" fontId="3" fillId="7" borderId="26" xfId="0" applyFont="1" applyFill="1" applyBorder="1" applyAlignment="1" applyProtection="1">
      <alignment vertical="top" wrapText="1"/>
    </xf>
    <xf numFmtId="0" fontId="3" fillId="7" borderId="50" xfId="0" applyFont="1" applyFill="1" applyBorder="1" applyAlignment="1" applyProtection="1">
      <alignment vertical="top" wrapText="1"/>
    </xf>
    <xf numFmtId="0" fontId="7" fillId="0" borderId="0" xfId="0" applyFont="1" applyAlignment="1" applyProtection="1">
      <alignment vertical="top"/>
    </xf>
    <xf numFmtId="0" fontId="7" fillId="7" borderId="0" xfId="0" applyFont="1" applyFill="1" applyAlignment="1" applyProtection="1">
      <alignment vertical="top"/>
    </xf>
    <xf numFmtId="0" fontId="17" fillId="0" borderId="23" xfId="0" applyFont="1" applyBorder="1" applyAlignment="1" applyProtection="1">
      <alignment vertical="top" wrapText="1"/>
    </xf>
    <xf numFmtId="0" fontId="55" fillId="0" borderId="0" xfId="0" applyFont="1" applyAlignment="1" applyProtection="1">
      <alignment vertical="top" wrapText="1"/>
    </xf>
    <xf numFmtId="0" fontId="55" fillId="0" borderId="23" xfId="0" applyFont="1" applyBorder="1" applyAlignment="1" applyProtection="1">
      <alignment vertical="top" wrapText="1"/>
    </xf>
    <xf numFmtId="0" fontId="16" fillId="0" borderId="23" xfId="0" applyFont="1" applyBorder="1" applyAlignment="1" applyProtection="1">
      <alignment vertical="top" wrapText="1"/>
    </xf>
    <xf numFmtId="0" fontId="3" fillId="0" borderId="0" xfId="0" applyFont="1" applyAlignment="1" applyProtection="1">
      <alignment vertical="top" wrapText="1"/>
    </xf>
    <xf numFmtId="49" fontId="32" fillId="0" borderId="0" xfId="0" applyNumberFormat="1" applyFont="1" applyAlignment="1" applyProtection="1">
      <alignment vertical="top" wrapText="1"/>
    </xf>
    <xf numFmtId="0" fontId="30" fillId="0" borderId="0" xfId="0" applyFont="1" applyAlignment="1" applyProtection="1">
      <alignment vertical="top" wrapText="1"/>
    </xf>
    <xf numFmtId="0" fontId="22" fillId="0" borderId="0" xfId="0" applyFont="1" applyAlignment="1" applyProtection="1">
      <alignment vertical="top"/>
    </xf>
    <xf numFmtId="0" fontId="18" fillId="0" borderId="0" xfId="0" applyFont="1" applyAlignment="1" applyProtection="1">
      <alignment vertical="top"/>
    </xf>
    <xf numFmtId="0" fontId="0" fillId="0" borderId="0" xfId="0" applyAlignment="1" applyProtection="1">
      <alignment vertical="top" wrapText="1"/>
    </xf>
    <xf numFmtId="0" fontId="16" fillId="0" borderId="0" xfId="0" applyFont="1" applyAlignment="1" applyProtection="1">
      <alignment vertical="top" wrapText="1"/>
    </xf>
    <xf numFmtId="0" fontId="1" fillId="0" borderId="31" xfId="0" applyFont="1" applyBorder="1" applyAlignment="1" applyProtection="1">
      <alignment vertical="top" wrapText="1"/>
    </xf>
    <xf numFmtId="0" fontId="1" fillId="0" borderId="2" xfId="0" applyFont="1" applyBorder="1" applyAlignment="1" applyProtection="1">
      <alignment vertical="top" wrapText="1"/>
    </xf>
    <xf numFmtId="0" fontId="36" fillId="7" borderId="0" xfId="0" applyFont="1" applyFill="1" applyAlignment="1" applyProtection="1">
      <alignment horizontal="left" vertical="center" wrapText="1"/>
    </xf>
    <xf numFmtId="0" fontId="17" fillId="7" borderId="0" xfId="0" applyFont="1" applyFill="1" applyAlignment="1" applyProtection="1">
      <alignment horizontal="center" vertical="center" wrapText="1"/>
    </xf>
    <xf numFmtId="0" fontId="41" fillId="7" borderId="0" xfId="0" applyFont="1" applyFill="1" applyAlignment="1" applyProtection="1">
      <alignment horizontal="center" vertical="center" wrapText="1"/>
    </xf>
    <xf numFmtId="0" fontId="16" fillId="7" borderId="0" xfId="0" applyFont="1" applyFill="1" applyAlignment="1" applyProtection="1">
      <alignment horizontal="center" vertical="center" wrapText="1"/>
    </xf>
    <xf numFmtId="0" fontId="36" fillId="0" borderId="54" xfId="0"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0" xfId="0" applyFont="1" applyAlignment="1" applyProtection="1">
      <alignment horizontal="left" vertical="center" wrapText="1"/>
    </xf>
    <xf numFmtId="0" fontId="17" fillId="0" borderId="0" xfId="0" applyFont="1" applyAlignment="1" applyProtection="1">
      <alignment horizontal="center" vertical="center" wrapText="1"/>
    </xf>
    <xf numFmtId="0" fontId="41" fillId="0" borderId="0" xfId="0" applyFont="1" applyAlignment="1" applyProtection="1">
      <alignment horizontal="center" vertical="center" wrapText="1"/>
    </xf>
    <xf numFmtId="0" fontId="16" fillId="0" borderId="0" xfId="0" applyFont="1" applyAlignment="1" applyProtection="1">
      <alignment horizontal="center" vertical="center" wrapText="1"/>
    </xf>
    <xf numFmtId="0" fontId="30" fillId="6" borderId="91" xfId="0" applyFont="1" applyFill="1" applyBorder="1" applyAlignment="1" applyProtection="1">
      <alignment vertical="top" wrapText="1"/>
      <protection locked="0"/>
    </xf>
    <xf numFmtId="0" fontId="30" fillId="6" borderId="72" xfId="0" applyFont="1" applyFill="1" applyBorder="1" applyAlignment="1" applyProtection="1">
      <alignment vertical="top" wrapText="1"/>
      <protection locked="0"/>
    </xf>
    <xf numFmtId="0" fontId="36" fillId="0" borderId="0" xfId="0" applyFont="1" applyAlignment="1" applyProtection="1">
      <alignment vertical="top" wrapText="1"/>
    </xf>
    <xf numFmtId="0" fontId="17" fillId="0" borderId="7" xfId="0" applyFont="1" applyBorder="1" applyAlignment="1" applyProtection="1">
      <alignment vertical="top" wrapText="1"/>
    </xf>
    <xf numFmtId="0" fontId="1" fillId="0" borderId="7" xfId="0" applyFont="1" applyBorder="1" applyAlignment="1" applyProtection="1">
      <alignment vertical="top" wrapText="1"/>
    </xf>
    <xf numFmtId="0" fontId="41" fillId="0" borderId="7" xfId="0" applyFont="1" applyBorder="1" applyAlignment="1" applyProtection="1">
      <alignment vertical="top" wrapText="1"/>
    </xf>
    <xf numFmtId="0" fontId="16" fillId="0" borderId="6" xfId="0" applyFont="1" applyBorder="1" applyAlignment="1" applyProtection="1">
      <alignment vertical="top" wrapText="1"/>
    </xf>
    <xf numFmtId="0" fontId="1" fillId="0" borderId="4" xfId="0" applyFont="1" applyBorder="1" applyAlignment="1" applyProtection="1">
      <alignment vertical="top" wrapText="1"/>
    </xf>
    <xf numFmtId="0" fontId="0" fillId="0" borderId="175" xfId="0" applyBorder="1" applyAlignment="1" applyProtection="1">
      <alignment horizontal="left" vertical="top"/>
      <protection locked="0"/>
    </xf>
    <xf numFmtId="0" fontId="0" fillId="0" borderId="169" xfId="0" applyBorder="1" applyAlignment="1" applyProtection="1">
      <alignment horizontal="left" vertical="top"/>
      <protection locked="0"/>
    </xf>
    <xf numFmtId="0" fontId="0" fillId="0" borderId="176" xfId="0" applyBorder="1" applyAlignment="1" applyProtection="1">
      <alignment horizontal="left" vertical="top"/>
      <protection locked="0"/>
    </xf>
    <xf numFmtId="0" fontId="0" fillId="0" borderId="191" xfId="0" applyBorder="1" applyAlignment="1" applyProtection="1">
      <alignment horizontal="left" vertical="top"/>
      <protection locked="0"/>
    </xf>
    <xf numFmtId="0" fontId="7" fillId="0" borderId="54" xfId="0" applyFont="1" applyBorder="1" applyAlignment="1" applyProtection="1">
      <alignment horizontal="left" vertical="top" wrapText="1"/>
    </xf>
    <xf numFmtId="0" fontId="17" fillId="0" borderId="54" xfId="0" applyFont="1" applyBorder="1" applyAlignment="1" applyProtection="1">
      <alignment horizontal="left" vertical="top" wrapText="1"/>
    </xf>
    <xf numFmtId="0" fontId="22" fillId="0" borderId="54" xfId="0" applyFont="1" applyBorder="1" applyAlignment="1" applyProtection="1">
      <alignment horizontal="left" vertical="top" wrapText="1"/>
    </xf>
    <xf numFmtId="0" fontId="0" fillId="0" borderId="54" xfId="0" applyBorder="1" applyAlignment="1" applyProtection="1">
      <alignment horizontal="left" vertical="top"/>
    </xf>
    <xf numFmtId="0" fontId="8" fillId="7" borderId="55" xfId="0" applyFont="1" applyFill="1" applyBorder="1" applyAlignment="1" applyProtection="1">
      <alignment horizontal="left" vertical="top" wrapText="1"/>
    </xf>
    <xf numFmtId="0" fontId="7" fillId="7" borderId="55" xfId="0" applyFont="1" applyFill="1" applyBorder="1" applyAlignment="1" applyProtection="1">
      <alignment horizontal="left" vertical="top" wrapText="1"/>
    </xf>
    <xf numFmtId="0" fontId="17" fillId="7" borderId="55" xfId="0" applyFont="1" applyFill="1" applyBorder="1" applyAlignment="1" applyProtection="1">
      <alignment horizontal="left" vertical="top" wrapText="1"/>
    </xf>
    <xf numFmtId="0" fontId="22" fillId="7" borderId="55" xfId="0" applyFont="1" applyFill="1" applyBorder="1" applyAlignment="1" applyProtection="1">
      <alignment horizontal="left" vertical="top" wrapText="1"/>
    </xf>
    <xf numFmtId="0" fontId="1" fillId="7" borderId="55" xfId="0" applyFont="1" applyFill="1" applyBorder="1" applyAlignment="1" applyProtection="1">
      <alignment horizontal="left" vertical="top" wrapText="1"/>
    </xf>
    <xf numFmtId="0" fontId="0" fillId="7" borderId="55" xfId="0" applyFill="1" applyBorder="1" applyAlignment="1" applyProtection="1">
      <alignment horizontal="left" vertical="top"/>
    </xf>
    <xf numFmtId="0" fontId="7" fillId="0" borderId="64" xfId="0" applyFont="1" applyBorder="1" applyAlignment="1" applyProtection="1">
      <alignment horizontal="left" vertical="top" wrapText="1"/>
    </xf>
    <xf numFmtId="0" fontId="17" fillId="0" borderId="64" xfId="0" applyFont="1" applyBorder="1" applyAlignment="1" applyProtection="1">
      <alignment horizontal="left" vertical="top" wrapText="1"/>
    </xf>
    <xf numFmtId="0" fontId="22" fillId="0" borderId="64" xfId="0" applyFont="1" applyBorder="1" applyAlignment="1" applyProtection="1">
      <alignment horizontal="left" vertical="top" wrapText="1"/>
    </xf>
    <xf numFmtId="0" fontId="0" fillId="0" borderId="64" xfId="0" applyBorder="1" applyAlignment="1" applyProtection="1">
      <alignment horizontal="left" vertical="top"/>
    </xf>
    <xf numFmtId="0" fontId="1" fillId="0" borderId="161" xfId="0" applyFont="1" applyBorder="1" applyAlignment="1" applyProtection="1">
      <alignment horizontal="left" vertical="top" wrapText="1"/>
    </xf>
    <xf numFmtId="0" fontId="1" fillId="0" borderId="171" xfId="0" applyFont="1" applyBorder="1" applyAlignment="1" applyProtection="1">
      <alignment horizontal="left" vertical="top" wrapText="1"/>
    </xf>
    <xf numFmtId="0" fontId="16" fillId="0" borderId="247" xfId="0" applyFont="1" applyBorder="1" applyAlignment="1" applyProtection="1">
      <alignment horizontal="left" vertical="top" wrapText="1"/>
    </xf>
    <xf numFmtId="0" fontId="67" fillId="7" borderId="47" xfId="0" applyFont="1" applyFill="1" applyBorder="1" applyAlignment="1" applyProtection="1">
      <alignment horizontal="left" vertical="top" wrapText="1"/>
    </xf>
    <xf numFmtId="0" fontId="8" fillId="0" borderId="70" xfId="0" applyFont="1" applyBorder="1" applyAlignment="1" applyProtection="1">
      <alignment vertical="top" wrapText="1"/>
    </xf>
    <xf numFmtId="0" fontId="7" fillId="0" borderId="175" xfId="0" applyFont="1" applyBorder="1" applyAlignment="1" applyProtection="1">
      <alignment horizontal="left" vertical="top" wrapText="1"/>
      <protection locked="0"/>
    </xf>
    <xf numFmtId="0" fontId="7" fillId="0" borderId="169" xfId="0" applyFont="1" applyBorder="1" applyAlignment="1" applyProtection="1">
      <alignment horizontal="left" vertical="top" wrapText="1"/>
      <protection locked="0"/>
    </xf>
    <xf numFmtId="0" fontId="7" fillId="0" borderId="231" xfId="0" applyFont="1" applyBorder="1" applyAlignment="1" applyProtection="1">
      <alignment horizontal="left" vertical="top" wrapText="1"/>
      <protection locked="0"/>
    </xf>
    <xf numFmtId="0" fontId="17" fillId="0" borderId="175" xfId="0" applyFont="1" applyBorder="1" applyAlignment="1" applyProtection="1">
      <alignment horizontal="left" vertical="top" wrapText="1"/>
      <protection locked="0"/>
    </xf>
    <xf numFmtId="0" fontId="22" fillId="0" borderId="169" xfId="0" applyFont="1" applyBorder="1" applyAlignment="1" applyProtection="1">
      <alignment horizontal="left" vertical="top" wrapText="1"/>
      <protection locked="0"/>
    </xf>
    <xf numFmtId="0" fontId="7" fillId="0" borderId="176" xfId="0" applyFont="1" applyBorder="1" applyAlignment="1" applyProtection="1">
      <alignment horizontal="left" vertical="top" wrapText="1"/>
      <protection locked="0"/>
    </xf>
    <xf numFmtId="0" fontId="7" fillId="0" borderId="116" xfId="0" applyFont="1" applyBorder="1" applyAlignment="1" applyProtection="1">
      <alignment horizontal="left" vertical="top" wrapText="1"/>
      <protection locked="0"/>
    </xf>
    <xf numFmtId="0" fontId="17" fillId="0" borderId="176" xfId="0" applyFont="1" applyBorder="1" applyAlignment="1" applyProtection="1">
      <alignment horizontal="left" vertical="top" wrapText="1"/>
      <protection locked="0"/>
    </xf>
    <xf numFmtId="0" fontId="22" fillId="0" borderId="114" xfId="0" applyFont="1" applyBorder="1" applyAlignment="1" applyProtection="1">
      <alignment horizontal="left" vertical="top" wrapText="1"/>
      <protection locked="0"/>
    </xf>
    <xf numFmtId="0" fontId="7" fillId="0" borderId="215" xfId="0" applyFont="1" applyBorder="1" applyAlignment="1" applyProtection="1">
      <alignment horizontal="left" vertical="top" wrapText="1"/>
      <protection locked="0"/>
    </xf>
    <xf numFmtId="0" fontId="1" fillId="0" borderId="192" xfId="0" applyFont="1" applyBorder="1" applyAlignment="1" applyProtection="1">
      <alignment vertical="top" wrapText="1"/>
      <protection locked="0"/>
    </xf>
    <xf numFmtId="0" fontId="16" fillId="0" borderId="520" xfId="0" applyFont="1" applyBorder="1" applyAlignment="1" applyProtection="1">
      <alignment horizontal="left" vertical="top" wrapText="1"/>
      <protection locked="0"/>
    </xf>
    <xf numFmtId="0" fontId="8" fillId="0" borderId="21" xfId="0" applyFont="1" applyBorder="1" applyAlignment="1" applyProtection="1">
      <alignment horizontal="left" vertical="top" wrapText="1"/>
      <protection locked="0"/>
    </xf>
    <xf numFmtId="0" fontId="29" fillId="0" borderId="0" xfId="3" applyFont="1" applyAlignment="1" applyProtection="1">
      <alignment horizontal="left" vertical="top"/>
    </xf>
    <xf numFmtId="0" fontId="73" fillId="0" borderId="0" xfId="0" applyFont="1" applyAlignment="1" applyProtection="1">
      <alignment horizontal="left" vertical="top" wrapText="1"/>
    </xf>
    <xf numFmtId="0" fontId="14" fillId="0" borderId="23" xfId="3" applyFont="1" applyBorder="1" applyAlignment="1" applyProtection="1">
      <alignment horizontal="left" vertical="top" wrapText="1"/>
    </xf>
    <xf numFmtId="0" fontId="29" fillId="0" borderId="23" xfId="3" applyFont="1" applyBorder="1" applyAlignment="1" applyProtection="1">
      <alignment horizontal="left" vertical="top" wrapText="1"/>
    </xf>
    <xf numFmtId="0" fontId="29" fillId="0" borderId="18" xfId="3" applyFont="1" applyBorder="1" applyAlignment="1" applyProtection="1">
      <alignment horizontal="left" vertical="top" wrapText="1"/>
    </xf>
    <xf numFmtId="0" fontId="38" fillId="0" borderId="130" xfId="3" applyFont="1" applyBorder="1" applyAlignment="1" applyProtection="1">
      <alignment horizontal="left" vertical="top" wrapText="1"/>
    </xf>
    <xf numFmtId="0" fontId="38" fillId="0" borderId="144" xfId="3" applyFont="1" applyBorder="1" applyAlignment="1" applyProtection="1">
      <alignment horizontal="left" vertical="top" wrapText="1"/>
    </xf>
    <xf numFmtId="0" fontId="38" fillId="0" borderId="91" xfId="3" applyFont="1" applyBorder="1" applyAlignment="1" applyProtection="1">
      <alignment horizontal="left" vertical="top" wrapText="1"/>
    </xf>
    <xf numFmtId="0" fontId="38" fillId="0" borderId="133" xfId="3" applyFont="1" applyBorder="1" applyAlignment="1" applyProtection="1">
      <alignment horizontal="left" vertical="top" wrapText="1"/>
    </xf>
    <xf numFmtId="0" fontId="38" fillId="0" borderId="72" xfId="3" applyFont="1" applyBorder="1" applyAlignment="1" applyProtection="1">
      <alignment horizontal="left" vertical="top" wrapText="1"/>
    </xf>
    <xf numFmtId="0" fontId="38" fillId="0" borderId="124" xfId="3" applyFont="1" applyBorder="1" applyAlignment="1" applyProtection="1">
      <alignment horizontal="left" vertical="top" wrapText="1"/>
    </xf>
    <xf numFmtId="0" fontId="38" fillId="0" borderId="150" xfId="3" applyFont="1" applyBorder="1" applyAlignment="1" applyProtection="1">
      <alignment horizontal="left" vertical="top" wrapText="1"/>
    </xf>
    <xf numFmtId="0" fontId="38" fillId="0" borderId="37" xfId="3" applyFont="1" applyBorder="1" applyAlignment="1" applyProtection="1">
      <alignment horizontal="left" vertical="top" wrapText="1"/>
    </xf>
    <xf numFmtId="0" fontId="38" fillId="0" borderId="42" xfId="3" applyFont="1" applyBorder="1" applyAlignment="1" applyProtection="1">
      <alignment horizontal="left" vertical="top" wrapText="1"/>
    </xf>
    <xf numFmtId="0" fontId="38" fillId="0" borderId="149" xfId="3" applyFont="1" applyBorder="1" applyAlignment="1" applyProtection="1">
      <alignment horizontal="left" vertical="top" wrapText="1"/>
    </xf>
    <xf numFmtId="0" fontId="38" fillId="0" borderId="394" xfId="3" applyFont="1" applyBorder="1" applyAlignment="1" applyProtection="1">
      <alignment horizontal="left" vertical="top" wrapText="1"/>
    </xf>
    <xf numFmtId="0" fontId="38" fillId="0" borderId="127" xfId="3" applyFont="1" applyBorder="1" applyAlignment="1" applyProtection="1">
      <alignment horizontal="left" vertical="top" wrapText="1"/>
    </xf>
    <xf numFmtId="0" fontId="38" fillId="0" borderId="140" xfId="3" applyFont="1" applyBorder="1" applyAlignment="1" applyProtection="1">
      <alignment horizontal="left" vertical="top" wrapText="1"/>
    </xf>
    <xf numFmtId="0" fontId="58" fillId="0" borderId="0" xfId="3" applyFont="1" applyAlignment="1" applyProtection="1">
      <alignment horizontal="left" vertical="top"/>
    </xf>
    <xf numFmtId="0" fontId="24" fillId="7" borderId="54" xfId="3" applyFont="1" applyFill="1" applyBorder="1" applyAlignment="1" applyProtection="1">
      <alignment horizontal="left" vertical="top" wrapText="1"/>
    </xf>
    <xf numFmtId="0" fontId="29" fillId="7" borderId="54" xfId="3" applyFont="1" applyFill="1" applyBorder="1" applyAlignment="1" applyProtection="1">
      <alignment horizontal="left" vertical="top" wrapText="1"/>
    </xf>
    <xf numFmtId="0" fontId="8" fillId="7" borderId="46" xfId="3" applyFont="1" applyFill="1" applyBorder="1" applyAlignment="1" applyProtection="1">
      <alignment horizontal="left" vertical="top" wrapText="1"/>
    </xf>
    <xf numFmtId="0" fontId="14" fillId="7" borderId="54" xfId="3" applyFont="1" applyFill="1" applyBorder="1" applyAlignment="1" applyProtection="1">
      <alignment horizontal="left" vertical="top" wrapText="1"/>
    </xf>
    <xf numFmtId="0" fontId="8" fillId="7" borderId="54" xfId="3" applyFont="1" applyFill="1" applyBorder="1" applyAlignment="1" applyProtection="1">
      <alignment horizontal="left" vertical="top" wrapText="1"/>
    </xf>
    <xf numFmtId="0" fontId="8" fillId="7" borderId="49" xfId="3" applyFont="1" applyFill="1" applyBorder="1" applyAlignment="1" applyProtection="1">
      <alignment horizontal="left" vertical="top" wrapText="1"/>
    </xf>
    <xf numFmtId="0" fontId="13" fillId="7" borderId="46" xfId="3" applyFont="1" applyFill="1" applyBorder="1" applyAlignment="1" applyProtection="1">
      <alignment horizontal="left" vertical="top" wrapText="1"/>
    </xf>
    <xf numFmtId="0" fontId="8" fillId="7" borderId="44" xfId="3" applyFont="1" applyFill="1" applyBorder="1" applyAlignment="1" applyProtection="1">
      <alignment horizontal="left" vertical="top" wrapText="1"/>
    </xf>
    <xf numFmtId="0" fontId="8" fillId="7" borderId="60" xfId="3" applyFont="1" applyFill="1" applyBorder="1" applyAlignment="1" applyProtection="1">
      <alignment horizontal="left" vertical="top" wrapText="1"/>
    </xf>
    <xf numFmtId="0" fontId="8" fillId="7" borderId="24" xfId="3" applyFont="1" applyFill="1" applyBorder="1" applyAlignment="1" applyProtection="1">
      <alignment horizontal="left" vertical="top" wrapText="1"/>
    </xf>
    <xf numFmtId="0" fontId="8" fillId="7" borderId="58" xfId="3" applyFont="1" applyFill="1" applyBorder="1" applyAlignment="1" applyProtection="1">
      <alignment horizontal="left" vertical="top" wrapText="1"/>
    </xf>
    <xf numFmtId="0" fontId="7" fillId="7" borderId="60" xfId="3" applyFill="1" applyBorder="1" applyAlignment="1" applyProtection="1">
      <alignment horizontal="left" vertical="top"/>
    </xf>
    <xf numFmtId="0" fontId="7" fillId="0" borderId="0" xfId="3" applyAlignment="1" applyProtection="1">
      <alignment horizontal="left" vertical="top"/>
    </xf>
    <xf numFmtId="0" fontId="7" fillId="0" borderId="64" xfId="3" applyBorder="1" applyAlignment="1" applyProtection="1">
      <alignment horizontal="left" vertical="top"/>
    </xf>
    <xf numFmtId="0" fontId="17" fillId="0" borderId="61" xfId="3" applyFont="1" applyBorder="1" applyAlignment="1" applyProtection="1">
      <alignment horizontal="left" vertical="top" wrapText="1"/>
    </xf>
    <xf numFmtId="0" fontId="7" fillId="0" borderId="61" xfId="3" applyBorder="1" applyAlignment="1" applyProtection="1">
      <alignment horizontal="left" vertical="top"/>
    </xf>
    <xf numFmtId="0" fontId="16" fillId="0" borderId="61" xfId="3" applyFont="1" applyBorder="1" applyAlignment="1" applyProtection="1">
      <alignment horizontal="left" vertical="top" wrapText="1"/>
    </xf>
    <xf numFmtId="0" fontId="14" fillId="0" borderId="61" xfId="3" applyFont="1" applyBorder="1" applyAlignment="1" applyProtection="1">
      <alignment horizontal="left" vertical="top" wrapText="1"/>
    </xf>
    <xf numFmtId="0" fontId="16" fillId="0" borderId="0" xfId="3" applyFont="1" applyAlignment="1" applyProtection="1">
      <alignment horizontal="left" vertical="top" wrapText="1"/>
    </xf>
    <xf numFmtId="0" fontId="16" fillId="0" borderId="57" xfId="3" applyFont="1" applyBorder="1" applyAlignment="1" applyProtection="1">
      <alignment horizontal="left" vertical="top" wrapText="1"/>
    </xf>
    <xf numFmtId="0" fontId="16" fillId="0" borderId="28" xfId="3" applyFont="1" applyBorder="1" applyAlignment="1" applyProtection="1">
      <alignment horizontal="left" vertical="top" wrapText="1"/>
    </xf>
    <xf numFmtId="0" fontId="16" fillId="0" borderId="59" xfId="3" applyFont="1" applyBorder="1" applyAlignment="1" applyProtection="1">
      <alignment horizontal="left" vertical="top" wrapText="1"/>
    </xf>
    <xf numFmtId="0" fontId="3" fillId="0" borderId="61" xfId="3" applyFont="1" applyBorder="1" applyAlignment="1" applyProtection="1">
      <alignment horizontal="left" vertical="top" wrapText="1"/>
    </xf>
    <xf numFmtId="0" fontId="3" fillId="0" borderId="57" xfId="3" applyFont="1" applyBorder="1" applyAlignment="1" applyProtection="1">
      <alignment horizontal="left" vertical="top" wrapText="1"/>
    </xf>
    <xf numFmtId="0" fontId="36" fillId="0" borderId="28" xfId="3" applyFont="1" applyBorder="1" applyAlignment="1" applyProtection="1">
      <alignment horizontal="left" vertical="top" wrapText="1"/>
    </xf>
    <xf numFmtId="0" fontId="3" fillId="0" borderId="50" xfId="3" applyFont="1" applyBorder="1" applyAlignment="1" applyProtection="1">
      <alignment horizontal="left" vertical="top" wrapText="1"/>
    </xf>
    <xf numFmtId="0" fontId="17" fillId="0" borderId="0" xfId="3" applyFont="1" applyAlignment="1" applyProtection="1">
      <alignment horizontal="left" vertical="top" wrapText="1"/>
    </xf>
    <xf numFmtId="0" fontId="1" fillId="0" borderId="0" xfId="3" applyFont="1" applyAlignment="1" applyProtection="1">
      <alignment horizontal="left" vertical="top" wrapText="1"/>
    </xf>
    <xf numFmtId="0" fontId="30" fillId="0" borderId="0" xfId="3" applyFont="1" applyAlignment="1" applyProtection="1">
      <alignment horizontal="left" vertical="top" wrapText="1"/>
    </xf>
    <xf numFmtId="0" fontId="36" fillId="7" borderId="55" xfId="3" applyFont="1" applyFill="1" applyBorder="1" applyAlignment="1" applyProtection="1">
      <alignment horizontal="left" vertical="top" wrapText="1"/>
    </xf>
    <xf numFmtId="0" fontId="16" fillId="7" borderId="47" xfId="3" applyFont="1" applyFill="1" applyBorder="1" applyAlignment="1" applyProtection="1">
      <alignment horizontal="left" vertical="top" wrapText="1"/>
    </xf>
    <xf numFmtId="0" fontId="16" fillId="7" borderId="26" xfId="3" applyFont="1" applyFill="1" applyBorder="1" applyAlignment="1" applyProtection="1">
      <alignment horizontal="left" vertical="top" wrapText="1"/>
    </xf>
    <xf numFmtId="0" fontId="16" fillId="7" borderId="50" xfId="3" applyFont="1" applyFill="1" applyBorder="1" applyAlignment="1" applyProtection="1">
      <alignment horizontal="left" vertical="top" wrapText="1"/>
    </xf>
    <xf numFmtId="0" fontId="3" fillId="7" borderId="55" xfId="3" applyFont="1" applyFill="1" applyBorder="1" applyAlignment="1" applyProtection="1">
      <alignment horizontal="left" vertical="top" wrapText="1"/>
    </xf>
    <xf numFmtId="0" fontId="3" fillId="7" borderId="47" xfId="3" applyFont="1" applyFill="1" applyBorder="1" applyAlignment="1" applyProtection="1">
      <alignment horizontal="left" vertical="top" wrapText="1"/>
    </xf>
    <xf numFmtId="0" fontId="3" fillId="7" borderId="26" xfId="3" applyFont="1" applyFill="1" applyBorder="1" applyAlignment="1" applyProtection="1">
      <alignment horizontal="left" vertical="top" wrapText="1"/>
    </xf>
    <xf numFmtId="0" fontId="3" fillId="7" borderId="50" xfId="3" applyFont="1" applyFill="1" applyBorder="1" applyAlignment="1" applyProtection="1">
      <alignment horizontal="left" vertical="top" wrapText="1"/>
    </xf>
    <xf numFmtId="0" fontId="27" fillId="0" borderId="23" xfId="3" applyFont="1" applyBorder="1" applyAlignment="1" applyProtection="1">
      <alignment horizontal="left" vertical="top"/>
    </xf>
    <xf numFmtId="0" fontId="7" fillId="0" borderId="23" xfId="3" applyBorder="1" applyAlignment="1" applyProtection="1">
      <alignment horizontal="left" vertical="top"/>
    </xf>
    <xf numFmtId="0" fontId="29" fillId="0" borderId="23" xfId="3" applyFont="1" applyBorder="1" applyAlignment="1" applyProtection="1">
      <alignment horizontal="left" vertical="top"/>
    </xf>
    <xf numFmtId="0" fontId="17" fillId="0" borderId="64" xfId="3" applyFont="1" applyBorder="1" applyAlignment="1" applyProtection="1">
      <alignment horizontal="left" vertical="top" wrapText="1"/>
    </xf>
    <xf numFmtId="0" fontId="3" fillId="0" borderId="0" xfId="3" applyFont="1" applyAlignment="1" applyProtection="1">
      <alignment horizontal="left" vertical="top" wrapText="1"/>
    </xf>
    <xf numFmtId="0" fontId="17" fillId="0" borderId="23" xfId="3" applyFont="1" applyBorder="1" applyAlignment="1" applyProtection="1">
      <alignment horizontal="left" vertical="top" wrapText="1"/>
    </xf>
    <xf numFmtId="0" fontId="16" fillId="0" borderId="23" xfId="3" applyFont="1" applyBorder="1" applyAlignment="1" applyProtection="1">
      <alignment horizontal="left" vertical="top" wrapText="1"/>
    </xf>
    <xf numFmtId="0" fontId="8" fillId="3" borderId="72" xfId="0" applyFont="1" applyFill="1" applyBorder="1" applyAlignment="1" applyProtection="1">
      <alignment vertical="top" wrapText="1"/>
    </xf>
    <xf numFmtId="0" fontId="1" fillId="3" borderId="70" xfId="0" applyFont="1" applyFill="1" applyBorder="1" applyAlignment="1" applyProtection="1">
      <alignment horizontal="left" vertical="top" wrapText="1"/>
    </xf>
    <xf numFmtId="0" fontId="8" fillId="3" borderId="359" xfId="0" applyFont="1" applyFill="1" applyBorder="1" applyAlignment="1" applyProtection="1">
      <alignment vertical="top" wrapText="1"/>
    </xf>
    <xf numFmtId="16" fontId="1" fillId="0" borderId="0" xfId="3" applyNumberFormat="1" applyFont="1" applyAlignment="1" applyProtection="1">
      <alignment horizontal="left" vertical="top" wrapText="1"/>
    </xf>
    <xf numFmtId="0" fontId="1" fillId="0" borderId="29" xfId="3" applyFont="1" applyBorder="1" applyAlignment="1" applyProtection="1">
      <alignment horizontal="left" vertical="top" wrapText="1"/>
    </xf>
    <xf numFmtId="0" fontId="17" fillId="0" borderId="29" xfId="3" applyFont="1" applyBorder="1" applyAlignment="1" applyProtection="1">
      <alignment horizontal="left" vertical="top" wrapText="1"/>
    </xf>
    <xf numFmtId="0" fontId="1" fillId="0" borderId="31" xfId="3" applyFont="1" applyBorder="1" applyAlignment="1" applyProtection="1">
      <alignment horizontal="left" vertical="top" wrapText="1"/>
    </xf>
    <xf numFmtId="0" fontId="1" fillId="0" borderId="2" xfId="3" applyFont="1" applyBorder="1" applyAlignment="1" applyProtection="1">
      <alignment horizontal="left" vertical="top" wrapText="1"/>
    </xf>
    <xf numFmtId="0" fontId="1" fillId="0" borderId="23" xfId="3" applyFont="1" applyBorder="1" applyAlignment="1" applyProtection="1">
      <alignment horizontal="left" vertical="top" wrapText="1"/>
    </xf>
    <xf numFmtId="0" fontId="6" fillId="0" borderId="23" xfId="2" applyFill="1" applyBorder="1" applyAlignment="1" applyProtection="1">
      <alignment horizontal="left" vertical="top" wrapText="1"/>
    </xf>
    <xf numFmtId="0" fontId="30" fillId="0" borderId="23" xfId="3" applyFont="1" applyBorder="1" applyAlignment="1" applyProtection="1">
      <alignment horizontal="left" vertical="top" wrapText="1"/>
    </xf>
    <xf numFmtId="0" fontId="1" fillId="0" borderId="76" xfId="3" applyFont="1" applyBorder="1" applyAlignment="1" applyProtection="1">
      <alignment horizontal="left" vertical="top" wrapText="1"/>
    </xf>
    <xf numFmtId="0" fontId="1" fillId="0" borderId="18" xfId="3" applyFont="1" applyBorder="1" applyAlignment="1" applyProtection="1">
      <alignment horizontal="left" vertical="top" wrapText="1"/>
    </xf>
    <xf numFmtId="0" fontId="1" fillId="0" borderId="7" xfId="3" applyFont="1" applyBorder="1" applyAlignment="1" applyProtection="1">
      <alignment horizontal="left" vertical="top" wrapText="1"/>
    </xf>
    <xf numFmtId="0" fontId="7" fillId="0" borderId="64" xfId="0" applyFont="1" applyBorder="1" applyAlignment="1" applyProtection="1">
      <alignment horizontal="left" vertical="top"/>
    </xf>
    <xf numFmtId="0" fontId="54" fillId="0" borderId="64" xfId="0" applyFont="1" applyBorder="1" applyAlignment="1" applyProtection="1">
      <alignment horizontal="left" vertical="top" wrapText="1"/>
    </xf>
    <xf numFmtId="0" fontId="3" fillId="0" borderId="61" xfId="0" applyFont="1" applyBorder="1" applyAlignment="1" applyProtection="1">
      <alignment horizontal="left" vertical="top" wrapText="1"/>
    </xf>
    <xf numFmtId="0" fontId="3" fillId="0" borderId="57" xfId="0" applyFont="1" applyBorder="1" applyAlignment="1" applyProtection="1">
      <alignment horizontal="left" vertical="top" wrapText="1"/>
    </xf>
    <xf numFmtId="0" fontId="36" fillId="0" borderId="28" xfId="0" applyFont="1" applyBorder="1" applyAlignment="1" applyProtection="1">
      <alignment horizontal="left" vertical="top" wrapText="1"/>
    </xf>
    <xf numFmtId="0" fontId="3" fillId="0" borderId="50" xfId="0" applyFont="1" applyBorder="1" applyAlignment="1" applyProtection="1">
      <alignment horizontal="left" vertical="top" wrapText="1"/>
    </xf>
    <xf numFmtId="0" fontId="1" fillId="0" borderId="76" xfId="0" applyFont="1" applyBorder="1" applyAlignment="1" applyProtection="1">
      <alignment horizontal="left" vertical="top" wrapText="1"/>
    </xf>
    <xf numFmtId="0" fontId="17" fillId="0" borderId="29" xfId="0" applyFont="1" applyBorder="1" applyAlignment="1" applyProtection="1">
      <alignment horizontal="left" vertical="top" wrapText="1"/>
    </xf>
    <xf numFmtId="0" fontId="18" fillId="0" borderId="0" xfId="0" applyFont="1" applyAlignment="1" applyProtection="1">
      <alignment horizontal="left" vertical="top" wrapText="1"/>
    </xf>
    <xf numFmtId="0" fontId="22" fillId="0" borderId="0" xfId="0" applyFont="1" applyAlignment="1" applyProtection="1">
      <alignment horizontal="left" vertical="top" wrapText="1"/>
    </xf>
    <xf numFmtId="0" fontId="22" fillId="7" borderId="0" xfId="0" applyFont="1" applyFill="1" applyAlignment="1" applyProtection="1">
      <alignment horizontal="left" vertical="top" wrapText="1"/>
    </xf>
    <xf numFmtId="49" fontId="18" fillId="7" borderId="0" xfId="0" applyNumberFormat="1" applyFont="1" applyFill="1" applyAlignment="1" applyProtection="1">
      <alignment horizontal="left" vertical="top" wrapText="1"/>
    </xf>
    <xf numFmtId="0" fontId="24" fillId="7" borderId="54" xfId="0" applyFont="1" applyFill="1" applyBorder="1" applyAlignment="1" applyProtection="1">
      <alignment horizontal="left" vertical="top" wrapText="1"/>
    </xf>
    <xf numFmtId="0" fontId="18" fillId="7" borderId="54" xfId="0" applyFont="1" applyFill="1" applyBorder="1" applyAlignment="1" applyProtection="1">
      <alignment horizontal="left" vertical="top" wrapText="1"/>
    </xf>
    <xf numFmtId="0" fontId="22" fillId="7" borderId="54" xfId="0" applyFont="1" applyFill="1" applyBorder="1" applyAlignment="1" applyProtection="1">
      <alignment horizontal="left" vertical="top" wrapText="1"/>
    </xf>
    <xf numFmtId="0" fontId="8" fillId="7" borderId="46" xfId="0" applyFont="1" applyFill="1" applyBorder="1" applyAlignment="1" applyProtection="1">
      <alignment horizontal="left" vertical="top" wrapText="1"/>
    </xf>
    <xf numFmtId="0" fontId="53" fillId="7" borderId="54" xfId="0" applyFont="1" applyFill="1" applyBorder="1" applyAlignment="1" applyProtection="1">
      <alignment horizontal="left" vertical="top" wrapText="1"/>
    </xf>
    <xf numFmtId="0" fontId="8" fillId="7" borderId="49" xfId="0" applyFont="1" applyFill="1" applyBorder="1" applyAlignment="1" applyProtection="1">
      <alignment horizontal="left" vertical="top" wrapText="1"/>
    </xf>
    <xf numFmtId="0" fontId="13" fillId="7" borderId="46" xfId="0" applyFont="1" applyFill="1" applyBorder="1" applyAlignment="1" applyProtection="1">
      <alignment horizontal="left" vertical="top" wrapText="1"/>
    </xf>
    <xf numFmtId="0" fontId="8" fillId="7" borderId="44" xfId="0" applyFont="1" applyFill="1" applyBorder="1" applyAlignment="1" applyProtection="1">
      <alignment horizontal="left" vertical="top" wrapText="1"/>
    </xf>
    <xf numFmtId="0" fontId="8" fillId="7" borderId="54" xfId="0" applyFont="1" applyFill="1" applyBorder="1" applyAlignment="1" applyProtection="1">
      <alignment horizontal="left" vertical="top" wrapText="1"/>
    </xf>
    <xf numFmtId="0" fontId="0" fillId="7" borderId="54" xfId="0" applyFill="1" applyBorder="1" applyAlignment="1" applyProtection="1">
      <alignment horizontal="left" vertical="top"/>
    </xf>
    <xf numFmtId="0" fontId="54" fillId="0" borderId="61" xfId="0" applyFont="1" applyBorder="1" applyAlignment="1" applyProtection="1">
      <alignment horizontal="left" vertical="top" wrapText="1"/>
    </xf>
    <xf numFmtId="0" fontId="54" fillId="0" borderId="0" xfId="0" applyFont="1" applyAlignment="1" applyProtection="1">
      <alignment horizontal="left" vertical="top" wrapText="1"/>
    </xf>
    <xf numFmtId="0" fontId="16" fillId="0" borderId="59" xfId="0" applyFont="1" applyBorder="1" applyAlignment="1" applyProtection="1">
      <alignment horizontal="left" vertical="top" wrapText="1"/>
    </xf>
    <xf numFmtId="0" fontId="17" fillId="0" borderId="60" xfId="0" applyFont="1" applyBorder="1" applyAlignment="1" applyProtection="1">
      <alignment horizontal="left" vertical="top" wrapText="1"/>
    </xf>
    <xf numFmtId="0" fontId="32" fillId="0" borderId="23" xfId="0" applyFont="1" applyBorder="1" applyAlignment="1" applyProtection="1">
      <alignment horizontal="left" vertical="top"/>
    </xf>
    <xf numFmtId="0" fontId="8" fillId="0" borderId="98" xfId="0" applyFont="1" applyBorder="1" applyAlignment="1" applyProtection="1">
      <alignment horizontal="left" vertical="top" wrapText="1"/>
    </xf>
    <xf numFmtId="0" fontId="8" fillId="0" borderId="89" xfId="0" applyFont="1" applyBorder="1" applyAlignment="1" applyProtection="1">
      <alignment horizontal="left" vertical="top" wrapText="1"/>
    </xf>
    <xf numFmtId="0" fontId="8" fillId="0" borderId="142" xfId="0" applyFont="1" applyBorder="1" applyAlignment="1" applyProtection="1">
      <alignment horizontal="left" vertical="top" wrapText="1"/>
    </xf>
    <xf numFmtId="0" fontId="8" fillId="0" borderId="88" xfId="0" applyFont="1" applyBorder="1" applyAlignment="1" applyProtection="1">
      <alignment horizontal="left" vertical="top" wrapText="1"/>
    </xf>
    <xf numFmtId="0" fontId="8" fillId="0" borderId="50" xfId="0" applyFont="1" applyBorder="1" applyAlignment="1" applyProtection="1">
      <alignment horizontal="left" vertical="top" wrapText="1"/>
    </xf>
    <xf numFmtId="0" fontId="32" fillId="0" borderId="223" xfId="0" applyFont="1" applyBorder="1" applyAlignment="1" applyProtection="1">
      <alignment horizontal="left" vertical="top"/>
    </xf>
    <xf numFmtId="0" fontId="8" fillId="0" borderId="223" xfId="0" applyFont="1" applyBorder="1" applyAlignment="1" applyProtection="1">
      <alignment horizontal="left" vertical="top" wrapText="1"/>
    </xf>
    <xf numFmtId="0" fontId="17" fillId="0" borderId="223" xfId="0" applyFont="1" applyBorder="1" applyAlignment="1" applyProtection="1">
      <alignment horizontal="left" vertical="top" wrapText="1"/>
    </xf>
    <xf numFmtId="0" fontId="62" fillId="0" borderId="0" xfId="0" applyFont="1" applyAlignment="1" applyProtection="1">
      <alignment horizontal="left" vertical="top"/>
    </xf>
    <xf numFmtId="0" fontId="32" fillId="0" borderId="224" xfId="0" applyFont="1" applyBorder="1" applyAlignment="1" applyProtection="1">
      <alignment horizontal="left" vertical="top"/>
    </xf>
    <xf numFmtId="0" fontId="32" fillId="0" borderId="215" xfId="0" applyFont="1" applyBorder="1" applyAlignment="1" applyProtection="1">
      <alignment horizontal="left" vertical="top"/>
    </xf>
    <xf numFmtId="0" fontId="18" fillId="0" borderId="215" xfId="0" applyFont="1" applyBorder="1" applyAlignment="1" applyProtection="1">
      <alignment horizontal="left" vertical="top"/>
    </xf>
    <xf numFmtId="0" fontId="1" fillId="0" borderId="75" xfId="0" applyFont="1" applyBorder="1" applyAlignment="1" applyProtection="1">
      <alignment horizontal="left" vertical="top" wrapText="1"/>
    </xf>
    <xf numFmtId="0" fontId="8" fillId="0" borderId="46" xfId="0" applyFont="1" applyBorder="1" applyAlignment="1" applyProtection="1">
      <alignment horizontal="left" vertical="top" wrapText="1"/>
    </xf>
    <xf numFmtId="0" fontId="8" fillId="0" borderId="44" xfId="0" applyFont="1" applyBorder="1" applyAlignment="1" applyProtection="1">
      <alignment horizontal="left" vertical="top" wrapText="1"/>
    </xf>
    <xf numFmtId="0" fontId="8" fillId="0" borderId="49" xfId="0" applyFont="1" applyBorder="1" applyAlignment="1" applyProtection="1">
      <alignment horizontal="left" vertical="top" wrapText="1"/>
    </xf>
    <xf numFmtId="0" fontId="8" fillId="0" borderId="143" xfId="0" applyFont="1" applyBorder="1" applyAlignment="1" applyProtection="1">
      <alignment horizontal="left" vertical="top" wrapText="1"/>
    </xf>
    <xf numFmtId="0" fontId="8" fillId="0" borderId="60" xfId="0" applyFont="1" applyBorder="1" applyAlignment="1" applyProtection="1">
      <alignment horizontal="left" vertical="top" wrapText="1"/>
    </xf>
    <xf numFmtId="0" fontId="8" fillId="7" borderId="47" xfId="0" applyFont="1" applyFill="1" applyBorder="1" applyAlignment="1" applyProtection="1">
      <alignment horizontal="left" vertical="top" wrapText="1"/>
    </xf>
    <xf numFmtId="0" fontId="8" fillId="7" borderId="26" xfId="0" applyFont="1" applyFill="1" applyBorder="1" applyAlignment="1" applyProtection="1">
      <alignment horizontal="left" vertical="top" wrapText="1"/>
    </xf>
    <xf numFmtId="0" fontId="8" fillId="7" borderId="50" xfId="0" applyFont="1" applyFill="1" applyBorder="1" applyAlignment="1" applyProtection="1">
      <alignment horizontal="left" vertical="top" wrapText="1"/>
    </xf>
    <xf numFmtId="0" fontId="8" fillId="6" borderId="61" xfId="0" applyFont="1" applyFill="1" applyBorder="1" applyAlignment="1" applyProtection="1">
      <alignment horizontal="left" vertical="top" wrapText="1"/>
    </xf>
    <xf numFmtId="0" fontId="8" fillId="0" borderId="61" xfId="0" applyFont="1" applyBorder="1" applyAlignment="1" applyProtection="1">
      <alignment horizontal="left" vertical="top" wrapText="1"/>
    </xf>
    <xf numFmtId="0" fontId="8" fillId="0" borderId="57" xfId="0" applyFont="1" applyBorder="1" applyAlignment="1" applyProtection="1">
      <alignment horizontal="left" vertical="top" wrapText="1"/>
    </xf>
    <xf numFmtId="0" fontId="8" fillId="6" borderId="62" xfId="0" applyFont="1" applyFill="1" applyBorder="1" applyAlignment="1" applyProtection="1">
      <alignment horizontal="left" vertical="top" wrapText="1"/>
    </xf>
    <xf numFmtId="0" fontId="8" fillId="0" borderId="40" xfId="0" applyFont="1" applyBorder="1" applyAlignment="1" applyProtection="1">
      <alignment horizontal="left" vertical="top" wrapText="1"/>
    </xf>
    <xf numFmtId="0" fontId="8" fillId="6" borderId="57" xfId="0" applyFont="1" applyFill="1" applyBorder="1" applyAlignment="1" applyProtection="1">
      <alignment horizontal="left" vertical="top" wrapText="1"/>
    </xf>
    <xf numFmtId="0" fontId="8" fillId="6" borderId="28" xfId="0" applyFont="1" applyFill="1" applyBorder="1" applyAlignment="1" applyProtection="1">
      <alignment horizontal="left" vertical="top" wrapText="1"/>
    </xf>
    <xf numFmtId="0" fontId="8" fillId="6" borderId="59" xfId="0" applyFont="1" applyFill="1" applyBorder="1" applyAlignment="1" applyProtection="1">
      <alignment horizontal="left" vertical="top" wrapText="1"/>
    </xf>
    <xf numFmtId="0" fontId="8" fillId="6" borderId="64" xfId="0" applyFont="1" applyFill="1" applyBorder="1" applyAlignment="1" applyProtection="1">
      <alignment horizontal="left" vertical="top" wrapText="1"/>
    </xf>
    <xf numFmtId="0" fontId="17" fillId="6" borderId="64" xfId="0" applyFont="1" applyFill="1" applyBorder="1" applyAlignment="1" applyProtection="1">
      <alignment horizontal="left" vertical="top" wrapText="1"/>
    </xf>
    <xf numFmtId="0" fontId="8" fillId="6" borderId="40" xfId="0" applyFont="1" applyFill="1" applyBorder="1" applyAlignment="1" applyProtection="1">
      <alignment horizontal="left" vertical="top" wrapText="1"/>
    </xf>
    <xf numFmtId="0" fontId="8" fillId="6" borderId="63" xfId="0" applyFont="1" applyFill="1" applyBorder="1" applyAlignment="1" applyProtection="1">
      <alignment horizontal="left" vertical="top" wrapText="1"/>
    </xf>
    <xf numFmtId="0" fontId="32" fillId="6" borderId="0" xfId="0" applyFont="1" applyFill="1" applyAlignment="1" applyProtection="1">
      <alignment horizontal="left" vertical="top"/>
    </xf>
    <xf numFmtId="0" fontId="1" fillId="0" borderId="102" xfId="0" applyFont="1" applyBorder="1" applyAlignment="1" applyProtection="1">
      <alignment horizontal="left" vertical="top" wrapText="1"/>
    </xf>
    <xf numFmtId="0" fontId="1" fillId="0" borderId="30" xfId="0" applyFont="1" applyBorder="1" applyAlignment="1" applyProtection="1">
      <alignment horizontal="left" vertical="top" wrapText="1"/>
    </xf>
    <xf numFmtId="0" fontId="1" fillId="0" borderId="111" xfId="0" applyFont="1" applyBorder="1" applyAlignment="1" applyProtection="1">
      <alignment horizontal="left" vertical="top" wrapText="1"/>
    </xf>
    <xf numFmtId="0" fontId="1" fillId="0" borderId="60" xfId="0" applyFont="1" applyBorder="1" applyAlignment="1" applyProtection="1">
      <alignment horizontal="left" vertical="top" wrapText="1"/>
    </xf>
    <xf numFmtId="0" fontId="17" fillId="7" borderId="47" xfId="0" applyFont="1" applyFill="1" applyBorder="1" applyAlignment="1" applyProtection="1">
      <alignment horizontal="left" vertical="top" wrapText="1"/>
    </xf>
    <xf numFmtId="0" fontId="55" fillId="7" borderId="55" xfId="0" applyFont="1" applyFill="1" applyBorder="1" applyAlignment="1" applyProtection="1">
      <alignment horizontal="left" vertical="top" wrapText="1"/>
    </xf>
    <xf numFmtId="0" fontId="8" fillId="0" borderId="420" xfId="0" applyFont="1" applyBorder="1" applyAlignment="1" applyProtection="1">
      <alignment horizontal="left" vertical="top" wrapText="1"/>
      <protection locked="0"/>
    </xf>
    <xf numFmtId="0" fontId="17" fillId="0" borderId="75" xfId="0" applyFont="1" applyBorder="1" applyAlignment="1" applyProtection="1">
      <alignment horizontal="left" vertical="top" wrapText="1"/>
    </xf>
    <xf numFmtId="0" fontId="17" fillId="0" borderId="31" xfId="0" applyFont="1" applyBorder="1" applyAlignment="1" applyProtection="1">
      <alignment horizontal="left" vertical="top" wrapText="1"/>
    </xf>
    <xf numFmtId="0" fontId="16" fillId="0" borderId="46" xfId="0" applyFont="1" applyBorder="1" applyAlignment="1" applyProtection="1">
      <alignment horizontal="left" vertical="top" wrapText="1"/>
    </xf>
    <xf numFmtId="0" fontId="17" fillId="0" borderId="46" xfId="0" applyFont="1" applyBorder="1" applyAlignment="1" applyProtection="1">
      <alignment horizontal="left" vertical="top" wrapText="1"/>
    </xf>
    <xf numFmtId="0" fontId="16" fillId="0" borderId="44" xfId="0" applyFont="1" applyBorder="1" applyAlignment="1" applyProtection="1">
      <alignment horizontal="left" vertical="top" wrapText="1"/>
    </xf>
    <xf numFmtId="0" fontId="16" fillId="0" borderId="49" xfId="0" applyFont="1" applyBorder="1" applyAlignment="1" applyProtection="1">
      <alignment horizontal="left" vertical="top" wrapText="1"/>
    </xf>
    <xf numFmtId="0" fontId="3" fillId="0" borderId="54" xfId="0" applyFont="1" applyBorder="1" applyAlignment="1" applyProtection="1">
      <alignment horizontal="left" vertical="top" wrapText="1"/>
    </xf>
    <xf numFmtId="0" fontId="55" fillId="0" borderId="54" xfId="0" applyFont="1" applyBorder="1" applyAlignment="1" applyProtection="1">
      <alignment horizontal="left" vertical="top" wrapText="1"/>
    </xf>
    <xf numFmtId="0" fontId="3" fillId="0" borderId="46" xfId="0" applyFont="1" applyBorder="1" applyAlignment="1" applyProtection="1">
      <alignment horizontal="left" vertical="top" wrapText="1"/>
    </xf>
    <xf numFmtId="0" fontId="3" fillId="0" borderId="44" xfId="0" applyFont="1" applyBorder="1" applyAlignment="1" applyProtection="1">
      <alignment horizontal="left" vertical="top" wrapText="1"/>
    </xf>
    <xf numFmtId="0" fontId="3" fillId="0" borderId="49" xfId="0" applyFont="1" applyBorder="1" applyAlignment="1" applyProtection="1">
      <alignment horizontal="left" vertical="top" wrapText="1"/>
    </xf>
    <xf numFmtId="0" fontId="1" fillId="0" borderId="41" xfId="0" applyFont="1" applyBorder="1" applyAlignment="1" applyProtection="1">
      <alignment horizontal="left" vertical="top" wrapText="1"/>
    </xf>
    <xf numFmtId="0" fontId="1" fillId="0" borderId="95" xfId="0" applyFont="1" applyBorder="1" applyAlignment="1" applyProtection="1">
      <alignment horizontal="left" vertical="top" wrapText="1"/>
    </xf>
    <xf numFmtId="0" fontId="8" fillId="3" borderId="259" xfId="0" applyFont="1" applyFill="1" applyBorder="1" applyAlignment="1" applyProtection="1">
      <alignment horizontal="left" vertical="top" wrapText="1"/>
    </xf>
    <xf numFmtId="0" fontId="8" fillId="13" borderId="307" xfId="0" applyFont="1" applyFill="1" applyBorder="1" applyAlignment="1" applyProtection="1">
      <alignment horizontal="left" vertical="top" wrapText="1"/>
    </xf>
    <xf numFmtId="0" fontId="1" fillId="0" borderId="214" xfId="0" applyFont="1" applyBorder="1" applyAlignment="1" applyProtection="1">
      <alignment horizontal="left" vertical="top" wrapText="1"/>
    </xf>
    <xf numFmtId="0" fontId="0" fillId="0" borderId="91" xfId="0" applyBorder="1" applyAlignment="1" applyProtection="1">
      <alignment horizontal="left" vertical="top"/>
    </xf>
    <xf numFmtId="0" fontId="38" fillId="7" borderId="47" xfId="0" applyFont="1" applyFill="1" applyBorder="1" applyAlignment="1" applyProtection="1">
      <alignment horizontal="left" vertical="top" wrapText="1"/>
    </xf>
    <xf numFmtId="0" fontId="7" fillId="0" borderId="165" xfId="0" applyFont="1" applyBorder="1" applyAlignment="1" applyProtection="1">
      <alignment horizontal="left" vertical="top" wrapText="1"/>
      <protection locked="0"/>
    </xf>
    <xf numFmtId="0" fontId="7" fillId="0" borderId="221" xfId="0" applyFont="1" applyBorder="1" applyAlignment="1" applyProtection="1">
      <alignment horizontal="left" vertical="top" wrapText="1"/>
      <protection locked="0"/>
    </xf>
    <xf numFmtId="0" fontId="7" fillId="0" borderId="113" xfId="0" applyFont="1" applyBorder="1" applyAlignment="1" applyProtection="1">
      <alignment horizontal="left" vertical="top" wrapText="1"/>
      <protection locked="0"/>
    </xf>
    <xf numFmtId="0" fontId="7" fillId="0" borderId="198" xfId="0" applyFont="1" applyBorder="1" applyAlignment="1" applyProtection="1">
      <alignment horizontal="left" vertical="top" wrapText="1"/>
      <protection locked="0"/>
    </xf>
    <xf numFmtId="0" fontId="7" fillId="0" borderId="174" xfId="0" applyFont="1" applyBorder="1" applyAlignment="1" applyProtection="1">
      <alignment horizontal="left" vertical="top" wrapText="1"/>
      <protection locked="0"/>
    </xf>
    <xf numFmtId="0" fontId="0" fillId="0" borderId="162" xfId="0" applyBorder="1" applyAlignment="1" applyProtection="1">
      <alignment horizontal="left" vertical="top" wrapText="1"/>
      <protection locked="0"/>
    </xf>
    <xf numFmtId="0" fontId="27" fillId="0" borderId="169" xfId="0" applyFont="1" applyBorder="1" applyAlignment="1" applyProtection="1">
      <alignment horizontal="left" vertical="top"/>
      <protection locked="0"/>
    </xf>
    <xf numFmtId="0" fontId="0" fillId="0" borderId="316" xfId="0" applyBorder="1" applyAlignment="1" applyProtection="1">
      <alignment horizontal="left" vertical="top"/>
      <protection locked="0"/>
    </xf>
    <xf numFmtId="0" fontId="0" fillId="0" borderId="244" xfId="0" applyBorder="1" applyAlignment="1" applyProtection="1">
      <alignment horizontal="left" vertical="top"/>
      <protection locked="0"/>
    </xf>
    <xf numFmtId="0" fontId="3" fillId="6" borderId="91" xfId="0" applyFont="1" applyFill="1" applyBorder="1" applyAlignment="1" applyProtection="1">
      <alignment horizontal="left" vertical="top" wrapText="1"/>
      <protection locked="0"/>
    </xf>
    <xf numFmtId="0" fontId="3" fillId="6" borderId="72" xfId="0" applyFont="1" applyFill="1" applyBorder="1" applyAlignment="1" applyProtection="1">
      <alignment horizontal="left" vertical="top" wrapText="1"/>
      <protection locked="0"/>
    </xf>
    <xf numFmtId="0" fontId="8" fillId="6" borderId="159" xfId="0" applyFont="1" applyFill="1" applyBorder="1" applyAlignment="1" applyProtection="1">
      <alignment horizontal="left" vertical="top" wrapText="1"/>
      <protection locked="0"/>
    </xf>
    <xf numFmtId="0" fontId="8" fillId="6" borderId="160" xfId="0" applyFont="1" applyFill="1" applyBorder="1" applyAlignment="1" applyProtection="1">
      <alignment horizontal="left" vertical="top" wrapText="1"/>
      <protection locked="0"/>
    </xf>
    <xf numFmtId="0" fontId="1" fillId="3" borderId="240" xfId="0" applyFont="1" applyFill="1" applyBorder="1" applyAlignment="1" applyProtection="1">
      <alignment horizontal="left" vertical="top" wrapText="1"/>
    </xf>
    <xf numFmtId="0" fontId="1" fillId="3" borderId="241" xfId="0" applyFont="1" applyFill="1" applyBorder="1" applyAlignment="1" applyProtection="1">
      <alignment horizontal="left" vertical="top" wrapText="1"/>
    </xf>
    <xf numFmtId="0" fontId="1" fillId="3" borderId="383" xfId="0" applyFont="1" applyFill="1" applyBorder="1" applyAlignment="1" applyProtection="1">
      <alignment horizontal="left" vertical="top" wrapText="1"/>
    </xf>
    <xf numFmtId="0" fontId="1" fillId="3" borderId="594" xfId="0" applyFont="1" applyFill="1" applyBorder="1" applyAlignment="1" applyProtection="1">
      <alignment horizontal="left" vertical="top" wrapText="1"/>
    </xf>
    <xf numFmtId="0" fontId="1" fillId="3" borderId="72" xfId="0" applyFont="1" applyFill="1" applyBorder="1" applyAlignment="1" applyProtection="1">
      <alignment horizontal="left" vertical="top" wrapText="1"/>
    </xf>
    <xf numFmtId="0" fontId="1" fillId="3" borderId="478" xfId="0" applyFont="1" applyFill="1" applyBorder="1" applyAlignment="1" applyProtection="1">
      <alignment horizontal="left" vertical="top" wrapText="1"/>
    </xf>
    <xf numFmtId="0" fontId="1" fillId="3" borderId="146" xfId="0" applyFont="1" applyFill="1" applyBorder="1" applyAlignment="1" applyProtection="1">
      <alignment horizontal="left" vertical="top" wrapText="1"/>
    </xf>
    <xf numFmtId="0" fontId="1" fillId="3" borderId="96" xfId="0" applyFont="1" applyFill="1" applyBorder="1" applyAlignment="1" applyProtection="1">
      <alignment horizontal="left" vertical="top" wrapText="1"/>
    </xf>
    <xf numFmtId="0" fontId="1" fillId="3" borderId="121" xfId="0" applyFont="1" applyFill="1" applyBorder="1" applyAlignment="1" applyProtection="1">
      <alignment horizontal="left" vertical="top" wrapText="1"/>
    </xf>
    <xf numFmtId="0" fontId="8" fillId="0" borderId="126" xfId="0" applyFont="1" applyBorder="1" applyAlignment="1" applyProtection="1">
      <alignment horizontal="left" vertical="top" wrapText="1"/>
      <protection locked="0"/>
    </xf>
    <xf numFmtId="0" fontId="18" fillId="0" borderId="61" xfId="0" applyFont="1" applyBorder="1" applyAlignment="1" applyProtection="1">
      <alignment horizontal="left" vertical="top"/>
    </xf>
    <xf numFmtId="0" fontId="18" fillId="0" borderId="64" xfId="0" applyFont="1" applyBorder="1" applyAlignment="1" applyProtection="1">
      <alignment horizontal="left" vertical="top"/>
    </xf>
    <xf numFmtId="0" fontId="17" fillId="0" borderId="57" xfId="0" applyFont="1" applyBorder="1" applyAlignment="1" applyProtection="1">
      <alignment horizontal="left" vertical="top" wrapText="1"/>
    </xf>
    <xf numFmtId="0" fontId="3" fillId="0" borderId="118" xfId="0" applyFont="1" applyBorder="1" applyAlignment="1" applyProtection="1">
      <alignment horizontal="left" vertical="top" wrapText="1"/>
    </xf>
    <xf numFmtId="0" fontId="18" fillId="0" borderId="29" xfId="0" applyFont="1" applyBorder="1" applyAlignment="1" applyProtection="1">
      <alignment horizontal="left" vertical="top"/>
    </xf>
    <xf numFmtId="0" fontId="18" fillId="0" borderId="91" xfId="0" applyFont="1" applyBorder="1" applyAlignment="1" applyProtection="1">
      <alignment horizontal="left" vertical="top"/>
    </xf>
    <xf numFmtId="0" fontId="18" fillId="0" borderId="93" xfId="0" applyFont="1" applyBorder="1" applyAlignment="1" applyProtection="1">
      <alignment horizontal="left" vertical="top"/>
    </xf>
    <xf numFmtId="0" fontId="1" fillId="0" borderId="491" xfId="0" applyFont="1" applyBorder="1" applyAlignment="1" applyProtection="1">
      <alignment horizontal="left" vertical="top" wrapText="1"/>
    </xf>
    <xf numFmtId="0" fontId="1" fillId="0" borderId="562" xfId="0" applyFont="1" applyBorder="1" applyAlignment="1" applyProtection="1">
      <alignment horizontal="left" vertical="top" wrapText="1"/>
    </xf>
    <xf numFmtId="0" fontId="1" fillId="0" borderId="70" xfId="0" applyFont="1" applyBorder="1" applyAlignment="1" applyProtection="1">
      <alignment horizontal="left" vertical="top" wrapText="1"/>
    </xf>
    <xf numFmtId="0" fontId="1" fillId="0" borderId="556" xfId="0" applyFont="1" applyBorder="1" applyAlignment="1" applyProtection="1">
      <alignment horizontal="left" vertical="top" wrapText="1"/>
    </xf>
    <xf numFmtId="0" fontId="1" fillId="0" borderId="240" xfId="0" applyFont="1" applyBorder="1" applyAlignment="1" applyProtection="1">
      <alignment horizontal="left" vertical="top" wrapText="1"/>
    </xf>
    <xf numFmtId="0" fontId="1" fillId="0" borderId="241" xfId="0" applyFont="1" applyBorder="1" applyAlignment="1" applyProtection="1">
      <alignment horizontal="left" vertical="top" wrapText="1"/>
    </xf>
    <xf numFmtId="0" fontId="1" fillId="0" borderId="383" xfId="0" applyFont="1" applyBorder="1" applyAlignment="1" applyProtection="1">
      <alignment horizontal="left" vertical="top" wrapText="1"/>
    </xf>
    <xf numFmtId="0" fontId="8" fillId="0" borderId="122" xfId="0" applyFont="1" applyBorder="1" applyAlignment="1" applyProtection="1">
      <alignment vertical="top" wrapText="1"/>
    </xf>
    <xf numFmtId="0" fontId="8" fillId="0" borderId="42" xfId="0" applyFont="1" applyBorder="1" applyAlignment="1" applyProtection="1">
      <alignment vertical="top" wrapText="1"/>
    </xf>
    <xf numFmtId="0" fontId="8" fillId="0" borderId="516" xfId="0" applyFont="1" applyBorder="1" applyAlignment="1" applyProtection="1">
      <alignment vertical="top" wrapText="1"/>
    </xf>
    <xf numFmtId="0" fontId="8" fillId="0" borderId="74" xfId="0" applyFont="1" applyBorder="1" applyAlignment="1" applyProtection="1">
      <alignment vertical="top" wrapText="1"/>
    </xf>
    <xf numFmtId="0" fontId="1" fillId="0" borderId="42" xfId="0" applyFont="1" applyBorder="1" applyAlignment="1" applyProtection="1">
      <alignment horizontal="left" vertical="top" wrapText="1"/>
    </xf>
    <xf numFmtId="0" fontId="17" fillId="0" borderId="143" xfId="0" applyFont="1" applyBorder="1" applyAlignment="1" applyProtection="1">
      <alignment horizontal="left" vertical="top" wrapText="1"/>
    </xf>
    <xf numFmtId="0" fontId="17" fillId="0" borderId="131" xfId="0" applyFont="1" applyBorder="1" applyAlignment="1" applyProtection="1">
      <alignment horizontal="left" vertical="top" wrapText="1"/>
    </xf>
    <xf numFmtId="0" fontId="36" fillId="0" borderId="143" xfId="0" applyFont="1" applyBorder="1" applyAlignment="1" applyProtection="1">
      <alignment horizontal="left" vertical="top" wrapText="1"/>
    </xf>
    <xf numFmtId="0" fontId="16" fillId="0" borderId="98" xfId="0" applyFont="1" applyBorder="1" applyAlignment="1" applyProtection="1">
      <alignment horizontal="left" vertical="top" wrapText="1"/>
    </xf>
    <xf numFmtId="0" fontId="17" fillId="0" borderId="98" xfId="0" applyFont="1" applyBorder="1" applyAlignment="1" applyProtection="1">
      <alignment horizontal="left" vertical="top" wrapText="1"/>
    </xf>
    <xf numFmtId="0" fontId="16" fillId="0" borderId="73" xfId="0" applyFont="1" applyBorder="1" applyAlignment="1" applyProtection="1">
      <alignment horizontal="left" vertical="top" wrapText="1"/>
    </xf>
    <xf numFmtId="0" fontId="16" fillId="0" borderId="118" xfId="0" applyFont="1" applyBorder="1" applyAlignment="1" applyProtection="1">
      <alignment horizontal="left" vertical="top" wrapText="1"/>
    </xf>
    <xf numFmtId="0" fontId="3" fillId="0" borderId="73" xfId="0" applyFont="1" applyBorder="1" applyAlignment="1" applyProtection="1">
      <alignment horizontal="left" vertical="top" wrapText="1"/>
    </xf>
    <xf numFmtId="0" fontId="36" fillId="6" borderId="61" xfId="0" applyFont="1" applyFill="1" applyBorder="1" applyAlignment="1" applyProtection="1">
      <alignment horizontal="left" vertical="top" wrapText="1"/>
    </xf>
    <xf numFmtId="0" fontId="36" fillId="0" borderId="61" xfId="0" applyFont="1" applyBorder="1" applyAlignment="1" applyProtection="1">
      <alignment horizontal="left" vertical="top" wrapText="1"/>
    </xf>
    <xf numFmtId="0" fontId="16" fillId="6" borderId="62" xfId="0" applyFont="1" applyFill="1" applyBorder="1" applyAlignment="1" applyProtection="1">
      <alignment horizontal="left" vertical="top" wrapText="1"/>
    </xf>
    <xf numFmtId="0" fontId="17" fillId="0" borderId="62" xfId="0" applyFont="1" applyBorder="1" applyAlignment="1" applyProtection="1">
      <alignment horizontal="left" vertical="top" wrapText="1"/>
    </xf>
    <xf numFmtId="0" fontId="16" fillId="6" borderId="40" xfId="0" applyFont="1" applyFill="1" applyBorder="1" applyAlignment="1" applyProtection="1">
      <alignment horizontal="left" vertical="top" wrapText="1"/>
    </xf>
    <xf numFmtId="0" fontId="16" fillId="6" borderId="63" xfId="0" applyFont="1" applyFill="1" applyBorder="1" applyAlignment="1" applyProtection="1">
      <alignment horizontal="left" vertical="top" wrapText="1"/>
    </xf>
    <xf numFmtId="0" fontId="3" fillId="6" borderId="64" xfId="0" applyFont="1" applyFill="1" applyBorder="1" applyAlignment="1" applyProtection="1">
      <alignment horizontal="left" vertical="top" wrapText="1"/>
    </xf>
    <xf numFmtId="0" fontId="17" fillId="6" borderId="62" xfId="0" applyFont="1" applyFill="1" applyBorder="1" applyAlignment="1" applyProtection="1">
      <alignment horizontal="left" vertical="top" wrapText="1"/>
    </xf>
    <xf numFmtId="0" fontId="3" fillId="6" borderId="62" xfId="0" applyFont="1" applyFill="1" applyBorder="1" applyAlignment="1" applyProtection="1">
      <alignment horizontal="left" vertical="top" wrapText="1"/>
    </xf>
    <xf numFmtId="0" fontId="3" fillId="6" borderId="40" xfId="0" applyFont="1" applyFill="1" applyBorder="1" applyAlignment="1" applyProtection="1">
      <alignment horizontal="left" vertical="top" wrapText="1"/>
    </xf>
    <xf numFmtId="0" fontId="3" fillId="6" borderId="63" xfId="0" applyFont="1" applyFill="1" applyBorder="1" applyAlignment="1" applyProtection="1">
      <alignment horizontal="left" vertical="top" wrapText="1"/>
    </xf>
    <xf numFmtId="0" fontId="18" fillId="6" borderId="0" xfId="0" applyFont="1" applyFill="1" applyAlignment="1" applyProtection="1">
      <alignment horizontal="left" vertical="top"/>
    </xf>
    <xf numFmtId="0" fontId="1" fillId="0" borderId="3" xfId="0" applyFont="1" applyBorder="1" applyAlignment="1" applyProtection="1">
      <alignment horizontal="left" vertical="top" wrapText="1"/>
    </xf>
    <xf numFmtId="0" fontId="1" fillId="0" borderId="304" xfId="0" applyFont="1" applyBorder="1" applyAlignment="1" applyProtection="1">
      <alignment horizontal="left" vertical="top" wrapText="1"/>
    </xf>
    <xf numFmtId="0" fontId="1" fillId="0" borderId="516" xfId="0" applyFont="1" applyBorder="1" applyAlignment="1" applyProtection="1">
      <alignment horizontal="left" vertical="top" wrapText="1"/>
    </xf>
    <xf numFmtId="0" fontId="1" fillId="0" borderId="128" xfId="0" applyFont="1" applyBorder="1" applyAlignment="1" applyProtection="1">
      <alignment horizontal="left" vertical="top" wrapText="1"/>
    </xf>
    <xf numFmtId="0" fontId="1" fillId="0" borderId="37" xfId="0" applyFont="1" applyBorder="1" applyAlignment="1" applyProtection="1">
      <alignment horizontal="left" vertical="top" wrapText="1"/>
    </xf>
    <xf numFmtId="0" fontId="8" fillId="3" borderId="42" xfId="0" applyFont="1" applyFill="1" applyBorder="1" applyAlignment="1" applyProtection="1">
      <alignment vertical="top" wrapText="1"/>
    </xf>
    <xf numFmtId="0" fontId="1" fillId="0" borderId="0" xfId="0" applyFont="1" applyAlignment="1" applyProtection="1">
      <alignment horizontal="center" vertical="center" wrapText="1"/>
    </xf>
    <xf numFmtId="0" fontId="1" fillId="0" borderId="0" xfId="0" applyFont="1" applyAlignment="1" applyProtection="1">
      <alignment vertical="center" wrapText="1"/>
    </xf>
    <xf numFmtId="0" fontId="16" fillId="0" borderId="0" xfId="0" applyFont="1" applyAlignment="1" applyProtection="1">
      <alignment horizontal="left" vertical="center" wrapText="1"/>
    </xf>
    <xf numFmtId="0" fontId="55" fillId="0" borderId="0" xfId="0" applyFont="1" applyAlignment="1" applyProtection="1">
      <alignment horizontal="center" vertical="center" wrapText="1"/>
    </xf>
    <xf numFmtId="0" fontId="17" fillId="0" borderId="0" xfId="0" applyFont="1" applyAlignment="1" applyProtection="1">
      <alignment horizontal="left" vertical="center" wrapText="1"/>
    </xf>
    <xf numFmtId="0" fontId="41" fillId="0" borderId="0" xfId="0" applyFont="1" applyAlignment="1" applyProtection="1">
      <alignment horizontal="left" vertical="center" wrapText="1"/>
    </xf>
    <xf numFmtId="0" fontId="7" fillId="0" borderId="0" xfId="0" applyFont="1" applyAlignment="1" applyProtection="1">
      <alignment horizontal="left" vertical="center"/>
    </xf>
    <xf numFmtId="0" fontId="53" fillId="7" borderId="55" xfId="0" applyFont="1" applyFill="1" applyBorder="1" applyAlignment="1" applyProtection="1">
      <alignment horizontal="left" vertical="center" wrapText="1"/>
    </xf>
    <xf numFmtId="0" fontId="16" fillId="7" borderId="47" xfId="0" applyFont="1" applyFill="1" applyBorder="1" applyAlignment="1" applyProtection="1">
      <alignment horizontal="left" vertical="center" wrapText="1"/>
    </xf>
    <xf numFmtId="0" fontId="16" fillId="7" borderId="26" xfId="0" applyFont="1" applyFill="1" applyBorder="1" applyAlignment="1" applyProtection="1">
      <alignment horizontal="left" vertical="center" wrapText="1"/>
    </xf>
    <xf numFmtId="0" fontId="16" fillId="7" borderId="50" xfId="0" applyFont="1" applyFill="1" applyBorder="1" applyAlignment="1" applyProtection="1">
      <alignment horizontal="left" vertical="center" wrapText="1"/>
    </xf>
    <xf numFmtId="0" fontId="3" fillId="7" borderId="55" xfId="0" applyFont="1" applyFill="1" applyBorder="1" applyAlignment="1" applyProtection="1">
      <alignment horizontal="center" vertical="top" wrapText="1"/>
    </xf>
    <xf numFmtId="0" fontId="18" fillId="0" borderId="23" xfId="0" applyFont="1" applyBorder="1" applyAlignment="1" applyProtection="1">
      <alignment horizontal="center" vertical="center"/>
    </xf>
    <xf numFmtId="0" fontId="22" fillId="0" borderId="23" xfId="0" applyFont="1" applyBorder="1" applyAlignment="1" applyProtection="1">
      <alignment horizontal="center" vertical="center"/>
    </xf>
    <xf numFmtId="0" fontId="39" fillId="0" borderId="23" xfId="0" applyFont="1" applyBorder="1" applyAlignment="1" applyProtection="1">
      <alignment horizontal="left" vertical="center"/>
    </xf>
    <xf numFmtId="0" fontId="0" fillId="0" borderId="0" xfId="0" applyAlignment="1" applyProtection="1">
      <alignment horizontal="center" vertical="center"/>
    </xf>
    <xf numFmtId="0" fontId="7" fillId="0" borderId="191" xfId="0" applyFont="1" applyBorder="1" applyAlignment="1" applyProtection="1">
      <alignment horizontal="center" vertical="center"/>
      <protection locked="0"/>
    </xf>
    <xf numFmtId="0" fontId="22" fillId="0" borderId="191" xfId="0" applyFont="1" applyBorder="1" applyAlignment="1" applyProtection="1">
      <alignment horizontal="center" vertical="center"/>
      <protection locked="0"/>
    </xf>
    <xf numFmtId="0" fontId="7" fillId="0" borderId="192" xfId="0" applyFont="1" applyBorder="1" applyAlignment="1" applyProtection="1">
      <alignment horizontal="center" vertical="center"/>
      <protection locked="0"/>
    </xf>
    <xf numFmtId="0" fontId="1" fillId="0" borderId="0" xfId="0" applyFont="1" applyAlignment="1" applyProtection="1">
      <alignment horizontal="left" vertical="center" wrapText="1"/>
    </xf>
    <xf numFmtId="0" fontId="7" fillId="6" borderId="0" xfId="0" applyFont="1" applyFill="1" applyAlignment="1" applyProtection="1">
      <alignment horizontal="left" vertical="center"/>
    </xf>
    <xf numFmtId="0" fontId="39" fillId="7" borderId="0" xfId="0" applyFont="1" applyFill="1" applyAlignment="1" applyProtection="1">
      <alignment horizontal="center" vertical="center"/>
    </xf>
    <xf numFmtId="0" fontId="32" fillId="7" borderId="0" xfId="0" applyFont="1" applyFill="1" applyAlignment="1" applyProtection="1">
      <alignment horizontal="center" vertical="center"/>
    </xf>
    <xf numFmtId="0" fontId="41" fillId="7" borderId="0" xfId="0" applyFont="1" applyFill="1" applyAlignment="1" applyProtection="1">
      <alignment horizontal="left" vertical="center" wrapText="1"/>
    </xf>
    <xf numFmtId="0" fontId="1" fillId="7" borderId="0" xfId="0" applyFont="1" applyFill="1" applyAlignment="1" applyProtection="1">
      <alignment horizontal="center" vertical="center" wrapText="1"/>
    </xf>
    <xf numFmtId="0" fontId="8" fillId="7" borderId="0" xfId="0" applyFont="1" applyFill="1" applyAlignment="1" applyProtection="1">
      <alignment horizontal="center" vertical="center" wrapText="1"/>
    </xf>
    <xf numFmtId="0" fontId="14" fillId="0" borderId="64" xfId="0" applyFont="1" applyBorder="1" applyAlignment="1" applyProtection="1">
      <alignment horizontal="left" vertical="top" wrapText="1"/>
    </xf>
    <xf numFmtId="0" fontId="36" fillId="0" borderId="23" xfId="0" applyFont="1" applyBorder="1" applyAlignment="1" applyProtection="1">
      <alignment horizontal="left" vertical="top" wrapText="1"/>
    </xf>
    <xf numFmtId="0" fontId="1" fillId="3" borderId="491" xfId="0" applyFont="1" applyFill="1" applyBorder="1" applyAlignment="1" applyProtection="1">
      <alignment horizontal="left" vertical="top" wrapText="1"/>
    </xf>
    <xf numFmtId="0" fontId="1" fillId="3" borderId="556" xfId="0" applyFont="1" applyFill="1" applyBorder="1" applyAlignment="1" applyProtection="1">
      <alignment horizontal="left" vertical="top" wrapText="1"/>
    </xf>
    <xf numFmtId="0" fontId="1" fillId="3" borderId="562" xfId="0" applyFont="1" applyFill="1" applyBorder="1" applyAlignment="1" applyProtection="1">
      <alignment horizontal="left" vertical="top" wrapText="1"/>
    </xf>
    <xf numFmtId="0" fontId="1" fillId="3" borderId="471" xfId="0" applyFont="1" applyFill="1" applyBorder="1" applyAlignment="1" applyProtection="1">
      <alignment horizontal="left" vertical="top" wrapText="1"/>
    </xf>
    <xf numFmtId="0" fontId="8" fillId="3" borderId="70" xfId="0" applyFont="1" applyFill="1" applyBorder="1" applyAlignment="1" applyProtection="1">
      <alignment vertical="top" wrapText="1"/>
    </xf>
    <xf numFmtId="0" fontId="8" fillId="3" borderId="149" xfId="0" applyFont="1" applyFill="1" applyBorder="1" applyAlignment="1" applyProtection="1">
      <alignment vertical="top" wrapText="1"/>
    </xf>
    <xf numFmtId="0" fontId="8" fillId="3" borderId="103" xfId="0" applyFont="1" applyFill="1" applyBorder="1" applyAlignment="1" applyProtection="1">
      <alignment vertical="top" wrapText="1"/>
    </xf>
    <xf numFmtId="0" fontId="8" fillId="3" borderId="129" xfId="0" applyFont="1" applyFill="1" applyBorder="1" applyAlignment="1" applyProtection="1">
      <alignment vertical="top" wrapText="1"/>
    </xf>
    <xf numFmtId="0" fontId="8" fillId="3" borderId="516" xfId="0" applyFont="1" applyFill="1" applyBorder="1" applyAlignment="1" applyProtection="1">
      <alignment vertical="top" wrapText="1"/>
    </xf>
    <xf numFmtId="0" fontId="8" fillId="3" borderId="96" xfId="0" applyFont="1" applyFill="1" applyBorder="1" applyAlignment="1" applyProtection="1">
      <alignment vertical="top" wrapText="1"/>
    </xf>
    <xf numFmtId="0" fontId="8" fillId="3" borderId="74" xfId="0" applyFont="1" applyFill="1" applyBorder="1" applyAlignment="1" applyProtection="1">
      <alignment vertical="top" wrapText="1"/>
    </xf>
    <xf numFmtId="0" fontId="8" fillId="3" borderId="122" xfId="0" applyFont="1" applyFill="1" applyBorder="1" applyAlignment="1" applyProtection="1">
      <alignment vertical="top" wrapText="1"/>
    </xf>
    <xf numFmtId="0" fontId="8" fillId="3" borderId="217" xfId="0" applyFont="1" applyFill="1" applyBorder="1" applyAlignment="1" applyProtection="1">
      <alignment vertical="top" wrapText="1"/>
    </xf>
    <xf numFmtId="0" fontId="1" fillId="13" borderId="212" xfId="0" applyFont="1" applyFill="1" applyBorder="1" applyAlignment="1" applyProtection="1">
      <alignment horizontal="left" vertical="top" wrapText="1"/>
    </xf>
    <xf numFmtId="0" fontId="1" fillId="13" borderId="159" xfId="0" applyFont="1" applyFill="1" applyBorder="1" applyAlignment="1" applyProtection="1">
      <alignment horizontal="left" vertical="top" wrapText="1"/>
    </xf>
    <xf numFmtId="0" fontId="1" fillId="3" borderId="103" xfId="0" applyFont="1" applyFill="1" applyBorder="1" applyAlignment="1" applyProtection="1">
      <alignment horizontal="left" vertical="top" wrapText="1"/>
    </xf>
    <xf numFmtId="0" fontId="1" fillId="3" borderId="175" xfId="0" applyFont="1" applyFill="1" applyBorder="1" applyAlignment="1" applyProtection="1">
      <alignment horizontal="left" vertical="top" wrapText="1"/>
    </xf>
    <xf numFmtId="0" fontId="1" fillId="3" borderId="306" xfId="0" applyFont="1" applyFill="1" applyBorder="1" applyAlignment="1" applyProtection="1">
      <alignment horizontal="left" vertical="top" wrapText="1"/>
    </xf>
    <xf numFmtId="0" fontId="1" fillId="3" borderId="176" xfId="0" applyFont="1" applyFill="1" applyBorder="1" applyAlignment="1" applyProtection="1">
      <alignment horizontal="left" vertical="top" wrapText="1"/>
    </xf>
    <xf numFmtId="0" fontId="1" fillId="3" borderId="91" xfId="0" applyFont="1" applyFill="1" applyBorder="1" applyAlignment="1" applyProtection="1">
      <alignment horizontal="left" vertical="top" wrapText="1"/>
    </xf>
    <xf numFmtId="0" fontId="1" fillId="3" borderId="74" xfId="0" applyFont="1" applyFill="1" applyBorder="1" applyAlignment="1" applyProtection="1">
      <alignment horizontal="left" vertical="top" wrapText="1"/>
    </xf>
    <xf numFmtId="0" fontId="1" fillId="3" borderId="42" xfId="0" applyFont="1" applyFill="1" applyBorder="1" applyAlignment="1" applyProtection="1">
      <alignment horizontal="left" vertical="top" wrapText="1"/>
    </xf>
    <xf numFmtId="0" fontId="1" fillId="3" borderId="29" xfId="0" applyFont="1" applyFill="1" applyBorder="1" applyAlignment="1" applyProtection="1">
      <alignment horizontal="left" vertical="top" wrapText="1"/>
    </xf>
    <xf numFmtId="0" fontId="1" fillId="3" borderId="516" xfId="0" applyFont="1" applyFill="1" applyBorder="1" applyAlignment="1" applyProtection="1">
      <alignment horizontal="left" vertical="top" wrapText="1"/>
    </xf>
    <xf numFmtId="0" fontId="1" fillId="3" borderId="163" xfId="0" applyFont="1" applyFill="1" applyBorder="1" applyAlignment="1" applyProtection="1">
      <alignment horizontal="left" vertical="top" wrapText="1"/>
    </xf>
    <xf numFmtId="0" fontId="1" fillId="0" borderId="198" xfId="0" applyFont="1" applyBorder="1" applyAlignment="1" applyProtection="1">
      <alignment horizontal="left" vertical="top" wrapText="1"/>
    </xf>
    <xf numFmtId="0" fontId="1" fillId="8" borderId="168" xfId="0" applyFont="1" applyFill="1" applyBorder="1" applyAlignment="1" applyProtection="1">
      <alignment horizontal="left" vertical="top" wrapText="1"/>
    </xf>
    <xf numFmtId="0" fontId="1" fillId="3" borderId="173" xfId="0" applyFont="1" applyFill="1" applyBorder="1" applyAlignment="1" applyProtection="1">
      <alignment horizontal="left" vertical="top" wrapText="1"/>
    </xf>
    <xf numFmtId="0" fontId="1" fillId="3" borderId="161" xfId="0" applyFont="1" applyFill="1" applyBorder="1" applyAlignment="1" applyProtection="1">
      <alignment horizontal="left" vertical="top" wrapText="1"/>
    </xf>
    <xf numFmtId="0" fontId="1" fillId="3" borderId="259" xfId="0" applyFont="1" applyFill="1" applyBorder="1" applyAlignment="1" applyProtection="1">
      <alignment horizontal="left" vertical="top" wrapText="1"/>
    </xf>
    <xf numFmtId="0" fontId="1" fillId="3" borderId="168" xfId="0" applyFont="1" applyFill="1" applyBorder="1" applyAlignment="1" applyProtection="1">
      <alignment horizontal="left" vertical="top" wrapText="1"/>
    </xf>
    <xf numFmtId="0" fontId="1" fillId="8" borderId="211" xfId="0" applyFont="1" applyFill="1" applyBorder="1" applyAlignment="1" applyProtection="1">
      <alignment horizontal="left" vertical="top" wrapText="1"/>
    </xf>
    <xf numFmtId="0" fontId="8" fillId="3" borderId="146" xfId="0" applyFont="1" applyFill="1" applyBorder="1" applyAlignment="1" applyProtection="1">
      <alignment vertical="top" wrapText="1"/>
    </xf>
    <xf numFmtId="0" fontId="8" fillId="3" borderId="175" xfId="0" applyFont="1" applyFill="1" applyBorder="1" applyAlignment="1" applyProtection="1">
      <alignment vertical="top" wrapText="1"/>
    </xf>
    <xf numFmtId="0" fontId="8" fillId="3" borderId="29" xfId="0" applyFont="1" applyFill="1" applyBorder="1" applyAlignment="1" applyProtection="1">
      <alignment vertical="top" wrapText="1"/>
    </xf>
    <xf numFmtId="0" fontId="8" fillId="3" borderId="537" xfId="0" applyFont="1" applyFill="1" applyBorder="1" applyAlignment="1" applyProtection="1">
      <alignment vertical="top" wrapText="1"/>
    </xf>
    <xf numFmtId="0" fontId="8" fillId="3" borderId="0" xfId="0" applyFont="1" applyFill="1" applyAlignment="1" applyProtection="1">
      <alignment vertical="top" wrapText="1"/>
    </xf>
    <xf numFmtId="0" fontId="63" fillId="6" borderId="192" xfId="0" applyFont="1" applyFill="1" applyBorder="1" applyAlignment="1" applyProtection="1">
      <alignment horizontal="left" vertical="top"/>
      <protection locked="0"/>
    </xf>
    <xf numFmtId="0" fontId="1" fillId="13" borderId="520" xfId="0" applyFont="1" applyFill="1" applyBorder="1" applyAlignment="1" applyProtection="1">
      <alignment horizontal="left" vertical="top" wrapText="1"/>
    </xf>
    <xf numFmtId="0" fontId="41" fillId="13" borderId="520" xfId="0" applyFont="1" applyFill="1" applyBorder="1" applyAlignment="1" applyProtection="1">
      <alignment horizontal="left" vertical="top" wrapText="1"/>
    </xf>
    <xf numFmtId="0" fontId="1" fillId="0" borderId="74" xfId="0" applyFont="1" applyBorder="1" applyAlignment="1" applyProtection="1">
      <alignment horizontal="left" vertical="top" wrapText="1"/>
    </xf>
    <xf numFmtId="0" fontId="7" fillId="0" borderId="54" xfId="0" applyFont="1" applyBorder="1" applyAlignment="1" applyProtection="1">
      <alignment horizontal="left" vertical="top" wrapText="1"/>
      <protection locked="0"/>
    </xf>
    <xf numFmtId="0" fontId="17" fillId="0" borderId="55" xfId="0" applyFont="1" applyBorder="1" applyAlignment="1" applyProtection="1">
      <alignment horizontal="left" vertical="top" wrapText="1"/>
      <protection locked="0"/>
    </xf>
    <xf numFmtId="0" fontId="41" fillId="0" borderId="62" xfId="0" applyFont="1" applyBorder="1" applyAlignment="1" applyProtection="1">
      <alignment horizontal="left" vertical="top" wrapText="1"/>
    </xf>
    <xf numFmtId="0" fontId="3" fillId="0" borderId="62" xfId="0" applyFont="1" applyBorder="1" applyAlignment="1" applyProtection="1">
      <alignment horizontal="left" vertical="top" wrapText="1"/>
    </xf>
    <xf numFmtId="0" fontId="36" fillId="0" borderId="40" xfId="0" applyFont="1" applyBorder="1" applyAlignment="1" applyProtection="1">
      <alignment horizontal="left" vertical="top" wrapText="1"/>
    </xf>
    <xf numFmtId="0" fontId="3" fillId="0" borderId="120" xfId="0" applyFont="1" applyBorder="1" applyAlignment="1" applyProtection="1">
      <alignment horizontal="left" vertical="top" wrapText="1"/>
    </xf>
    <xf numFmtId="0" fontId="41" fillId="0" borderId="223" xfId="0" applyFont="1" applyBorder="1" applyAlignment="1" applyProtection="1">
      <alignment horizontal="left" vertical="top" wrapText="1"/>
    </xf>
    <xf numFmtId="0" fontId="39" fillId="0" borderId="223" xfId="0" applyFont="1" applyBorder="1" applyAlignment="1" applyProtection="1">
      <alignment horizontal="left" vertical="top"/>
    </xf>
    <xf numFmtId="0" fontId="53" fillId="0" borderId="223" xfId="0" applyFont="1" applyBorder="1" applyAlignment="1" applyProtection="1">
      <alignment horizontal="left" vertical="top" wrapText="1"/>
    </xf>
    <xf numFmtId="0" fontId="41" fillId="7" borderId="47" xfId="0" applyFont="1" applyFill="1" applyBorder="1" applyAlignment="1" applyProtection="1">
      <alignment horizontal="left" vertical="top" wrapText="1"/>
    </xf>
    <xf numFmtId="0" fontId="39" fillId="0" borderId="224" xfId="0" applyFont="1" applyBorder="1" applyAlignment="1" applyProtection="1">
      <alignment horizontal="left" vertical="top"/>
    </xf>
    <xf numFmtId="0" fontId="39" fillId="0" borderId="224" xfId="0" applyFont="1" applyBorder="1" applyAlignment="1" applyProtection="1">
      <alignment horizontal="left" vertical="top" wrapText="1"/>
    </xf>
    <xf numFmtId="0" fontId="39" fillId="0" borderId="215" xfId="0" applyFont="1" applyBorder="1" applyAlignment="1" applyProtection="1">
      <alignment horizontal="left" vertical="top"/>
    </xf>
    <xf numFmtId="0" fontId="8" fillId="3" borderId="42" xfId="0" applyFont="1" applyFill="1" applyBorder="1" applyAlignment="1" applyProtection="1">
      <alignment horizontal="left" vertical="top" wrapText="1"/>
    </xf>
    <xf numFmtId="0" fontId="32" fillId="3" borderId="42" xfId="0" applyFont="1" applyFill="1" applyBorder="1" applyAlignment="1" applyProtection="1">
      <alignment horizontal="left" vertical="top"/>
    </xf>
    <xf numFmtId="0" fontId="32" fillId="3" borderId="74" xfId="0" applyFont="1" applyFill="1" applyBorder="1" applyAlignment="1" applyProtection="1">
      <alignment horizontal="left" vertical="top" wrapText="1"/>
    </xf>
    <xf numFmtId="0" fontId="32" fillId="3" borderId="516" xfId="0" applyFont="1" applyFill="1" applyBorder="1" applyAlignment="1" applyProtection="1">
      <alignment horizontal="left" vertical="top" wrapText="1"/>
    </xf>
    <xf numFmtId="0" fontId="8" fillId="3" borderId="236" xfId="0" applyFont="1" applyFill="1" applyBorder="1" applyAlignment="1" applyProtection="1">
      <alignment horizontal="left" vertical="top" wrapText="1"/>
    </xf>
    <xf numFmtId="0" fontId="8" fillId="0" borderId="122" xfId="0" applyFont="1" applyBorder="1" applyAlignment="1" applyProtection="1">
      <alignment horizontal="left" vertical="top" wrapText="1"/>
    </xf>
    <xf numFmtId="0" fontId="1" fillId="3" borderId="122" xfId="0" applyFont="1" applyFill="1" applyBorder="1" applyAlignment="1" applyProtection="1">
      <alignment horizontal="left" vertical="top" wrapText="1"/>
    </xf>
    <xf numFmtId="0" fontId="8" fillId="3" borderId="460" xfId="0" applyFont="1" applyFill="1" applyBorder="1" applyAlignment="1" applyProtection="1">
      <alignment horizontal="left" vertical="top" wrapText="1"/>
    </xf>
    <xf numFmtId="0" fontId="1" fillId="3" borderId="542" xfId="0" applyFont="1" applyFill="1" applyBorder="1" applyAlignment="1" applyProtection="1">
      <alignment horizontal="left" vertical="top" wrapText="1"/>
    </xf>
    <xf numFmtId="0" fontId="53" fillId="0" borderId="175" xfId="0" applyFont="1" applyBorder="1" applyAlignment="1" applyProtection="1">
      <alignment horizontal="left" vertical="top" wrapText="1"/>
    </xf>
    <xf numFmtId="0" fontId="8" fillId="0" borderId="42" xfId="0" applyFont="1" applyBorder="1" applyAlignment="1" applyProtection="1">
      <alignment horizontal="left" vertical="top" wrapText="1"/>
    </xf>
    <xf numFmtId="0" fontId="8" fillId="0" borderId="175"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36" fillId="6" borderId="0" xfId="0" applyFont="1" applyFill="1" applyAlignment="1" applyProtection="1">
      <alignment horizontal="left" vertical="top" wrapText="1"/>
    </xf>
    <xf numFmtId="0" fontId="8" fillId="6" borderId="0" xfId="0" applyFont="1" applyFill="1" applyAlignment="1" applyProtection="1">
      <alignment horizontal="left" vertical="top" wrapText="1"/>
    </xf>
    <xf numFmtId="0" fontId="16" fillId="6" borderId="0" xfId="0" applyFont="1" applyFill="1" applyAlignment="1" applyProtection="1">
      <alignment horizontal="left" vertical="top" wrapText="1"/>
    </xf>
    <xf numFmtId="0" fontId="41" fillId="6" borderId="0" xfId="0" applyFont="1" applyFill="1" applyAlignment="1" applyProtection="1">
      <alignment horizontal="left" vertical="top" wrapText="1"/>
    </xf>
    <xf numFmtId="0" fontId="3" fillId="6" borderId="0" xfId="0" applyFont="1" applyFill="1" applyAlignment="1" applyProtection="1">
      <alignment horizontal="left" vertical="top" wrapText="1"/>
    </xf>
    <xf numFmtId="0" fontId="7" fillId="6" borderId="0" xfId="0" applyFont="1" applyFill="1" applyAlignment="1" applyProtection="1">
      <alignment horizontal="left" vertical="top"/>
    </xf>
    <xf numFmtId="0" fontId="36" fillId="9" borderId="55" xfId="0" applyFont="1" applyFill="1" applyBorder="1" applyAlignment="1" applyProtection="1">
      <alignment horizontal="left" vertical="top" wrapText="1"/>
    </xf>
    <xf numFmtId="0" fontId="81" fillId="0" borderId="23" xfId="0" applyFont="1" applyBorder="1" applyAlignment="1" applyProtection="1">
      <alignment horizontal="left" vertical="top" wrapText="1"/>
    </xf>
    <xf numFmtId="0" fontId="18" fillId="0" borderId="305" xfId="0" applyFont="1" applyBorder="1" applyAlignment="1" applyProtection="1">
      <alignment horizontal="left" vertical="top" wrapText="1"/>
      <protection locked="0"/>
    </xf>
    <xf numFmtId="0" fontId="18" fillId="0" borderId="303" xfId="0" applyFont="1" applyBorder="1" applyAlignment="1" applyProtection="1">
      <alignment horizontal="left" vertical="top" wrapText="1"/>
      <protection locked="0"/>
    </xf>
    <xf numFmtId="0" fontId="18" fillId="0" borderId="160" xfId="0" applyFont="1" applyBorder="1" applyAlignment="1" applyProtection="1">
      <alignment horizontal="left" vertical="top"/>
      <protection locked="0"/>
    </xf>
    <xf numFmtId="0" fontId="18" fillId="0" borderId="162" xfId="0" applyFont="1" applyBorder="1" applyAlignment="1" applyProtection="1">
      <alignment horizontal="left" vertical="top"/>
      <protection locked="0"/>
    </xf>
    <xf numFmtId="0" fontId="18" fillId="0" borderId="165" xfId="0" applyFont="1" applyBorder="1" applyAlignment="1" applyProtection="1">
      <alignment horizontal="left" vertical="top"/>
      <protection locked="0"/>
    </xf>
    <xf numFmtId="0" fontId="18" fillId="0" borderId="158" xfId="0" applyFont="1" applyBorder="1" applyAlignment="1" applyProtection="1">
      <alignment horizontal="left" vertical="top"/>
      <protection locked="0"/>
    </xf>
    <xf numFmtId="0" fontId="18" fillId="0" borderId="161" xfId="0" applyFont="1" applyBorder="1" applyAlignment="1" applyProtection="1">
      <alignment horizontal="left" vertical="top"/>
      <protection locked="0"/>
    </xf>
    <xf numFmtId="0" fontId="18" fillId="0" borderId="163" xfId="0" applyFont="1" applyBorder="1" applyAlignment="1" applyProtection="1">
      <alignment horizontal="left" vertical="top"/>
      <protection locked="0"/>
    </xf>
    <xf numFmtId="0" fontId="81" fillId="0" borderId="0" xfId="0" applyFont="1" applyAlignment="1" applyProtection="1">
      <alignment horizontal="left" vertical="top" wrapText="1"/>
    </xf>
    <xf numFmtId="0" fontId="16" fillId="0" borderId="86" xfId="0" applyFont="1" applyBorder="1" applyAlignment="1" applyProtection="1">
      <alignment horizontal="left" vertical="top" wrapText="1"/>
    </xf>
    <xf numFmtId="0" fontId="3" fillId="0" borderId="264" xfId="0" applyFont="1" applyBorder="1" applyAlignment="1" applyProtection="1">
      <alignment horizontal="left" vertical="top" wrapText="1"/>
      <protection locked="0"/>
    </xf>
    <xf numFmtId="0" fontId="8" fillId="0" borderId="181" xfId="0" applyFont="1" applyBorder="1" applyAlignment="1" applyProtection="1">
      <alignment horizontal="left" vertical="top" wrapText="1"/>
      <protection locked="0"/>
    </xf>
    <xf numFmtId="0" fontId="16" fillId="0" borderId="182" xfId="0" applyFont="1" applyBorder="1" applyAlignment="1" applyProtection="1">
      <alignment horizontal="left" vertical="top" wrapText="1"/>
      <protection locked="0"/>
    </xf>
    <xf numFmtId="0" fontId="32" fillId="0" borderId="322" xfId="0" applyFont="1" applyBorder="1" applyAlignment="1" applyProtection="1">
      <alignment horizontal="left" vertical="top"/>
      <protection locked="0"/>
    </xf>
    <xf numFmtId="0" fontId="3" fillId="6" borderId="212" xfId="0" applyFont="1" applyFill="1" applyBorder="1" applyAlignment="1" applyProtection="1">
      <alignment horizontal="left" vertical="top" wrapText="1"/>
      <protection locked="0"/>
    </xf>
    <xf numFmtId="0" fontId="3" fillId="6" borderId="244" xfId="0" applyFont="1" applyFill="1" applyBorder="1" applyAlignment="1" applyProtection="1">
      <alignment horizontal="left" vertical="top" wrapText="1"/>
      <protection locked="0"/>
    </xf>
    <xf numFmtId="0" fontId="3" fillId="6" borderId="159" xfId="0" applyFont="1" applyFill="1" applyBorder="1" applyAlignment="1" applyProtection="1">
      <alignment horizontal="left" vertical="top" wrapText="1"/>
      <protection locked="0"/>
    </xf>
    <xf numFmtId="0" fontId="3" fillId="6" borderId="160" xfId="0" applyFont="1" applyFill="1" applyBorder="1" applyAlignment="1" applyProtection="1">
      <alignment horizontal="left" vertical="top" wrapText="1"/>
      <protection locked="0"/>
    </xf>
    <xf numFmtId="0" fontId="18" fillId="0" borderId="198" xfId="0" applyFont="1" applyBorder="1" applyAlignment="1" applyProtection="1">
      <alignment horizontal="left" vertical="top"/>
      <protection locked="0"/>
    </xf>
    <xf numFmtId="0" fontId="18" fillId="0" borderId="526" xfId="0" applyFont="1" applyBorder="1" applyAlignment="1" applyProtection="1">
      <alignment horizontal="left" vertical="top"/>
      <protection locked="0"/>
    </xf>
    <xf numFmtId="0" fontId="18" fillId="0" borderId="116" xfId="0" applyFont="1" applyBorder="1" applyAlignment="1" applyProtection="1">
      <alignment horizontal="left" vertical="top"/>
      <protection locked="0"/>
    </xf>
    <xf numFmtId="0" fontId="18" fillId="0" borderId="482" xfId="0" applyFont="1" applyBorder="1" applyAlignment="1" applyProtection="1">
      <alignment horizontal="left" vertical="top"/>
      <protection locked="0"/>
    </xf>
    <xf numFmtId="0" fontId="18" fillId="0" borderId="336" xfId="0" applyFont="1" applyBorder="1" applyAlignment="1" applyProtection="1">
      <alignment horizontal="left" vertical="top" wrapText="1"/>
      <protection locked="0"/>
    </xf>
    <xf numFmtId="0" fontId="18" fillId="0" borderId="502" xfId="0" applyFont="1" applyBorder="1" applyAlignment="1" applyProtection="1">
      <alignment horizontal="left" vertical="top"/>
      <protection locked="0"/>
    </xf>
    <xf numFmtId="0" fontId="18" fillId="0" borderId="517" xfId="0" applyFont="1" applyBorder="1" applyAlignment="1" applyProtection="1">
      <alignment horizontal="left" vertical="top"/>
      <protection locked="0"/>
    </xf>
    <xf numFmtId="0" fontId="18" fillId="0" borderId="313" xfId="0" applyFont="1" applyBorder="1" applyAlignment="1" applyProtection="1">
      <alignment horizontal="left" vertical="top" wrapText="1"/>
      <protection locked="0"/>
    </xf>
    <xf numFmtId="0" fontId="18" fillId="0" borderId="524" xfId="0" applyFont="1" applyBorder="1" applyAlignment="1" applyProtection="1">
      <alignment horizontal="left" vertical="top"/>
      <protection locked="0"/>
    </xf>
    <xf numFmtId="0" fontId="18" fillId="0" borderId="481" xfId="0" applyFont="1" applyBorder="1" applyAlignment="1" applyProtection="1">
      <alignment horizontal="left" vertical="top"/>
      <protection locked="0"/>
    </xf>
    <xf numFmtId="0" fontId="18" fillId="0" borderId="271" xfId="0" applyFont="1" applyBorder="1" applyAlignment="1" applyProtection="1">
      <alignment horizontal="left" vertical="top" wrapText="1"/>
      <protection locked="0"/>
    </xf>
    <xf numFmtId="0" fontId="18" fillId="0" borderId="455" xfId="0" applyFont="1" applyBorder="1" applyAlignment="1" applyProtection="1">
      <alignment horizontal="left" vertical="top"/>
      <protection locked="0"/>
    </xf>
    <xf numFmtId="0" fontId="18" fillId="0" borderId="508" xfId="0" applyFont="1" applyBorder="1" applyAlignment="1" applyProtection="1">
      <alignment horizontal="left" vertical="top"/>
      <protection locked="0"/>
    </xf>
    <xf numFmtId="0" fontId="18" fillId="0" borderId="172" xfId="0" applyFont="1" applyBorder="1" applyAlignment="1" applyProtection="1">
      <alignment horizontal="left" vertical="top"/>
      <protection locked="0"/>
    </xf>
    <xf numFmtId="0" fontId="32" fillId="0" borderId="514" xfId="0" applyFont="1" applyBorder="1" applyAlignment="1" applyProtection="1">
      <alignment horizontal="left" vertical="top" wrapText="1"/>
      <protection locked="0"/>
    </xf>
    <xf numFmtId="0" fontId="32" fillId="0" borderId="244" xfId="0" applyFont="1" applyBorder="1" applyAlignment="1" applyProtection="1">
      <alignment horizontal="left" vertical="top" wrapText="1"/>
      <protection locked="0"/>
    </xf>
    <xf numFmtId="0" fontId="32" fillId="0" borderId="158" xfId="0" applyFont="1" applyBorder="1" applyAlignment="1" applyProtection="1">
      <alignment horizontal="left" vertical="top" wrapText="1"/>
      <protection locked="0"/>
    </xf>
    <xf numFmtId="0" fontId="32" fillId="0" borderId="160" xfId="0" applyFont="1" applyBorder="1" applyAlignment="1" applyProtection="1">
      <alignment horizontal="left" vertical="top" wrapText="1"/>
      <protection locked="0"/>
    </xf>
    <xf numFmtId="0" fontId="32" fillId="0" borderId="161" xfId="0" applyFont="1" applyBorder="1" applyAlignment="1" applyProtection="1">
      <alignment horizontal="left" vertical="top" wrapText="1"/>
      <protection locked="0"/>
    </xf>
    <xf numFmtId="0" fontId="32" fillId="0" borderId="163" xfId="0" applyFont="1" applyBorder="1" applyAlignment="1" applyProtection="1">
      <alignment horizontal="left" vertical="top"/>
      <protection locked="0"/>
    </xf>
    <xf numFmtId="0" fontId="32" fillId="0" borderId="214" xfId="0" applyFont="1" applyBorder="1" applyAlignment="1" applyProtection="1">
      <alignment horizontal="left" vertical="top" wrapText="1"/>
      <protection locked="0"/>
    </xf>
    <xf numFmtId="0" fontId="32" fillId="0" borderId="219" xfId="0" applyFont="1" applyBorder="1" applyAlignment="1" applyProtection="1">
      <alignment horizontal="left" vertical="top" wrapText="1"/>
      <protection locked="0"/>
    </xf>
    <xf numFmtId="0" fontId="32" fillId="0" borderId="224" xfId="0" applyFont="1" applyBorder="1" applyAlignment="1" applyProtection="1">
      <alignment horizontal="left" vertical="top" wrapText="1"/>
      <protection locked="0"/>
    </xf>
    <xf numFmtId="0" fontId="32" fillId="0" borderId="320" xfId="0" applyFont="1" applyBorder="1" applyAlignment="1" applyProtection="1">
      <alignment horizontal="left" vertical="top" wrapText="1"/>
      <protection locked="0"/>
    </xf>
    <xf numFmtId="0" fontId="80" fillId="0" borderId="0" xfId="0" applyFont="1" applyAlignment="1" applyProtection="1">
      <alignment horizontal="left" vertical="top" wrapText="1"/>
    </xf>
    <xf numFmtId="49" fontId="80" fillId="0" borderId="0" xfId="0" applyNumberFormat="1" applyFont="1" applyAlignment="1" applyProtection="1">
      <alignment horizontal="left" vertical="top" wrapText="1"/>
    </xf>
    <xf numFmtId="0" fontId="80" fillId="0" borderId="0" xfId="0" applyFont="1" applyAlignment="1" applyProtection="1">
      <alignment horizontal="left" vertical="top"/>
    </xf>
    <xf numFmtId="0" fontId="18" fillId="0" borderId="61" xfId="0" applyFont="1" applyBorder="1" applyAlignment="1" applyProtection="1">
      <alignment horizontal="left" vertical="top" wrapText="1"/>
    </xf>
    <xf numFmtId="0" fontId="18" fillId="0" borderId="86" xfId="0" applyFont="1" applyBorder="1" applyAlignment="1" applyProtection="1">
      <alignment horizontal="left" vertical="top"/>
    </xf>
    <xf numFmtId="0" fontId="14" fillId="6" borderId="159" xfId="0" applyFont="1" applyFill="1" applyBorder="1" applyAlignment="1" applyProtection="1">
      <alignment horizontal="left" vertical="top" wrapText="1"/>
      <protection locked="0"/>
    </xf>
    <xf numFmtId="0" fontId="14" fillId="6" borderId="231" xfId="0" applyFont="1" applyFill="1" applyBorder="1" applyAlignment="1" applyProtection="1">
      <alignment horizontal="left" vertical="top" wrapText="1"/>
      <protection locked="0"/>
    </xf>
    <xf numFmtId="0" fontId="14" fillId="6" borderId="160" xfId="0" applyFont="1" applyFill="1" applyBorder="1" applyAlignment="1" applyProtection="1">
      <alignment horizontal="left" vertical="top" wrapText="1"/>
      <protection locked="0"/>
    </xf>
    <xf numFmtId="0" fontId="18" fillId="0" borderId="525" xfId="0" applyFont="1" applyBorder="1" applyAlignment="1" applyProtection="1">
      <alignment horizontal="left" vertical="top" wrapText="1"/>
      <protection locked="0"/>
    </xf>
    <xf numFmtId="0" fontId="81" fillId="0" borderId="54" xfId="0" applyFont="1" applyBorder="1" applyAlignment="1" applyProtection="1">
      <alignment horizontal="left" vertical="top" wrapText="1"/>
    </xf>
    <xf numFmtId="0" fontId="32" fillId="0" borderId="249" xfId="0" applyFont="1" applyBorder="1" applyAlignment="1" applyProtection="1">
      <alignment horizontal="left" vertical="top"/>
      <protection locked="0"/>
    </xf>
    <xf numFmtId="0" fontId="32" fillId="0" borderId="250" xfId="0" applyFont="1" applyBorder="1" applyAlignment="1" applyProtection="1">
      <alignment horizontal="left" vertical="top"/>
      <protection locked="0"/>
    </xf>
    <xf numFmtId="0" fontId="8" fillId="0" borderId="192" xfId="0" applyFont="1" applyBorder="1" applyAlignment="1" applyProtection="1">
      <alignment vertical="top" wrapText="1"/>
      <protection locked="0"/>
    </xf>
    <xf numFmtId="0" fontId="52" fillId="6" borderId="192" xfId="0" applyFont="1" applyFill="1" applyBorder="1" applyAlignment="1" applyProtection="1">
      <alignment horizontal="left" vertical="top"/>
      <protection locked="0"/>
    </xf>
    <xf numFmtId="0" fontId="52" fillId="6" borderId="174" xfId="0" applyFont="1" applyFill="1" applyBorder="1" applyAlignment="1" applyProtection="1">
      <alignment horizontal="left" vertical="top"/>
      <protection locked="0"/>
    </xf>
    <xf numFmtId="0" fontId="32" fillId="0" borderId="473" xfId="0" applyFont="1" applyBorder="1" applyAlignment="1" applyProtection="1">
      <alignment horizontal="left" vertical="top"/>
      <protection locked="0"/>
    </xf>
    <xf numFmtId="0" fontId="32" fillId="0" borderId="406" xfId="0" applyFont="1" applyBorder="1" applyAlignment="1" applyProtection="1">
      <alignment horizontal="left" vertical="top" wrapText="1"/>
      <protection locked="0"/>
    </xf>
    <xf numFmtId="0" fontId="32" fillId="0" borderId="231" xfId="0" applyFont="1" applyBorder="1" applyAlignment="1" applyProtection="1">
      <alignment horizontal="left" vertical="top" wrapText="1"/>
      <protection locked="0"/>
    </xf>
    <xf numFmtId="0" fontId="52" fillId="0" borderId="244" xfId="0" applyFont="1" applyBorder="1" applyAlignment="1" applyProtection="1">
      <alignment horizontal="left" vertical="top" wrapText="1"/>
      <protection locked="0"/>
    </xf>
    <xf numFmtId="0" fontId="32" fillId="0" borderId="473" xfId="0" applyFont="1" applyBorder="1" applyAlignment="1" applyProtection="1">
      <alignment horizontal="left" vertical="top" wrapText="1"/>
      <protection locked="0"/>
    </xf>
    <xf numFmtId="0" fontId="52" fillId="0" borderId="231" xfId="0" applyFont="1" applyBorder="1" applyAlignment="1" applyProtection="1">
      <alignment horizontal="left" vertical="top" wrapText="1"/>
      <protection locked="0"/>
    </xf>
    <xf numFmtId="0" fontId="52" fillId="0" borderId="160" xfId="0" applyFont="1" applyBorder="1" applyAlignment="1" applyProtection="1">
      <alignment horizontal="left" vertical="top" wrapText="1"/>
      <protection locked="0"/>
    </xf>
    <xf numFmtId="0" fontId="14" fillId="7" borderId="47" xfId="0" applyFont="1" applyFill="1" applyBorder="1" applyAlignment="1" applyProtection="1">
      <alignment horizontal="left" vertical="top" wrapText="1"/>
    </xf>
    <xf numFmtId="0" fontId="14" fillId="7" borderId="26" xfId="0" applyFont="1" applyFill="1" applyBorder="1" applyAlignment="1" applyProtection="1">
      <alignment horizontal="left" vertical="top" wrapText="1"/>
    </xf>
    <xf numFmtId="0" fontId="14" fillId="7" borderId="50" xfId="0" applyFont="1" applyFill="1" applyBorder="1" applyAlignment="1" applyProtection="1">
      <alignment horizontal="left" vertical="top" wrapText="1"/>
    </xf>
    <xf numFmtId="0" fontId="14" fillId="7" borderId="55" xfId="0" applyFont="1" applyFill="1" applyBorder="1" applyAlignment="1" applyProtection="1">
      <alignment horizontal="left" vertical="top" wrapText="1"/>
    </xf>
    <xf numFmtId="0" fontId="29" fillId="7" borderId="0" xfId="0" applyFont="1" applyFill="1" applyAlignment="1" applyProtection="1">
      <alignment horizontal="left" vertical="top"/>
    </xf>
    <xf numFmtId="0" fontId="29" fillId="0" borderId="0" xfId="0" applyFont="1" applyAlignment="1" applyProtection="1">
      <alignment horizontal="left" vertical="top"/>
    </xf>
    <xf numFmtId="0" fontId="8" fillId="6" borderId="249" xfId="0" applyFont="1" applyFill="1" applyBorder="1" applyAlignment="1" applyProtection="1">
      <alignment horizontal="left" vertical="top" wrapText="1"/>
      <protection locked="0"/>
    </xf>
    <xf numFmtId="0" fontId="32" fillId="7" borderId="0" xfId="0" applyFont="1" applyFill="1" applyAlignment="1" applyProtection="1">
      <alignment horizontal="left" vertical="top"/>
    </xf>
    <xf numFmtId="0" fontId="32" fillId="0" borderId="64" xfId="0" applyFont="1" applyBorder="1" applyAlignment="1" applyProtection="1">
      <alignment horizontal="left" vertical="top"/>
    </xf>
    <xf numFmtId="0" fontId="32" fillId="0" borderId="86" xfId="0" applyFont="1" applyBorder="1" applyAlignment="1" applyProtection="1">
      <alignment horizontal="left" vertical="top"/>
    </xf>
    <xf numFmtId="0" fontId="8" fillId="6" borderId="231" xfId="0" applyFont="1" applyFill="1" applyBorder="1" applyAlignment="1" applyProtection="1">
      <alignment horizontal="left" vertical="top" wrapText="1"/>
      <protection locked="0"/>
    </xf>
    <xf numFmtId="0" fontId="52" fillId="6" borderId="160" xfId="0" applyFont="1" applyFill="1" applyBorder="1" applyAlignment="1" applyProtection="1">
      <alignment horizontal="left" vertical="top"/>
      <protection locked="0"/>
    </xf>
    <xf numFmtId="0" fontId="52" fillId="0" borderId="70" xfId="0" applyFont="1" applyBorder="1" applyAlignment="1" applyProtection="1">
      <alignment horizontal="left" vertical="top" wrapText="1"/>
    </xf>
    <xf numFmtId="0" fontId="52" fillId="0" borderId="516" xfId="0" applyFont="1" applyBorder="1" applyAlignment="1" applyProtection="1">
      <alignment horizontal="left" vertical="top" wrapText="1"/>
    </xf>
    <xf numFmtId="0" fontId="36" fillId="0" borderId="0" xfId="0" applyFont="1" applyAlignment="1" applyProtection="1">
      <alignment horizontal="left" vertical="top"/>
    </xf>
    <xf numFmtId="0" fontId="49" fillId="7" borderId="0" xfId="0" applyFont="1" applyFill="1" applyAlignment="1" applyProtection="1">
      <alignment horizontal="left" vertical="top" wrapText="1"/>
    </xf>
    <xf numFmtId="0" fontId="18" fillId="7" borderId="0" xfId="0" applyFont="1" applyFill="1" applyAlignment="1" applyProtection="1">
      <alignment vertical="top" wrapText="1"/>
    </xf>
    <xf numFmtId="0" fontId="18" fillId="0" borderId="0" xfId="0" applyFont="1" applyAlignment="1" applyProtection="1">
      <alignment vertical="top" wrapText="1"/>
    </xf>
    <xf numFmtId="0" fontId="62" fillId="0" borderId="0" xfId="0" applyFont="1" applyAlignment="1" applyProtection="1">
      <alignment horizontal="left" vertical="top" wrapText="1"/>
    </xf>
    <xf numFmtId="0" fontId="48" fillId="0" borderId="0" xfId="0" applyFont="1" applyAlignment="1" applyProtection="1">
      <alignment horizontal="left" vertical="top" wrapText="1"/>
    </xf>
    <xf numFmtId="0" fontId="29" fillId="0" borderId="0" xfId="0" applyFont="1" applyAlignment="1" applyProtection="1">
      <alignment vertical="top" wrapText="1"/>
    </xf>
    <xf numFmtId="0" fontId="14" fillId="7" borderId="0" xfId="0" applyFont="1" applyFill="1" applyAlignment="1" applyProtection="1">
      <alignment vertical="top" wrapText="1"/>
    </xf>
    <xf numFmtId="0" fontId="14" fillId="0" borderId="0" xfId="0" applyFont="1" applyAlignment="1" applyProtection="1">
      <alignment vertical="top" wrapText="1"/>
    </xf>
    <xf numFmtId="0" fontId="30" fillId="3" borderId="175" xfId="0" applyFont="1" applyFill="1" applyBorder="1" applyAlignment="1" applyProtection="1">
      <alignment horizontal="left" vertical="top" wrapText="1"/>
    </xf>
    <xf numFmtId="0" fontId="30" fillId="3" borderId="306" xfId="0" applyFont="1" applyFill="1" applyBorder="1" applyAlignment="1" applyProtection="1">
      <alignment horizontal="left" vertical="top" wrapText="1"/>
    </xf>
    <xf numFmtId="0" fontId="30" fillId="3" borderId="176" xfId="0" applyFont="1" applyFill="1" applyBorder="1" applyAlignment="1" applyProtection="1">
      <alignment horizontal="left" vertical="top" wrapText="1"/>
    </xf>
    <xf numFmtId="0" fontId="14" fillId="3" borderId="175" xfId="0" applyFont="1" applyFill="1" applyBorder="1" applyAlignment="1" applyProtection="1">
      <alignment horizontal="left" vertical="top" wrapText="1"/>
    </xf>
    <xf numFmtId="0" fontId="8" fillId="3" borderId="175" xfId="0" applyFont="1" applyFill="1" applyBorder="1" applyAlignment="1" applyProtection="1">
      <alignment horizontal="left" vertical="top" wrapText="1"/>
    </xf>
    <xf numFmtId="0" fontId="8" fillId="3" borderId="311" xfId="0" applyFont="1" applyFill="1" applyBorder="1" applyAlignment="1" applyProtection="1">
      <alignment horizontal="left" vertical="top" wrapText="1"/>
    </xf>
    <xf numFmtId="0" fontId="18" fillId="0" borderId="223" xfId="0" applyFont="1" applyBorder="1" applyAlignment="1" applyProtection="1">
      <alignment horizontal="left" vertical="top" wrapText="1"/>
    </xf>
    <xf numFmtId="0" fontId="17" fillId="0" borderId="223" xfId="0" applyFont="1" applyBorder="1" applyAlignment="1" applyProtection="1">
      <alignment vertical="top" wrapText="1"/>
    </xf>
    <xf numFmtId="0" fontId="14" fillId="0" borderId="223" xfId="0" applyFont="1" applyBorder="1" applyAlignment="1" applyProtection="1">
      <alignment vertical="top" wrapText="1"/>
    </xf>
    <xf numFmtId="0" fontId="29" fillId="7" borderId="0" xfId="0" applyFont="1" applyFill="1" applyAlignment="1" applyProtection="1">
      <alignment vertical="top" wrapText="1"/>
    </xf>
    <xf numFmtId="0" fontId="62" fillId="0" borderId="0" xfId="0" applyFont="1" applyAlignment="1" applyProtection="1">
      <alignment vertical="top" wrapText="1"/>
    </xf>
    <xf numFmtId="0" fontId="38" fillId="0" borderId="70" xfId="0" applyFont="1" applyBorder="1" applyAlignment="1" applyProtection="1">
      <alignment horizontal="left" vertical="top" wrapText="1"/>
    </xf>
    <xf numFmtId="0" fontId="38" fillId="0" borderId="70" xfId="0" applyFont="1" applyBorder="1" applyAlignment="1" applyProtection="1">
      <alignment vertical="top" wrapText="1"/>
    </xf>
    <xf numFmtId="0" fontId="38" fillId="0" borderId="72" xfId="0" applyFont="1" applyBorder="1" applyAlignment="1" applyProtection="1">
      <alignment vertical="top" wrapText="1"/>
    </xf>
    <xf numFmtId="0" fontId="49" fillId="7" borderId="146" xfId="0" applyFont="1" applyFill="1" applyBorder="1" applyAlignment="1" applyProtection="1">
      <alignment horizontal="left" vertical="top" wrapText="1"/>
    </xf>
    <xf numFmtId="0" fontId="49" fillId="7" borderId="29" xfId="0" applyFont="1" applyFill="1" applyBorder="1" applyAlignment="1" applyProtection="1">
      <alignment horizontal="left" vertical="top" wrapText="1"/>
    </xf>
    <xf numFmtId="0" fontId="18" fillId="7" borderId="29" xfId="0" applyFont="1" applyFill="1" applyBorder="1" applyAlignment="1" applyProtection="1">
      <alignment horizontal="left" vertical="top" wrapText="1"/>
    </xf>
    <xf numFmtId="0" fontId="18" fillId="7" borderId="29" xfId="0" applyFont="1" applyFill="1" applyBorder="1" applyAlignment="1" applyProtection="1">
      <alignment vertical="top" wrapText="1"/>
    </xf>
    <xf numFmtId="0" fontId="18" fillId="7" borderId="122" xfId="0" applyFont="1" applyFill="1" applyBorder="1" applyAlignment="1" applyProtection="1">
      <alignment horizontal="left" vertical="top" wrapText="1"/>
    </xf>
    <xf numFmtId="0" fontId="29" fillId="7" borderId="29" xfId="0" applyFont="1" applyFill="1" applyBorder="1" applyAlignment="1" applyProtection="1">
      <alignment vertical="top" wrapText="1"/>
    </xf>
    <xf numFmtId="0" fontId="32" fillId="7" borderId="29" xfId="0" applyFont="1" applyFill="1" applyBorder="1" applyAlignment="1" applyProtection="1">
      <alignment horizontal="left" vertical="top" wrapText="1"/>
    </xf>
    <xf numFmtId="0" fontId="16" fillId="0" borderId="0" xfId="0" applyFont="1" applyBorder="1" applyAlignment="1" applyProtection="1">
      <alignment horizontal="left" vertical="top" wrapText="1"/>
    </xf>
    <xf numFmtId="0" fontId="18" fillId="0" borderId="23" xfId="0" applyFont="1" applyBorder="1" applyAlignment="1" applyProtection="1">
      <alignment horizontal="left" vertical="top" wrapText="1"/>
    </xf>
    <xf numFmtId="0" fontId="18" fillId="0" borderId="23" xfId="0" applyFont="1" applyBorder="1" applyAlignment="1" applyProtection="1">
      <alignment vertical="top" wrapText="1"/>
    </xf>
    <xf numFmtId="0" fontId="29" fillId="0" borderId="23" xfId="0" applyFont="1" applyBorder="1" applyAlignment="1" applyProtection="1">
      <alignment vertical="top" wrapText="1"/>
    </xf>
    <xf numFmtId="0" fontId="32" fillId="0" borderId="23" xfId="0" applyFont="1" applyBorder="1" applyAlignment="1" applyProtection="1">
      <alignment horizontal="left" vertical="top" wrapText="1"/>
    </xf>
    <xf numFmtId="0" fontId="18" fillId="0" borderId="93"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 fillId="8" borderId="209" xfId="0" applyFont="1" applyFill="1" applyBorder="1" applyAlignment="1" applyProtection="1">
      <alignment horizontal="left" vertical="top" wrapText="1"/>
    </xf>
    <xf numFmtId="0" fontId="36" fillId="7" borderId="0" xfId="0" applyFont="1" applyFill="1" applyBorder="1" applyAlignment="1" applyProtection="1">
      <alignment horizontal="left" vertical="top" wrapText="1"/>
    </xf>
    <xf numFmtId="0" fontId="53" fillId="3" borderId="158" xfId="0" applyFont="1" applyFill="1" applyBorder="1" applyAlignment="1" applyProtection="1">
      <alignment horizontal="left" vertical="top" wrapText="1"/>
    </xf>
    <xf numFmtId="0" fontId="18" fillId="0" borderId="29" xfId="0" applyFont="1" applyBorder="1" applyAlignment="1" applyProtection="1">
      <alignment horizontal="left" vertical="top" wrapText="1"/>
    </xf>
    <xf numFmtId="0" fontId="16" fillId="7" borderId="0" xfId="0" applyFont="1" applyFill="1" applyBorder="1" applyAlignment="1" applyProtection="1">
      <alignment horizontal="left" vertical="top" wrapText="1"/>
    </xf>
    <xf numFmtId="0" fontId="8" fillId="3" borderId="158" xfId="0" applyFont="1" applyFill="1" applyBorder="1" applyAlignment="1" applyProtection="1">
      <alignment horizontal="left" vertical="top" wrapText="1"/>
    </xf>
    <xf numFmtId="0" fontId="8" fillId="3" borderId="161" xfId="0" applyFont="1" applyFill="1" applyBorder="1" applyAlignment="1" applyProtection="1">
      <alignment horizontal="left" vertical="top" wrapText="1"/>
    </xf>
    <xf numFmtId="0" fontId="1" fillId="0" borderId="0" xfId="0" applyFont="1" applyBorder="1" applyAlignment="1" applyProtection="1">
      <alignment horizontal="left" vertical="top" wrapText="1"/>
    </xf>
    <xf numFmtId="0" fontId="8" fillId="3" borderId="245" xfId="0" applyFont="1" applyFill="1" applyBorder="1" applyAlignment="1" applyProtection="1">
      <alignment horizontal="left" vertical="top" wrapText="1"/>
    </xf>
    <xf numFmtId="0" fontId="1" fillId="3" borderId="314" xfId="0" applyFont="1" applyFill="1" applyBorder="1" applyAlignment="1" applyProtection="1">
      <alignment horizontal="left" vertical="top" wrapText="1"/>
    </xf>
    <xf numFmtId="0" fontId="1" fillId="3" borderId="305" xfId="0" applyFont="1" applyFill="1" applyBorder="1" applyAlignment="1" applyProtection="1">
      <alignment horizontal="left" vertical="top" wrapText="1"/>
    </xf>
    <xf numFmtId="0" fontId="1" fillId="3" borderId="303" xfId="0" applyFont="1" applyFill="1" applyBorder="1" applyAlignment="1" applyProtection="1">
      <alignment horizontal="left" vertical="top" wrapText="1"/>
    </xf>
    <xf numFmtId="0" fontId="18" fillId="7" borderId="0" xfId="0" applyFont="1" applyFill="1" applyBorder="1" applyAlignment="1" applyProtection="1">
      <alignment horizontal="left" vertical="top" wrapText="1"/>
    </xf>
    <xf numFmtId="0" fontId="8" fillId="13" borderId="70" xfId="0" applyFont="1" applyFill="1" applyBorder="1" applyAlignment="1" applyProtection="1">
      <alignment horizontal="left" vertical="top" wrapText="1"/>
    </xf>
    <xf numFmtId="0" fontId="18" fillId="0" borderId="96" xfId="0" applyFont="1" applyBorder="1" applyAlignment="1" applyProtection="1">
      <alignment horizontal="left" vertical="top" wrapText="1"/>
    </xf>
    <xf numFmtId="0" fontId="18" fillId="0" borderId="91" xfId="0" applyFont="1" applyBorder="1" applyAlignment="1" applyProtection="1">
      <alignment horizontal="left" vertical="top" wrapText="1"/>
    </xf>
    <xf numFmtId="0" fontId="18" fillId="0" borderId="72" xfId="0" applyFont="1" applyBorder="1" applyAlignment="1" applyProtection="1">
      <alignment horizontal="left" vertical="top" wrapText="1"/>
    </xf>
    <xf numFmtId="0" fontId="8" fillId="13" borderId="175" xfId="0" applyFont="1" applyFill="1" applyBorder="1" applyAlignment="1" applyProtection="1">
      <alignment horizontal="left" vertical="top" wrapText="1"/>
    </xf>
    <xf numFmtId="0" fontId="18" fillId="0" borderId="257" xfId="0" applyFont="1" applyBorder="1" applyAlignment="1" applyProtection="1">
      <alignment horizontal="left" vertical="top" wrapText="1"/>
    </xf>
    <xf numFmtId="0" fontId="18" fillId="0" borderId="146" xfId="0" applyFont="1" applyBorder="1" applyAlignment="1" applyProtection="1">
      <alignment horizontal="left" vertical="top" wrapText="1"/>
    </xf>
    <xf numFmtId="0" fontId="18" fillId="0" borderId="0" xfId="0" applyFont="1" applyFill="1" applyAlignment="1" applyProtection="1">
      <alignment horizontal="left" vertical="top" wrapText="1"/>
    </xf>
    <xf numFmtId="0" fontId="1" fillId="0" borderId="199" xfId="0" applyFont="1" applyFill="1" applyBorder="1" applyAlignment="1" applyProtection="1">
      <alignment horizontal="left" vertical="top" wrapText="1"/>
      <protection locked="0"/>
    </xf>
    <xf numFmtId="0" fontId="1" fillId="13" borderId="516" xfId="0" applyFont="1" applyFill="1" applyBorder="1" applyAlignment="1" applyProtection="1">
      <alignment horizontal="left" vertical="top" wrapText="1"/>
    </xf>
    <xf numFmtId="0" fontId="30" fillId="3" borderId="217" xfId="0" applyFont="1" applyFill="1" applyBorder="1" applyAlignment="1" applyProtection="1">
      <alignment horizontal="left" vertical="top" wrapText="1"/>
    </xf>
    <xf numFmtId="0" fontId="30" fillId="3" borderId="219" xfId="0" applyFont="1" applyFill="1" applyBorder="1" applyAlignment="1" applyProtection="1">
      <alignment horizontal="left" vertical="top" wrapText="1"/>
    </xf>
    <xf numFmtId="0" fontId="30" fillId="3" borderId="320" xfId="0" applyFont="1" applyFill="1" applyBorder="1" applyAlignment="1" applyProtection="1">
      <alignment horizontal="left" vertical="top" wrapText="1"/>
    </xf>
    <xf numFmtId="0" fontId="5" fillId="4" borderId="19"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20" xfId="0" applyFont="1" applyFill="1" applyBorder="1" applyAlignment="1">
      <alignment horizontal="center" vertical="top" wrapText="1"/>
    </xf>
    <xf numFmtId="0" fontId="10" fillId="4" borderId="617" xfId="0" applyFont="1" applyFill="1" applyBorder="1" applyAlignment="1">
      <alignment horizontal="center" vertical="top" wrapText="1"/>
    </xf>
    <xf numFmtId="0" fontId="10" fillId="4" borderId="6" xfId="0" applyFont="1" applyFill="1" applyBorder="1" applyAlignment="1">
      <alignment horizontal="center" vertical="top" wrapText="1"/>
    </xf>
    <xf numFmtId="0" fontId="1" fillId="0" borderId="80" xfId="0" applyFont="1" applyBorder="1" applyAlignment="1" applyProtection="1">
      <alignment horizontal="left" vertical="top"/>
      <protection locked="0"/>
    </xf>
    <xf numFmtId="0" fontId="1" fillId="0" borderId="0" xfId="0" applyFont="1" applyAlignment="1" applyProtection="1">
      <alignment horizontal="left" vertical="top"/>
      <protection locked="0"/>
    </xf>
    <xf numFmtId="0" fontId="1" fillId="0" borderId="81" xfId="0" applyFont="1" applyBorder="1" applyAlignment="1" applyProtection="1">
      <alignment horizontal="left" vertical="top"/>
      <protection locked="0"/>
    </xf>
    <xf numFmtId="0" fontId="1" fillId="0" borderId="82"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5" fillId="4" borderId="19" xfId="0" applyFont="1" applyFill="1" applyBorder="1" applyAlignment="1">
      <alignment horizontal="center" vertical="top" wrapText="1"/>
    </xf>
    <xf numFmtId="0" fontId="5" fillId="4" borderId="67" xfId="0" applyFont="1" applyFill="1" applyBorder="1" applyAlignment="1">
      <alignment horizontal="center" vertical="top" wrapText="1"/>
    </xf>
    <xf numFmtId="0" fontId="5" fillId="4" borderId="67" xfId="0" applyFont="1" applyFill="1" applyBorder="1" applyAlignment="1">
      <alignment horizontal="center" vertical="center" wrapText="1"/>
    </xf>
    <xf numFmtId="0" fontId="0" fillId="0" borderId="0" xfId="0" applyAlignment="1">
      <alignment horizontal="center" vertical="top"/>
    </xf>
    <xf numFmtId="0" fontId="73" fillId="0" borderId="80" xfId="0" applyFont="1" applyBorder="1" applyAlignment="1">
      <alignment horizontal="left" vertical="top" wrapText="1"/>
    </xf>
    <xf numFmtId="0" fontId="73" fillId="0" borderId="0" xfId="0" applyFont="1" applyBorder="1" applyAlignment="1">
      <alignment horizontal="left" vertical="top" wrapText="1"/>
    </xf>
    <xf numFmtId="0" fontId="1" fillId="0" borderId="77" xfId="0" applyFont="1" applyBorder="1" applyAlignment="1" applyProtection="1">
      <alignment horizontal="left" vertical="top" wrapText="1"/>
      <protection locked="0"/>
    </xf>
    <xf numFmtId="0" fontId="1" fillId="0" borderId="78" xfId="0" applyFont="1" applyBorder="1" applyAlignment="1" applyProtection="1">
      <alignment horizontal="left" vertical="top" wrapText="1"/>
      <protection locked="0"/>
    </xf>
    <xf numFmtId="0" fontId="1" fillId="0" borderId="79" xfId="0" applyFont="1" applyBorder="1" applyAlignment="1" applyProtection="1">
      <alignment horizontal="left" vertical="top" wrapText="1"/>
      <protection locked="0"/>
    </xf>
    <xf numFmtId="0" fontId="12" fillId="4" borderId="11" xfId="0" applyFont="1" applyFill="1" applyBorder="1" applyAlignment="1">
      <alignment horizontal="center" vertical="top" wrapText="1"/>
    </xf>
    <xf numFmtId="0" fontId="12" fillId="4" borderId="12" xfId="0" applyFont="1" applyFill="1" applyBorder="1" applyAlignment="1">
      <alignment horizontal="center" vertical="top" wrapText="1"/>
    </xf>
    <xf numFmtId="0" fontId="11" fillId="4" borderId="16" xfId="0" applyFont="1" applyFill="1" applyBorder="1" applyAlignment="1">
      <alignment horizontal="center" vertical="top" wrapText="1"/>
    </xf>
    <xf numFmtId="0" fontId="11" fillId="4" borderId="9" xfId="0" applyFont="1" applyFill="1" applyBorder="1" applyAlignment="1">
      <alignment horizontal="center" vertical="top" wrapText="1"/>
    </xf>
    <xf numFmtId="0" fontId="11" fillId="4" borderId="8" xfId="0" applyFont="1" applyFill="1" applyBorder="1" applyAlignment="1">
      <alignment horizontal="center" vertical="top" wrapText="1"/>
    </xf>
    <xf numFmtId="0" fontId="11" fillId="4" borderId="10" xfId="0" applyFont="1" applyFill="1" applyBorder="1" applyAlignment="1">
      <alignment horizontal="center" vertical="top" wrapText="1"/>
    </xf>
    <xf numFmtId="0" fontId="10" fillId="4" borderId="19" xfId="0" applyFont="1" applyFill="1" applyBorder="1" applyAlignment="1">
      <alignment horizontal="center" vertical="top" wrapText="1"/>
    </xf>
    <xf numFmtId="0" fontId="10" fillId="4" borderId="20" xfId="0" applyFont="1" applyFill="1" applyBorder="1" applyAlignment="1">
      <alignment horizontal="center" vertical="top" wrapText="1"/>
    </xf>
    <xf numFmtId="0" fontId="10" fillId="4" borderId="67" xfId="0" applyFont="1" applyFill="1" applyBorder="1" applyAlignment="1">
      <alignment horizontal="center" vertical="top" wrapText="1"/>
    </xf>
    <xf numFmtId="0" fontId="36" fillId="7" borderId="75" xfId="3" applyFont="1" applyFill="1" applyBorder="1" applyAlignment="1" applyProtection="1">
      <alignment horizontal="left" vertical="center" wrapText="1"/>
      <protection locked="0"/>
    </xf>
    <xf numFmtId="0" fontId="36" fillId="7" borderId="55" xfId="3" applyFont="1" applyFill="1" applyBorder="1" applyAlignment="1" applyProtection="1">
      <alignment horizontal="left" vertical="center" wrapText="1"/>
      <protection locked="0"/>
    </xf>
    <xf numFmtId="0" fontId="30" fillId="3" borderId="42" xfId="0" applyFont="1" applyFill="1" applyBorder="1" applyAlignment="1" applyProtection="1">
      <alignment vertical="top" wrapText="1"/>
      <protection locked="0"/>
    </xf>
    <xf numFmtId="0" fontId="30" fillId="3" borderId="74" xfId="0" applyFont="1" applyFill="1" applyBorder="1" applyAlignment="1" applyProtection="1">
      <alignment vertical="top" wrapText="1"/>
      <protection locked="0"/>
    </xf>
    <xf numFmtId="0" fontId="30" fillId="3" borderId="103" xfId="0" applyFont="1" applyFill="1" applyBorder="1" applyAlignment="1" applyProtection="1">
      <alignment vertical="top" wrapText="1"/>
      <protection locked="0"/>
    </xf>
    <xf numFmtId="0" fontId="16" fillId="0" borderId="146" xfId="0" applyFont="1" applyBorder="1" applyAlignment="1" applyProtection="1">
      <alignment horizontal="left" vertical="top" wrapText="1"/>
      <protection locked="0"/>
    </xf>
    <xf numFmtId="0" fontId="16" fillId="0" borderId="68" xfId="0" applyFont="1" applyBorder="1" applyAlignment="1" applyProtection="1">
      <alignment horizontal="left" vertical="top" wrapText="1"/>
      <protection locked="0"/>
    </xf>
    <xf numFmtId="0" fontId="16" fillId="0" borderId="121" xfId="0" applyFont="1" applyBorder="1" applyAlignment="1" applyProtection="1">
      <alignment horizontal="left" vertical="top" wrapText="1"/>
      <protection locked="0"/>
    </xf>
    <xf numFmtId="0" fontId="41" fillId="0" borderId="316" xfId="0" applyFont="1" applyBorder="1" applyAlignment="1" applyProtection="1">
      <alignment horizontal="left" vertical="top" wrapText="1"/>
      <protection locked="0"/>
    </xf>
    <xf numFmtId="0" fontId="41" fillId="0" borderId="343" xfId="0" applyFont="1" applyBorder="1" applyAlignment="1" applyProtection="1">
      <alignment horizontal="left" vertical="top" wrapText="1"/>
      <protection locked="0"/>
    </xf>
    <xf numFmtId="0" fontId="41" fillId="0" borderId="208" xfId="0" applyFont="1" applyBorder="1" applyAlignment="1" applyProtection="1">
      <alignment horizontal="left" vertical="top" wrapText="1"/>
      <protection locked="0"/>
    </xf>
    <xf numFmtId="0" fontId="36" fillId="7" borderId="75" xfId="3" applyFont="1" applyFill="1" applyBorder="1" applyAlignment="1" applyProtection="1">
      <alignment horizontal="left" vertical="top" wrapText="1"/>
    </xf>
    <xf numFmtId="0" fontId="36" fillId="7" borderId="55" xfId="3" applyFont="1" applyFill="1" applyBorder="1" applyAlignment="1" applyProtection="1">
      <alignment horizontal="left" vertical="top" wrapText="1"/>
    </xf>
    <xf numFmtId="0" fontId="30" fillId="3" borderId="365" xfId="0" applyFont="1" applyFill="1" applyBorder="1" applyAlignment="1" applyProtection="1">
      <alignment vertical="top" wrapText="1"/>
      <protection locked="0"/>
    </xf>
    <xf numFmtId="0" fontId="30" fillId="3" borderId="185" xfId="0" applyFont="1" applyFill="1" applyBorder="1" applyAlignment="1" applyProtection="1">
      <alignment vertical="top" wrapText="1"/>
      <protection locked="0"/>
    </xf>
    <xf numFmtId="0" fontId="30" fillId="3" borderId="374" xfId="0" applyFont="1" applyFill="1" applyBorder="1" applyAlignment="1" applyProtection="1">
      <alignment vertical="top" wrapText="1"/>
      <protection locked="0"/>
    </xf>
    <xf numFmtId="0" fontId="30" fillId="3" borderId="368" xfId="0" applyFont="1" applyFill="1" applyBorder="1" applyAlignment="1" applyProtection="1">
      <alignment vertical="top" wrapText="1"/>
      <protection locked="0"/>
    </xf>
    <xf numFmtId="0" fontId="30" fillId="3" borderId="372" xfId="0" applyFont="1" applyFill="1" applyBorder="1" applyAlignment="1" applyProtection="1">
      <alignment vertical="top" wrapText="1"/>
      <protection locked="0"/>
    </xf>
    <xf numFmtId="0" fontId="30" fillId="3" borderId="378" xfId="0" applyFont="1" applyFill="1" applyBorder="1" applyAlignment="1" applyProtection="1">
      <alignment vertical="top" wrapText="1"/>
      <protection locked="0"/>
    </xf>
    <xf numFmtId="0" fontId="41" fillId="0" borderId="366" xfId="0" applyFont="1" applyBorder="1" applyAlignment="1" applyProtection="1">
      <alignment horizontal="left" vertical="top" wrapText="1"/>
      <protection locked="0"/>
    </xf>
    <xf numFmtId="0" fontId="41" fillId="0" borderId="370" xfId="0" applyFont="1" applyBorder="1" applyAlignment="1" applyProtection="1">
      <alignment horizontal="left" vertical="top" wrapText="1"/>
      <protection locked="0"/>
    </xf>
    <xf numFmtId="0" fontId="41" fillId="0" borderId="375" xfId="0" applyFont="1" applyBorder="1" applyAlignment="1" applyProtection="1">
      <alignment horizontal="left" vertical="top" wrapText="1"/>
      <protection locked="0"/>
    </xf>
    <xf numFmtId="0" fontId="16" fillId="0" borderId="173" xfId="0" applyFont="1" applyBorder="1" applyAlignment="1" applyProtection="1">
      <alignment horizontal="left" vertical="top" wrapText="1"/>
      <protection locked="0"/>
    </xf>
    <xf numFmtId="0" fontId="16" fillId="0" borderId="161" xfId="0" applyFont="1" applyBorder="1" applyAlignment="1" applyProtection="1">
      <alignment horizontal="left" vertical="top" wrapText="1"/>
      <protection locked="0"/>
    </xf>
    <xf numFmtId="0" fontId="16" fillId="0" borderId="171" xfId="0" applyFont="1" applyBorder="1" applyAlignment="1" applyProtection="1">
      <alignment horizontal="left" vertical="top" wrapText="1"/>
      <protection locked="0"/>
    </xf>
    <xf numFmtId="0" fontId="8" fillId="0" borderId="184" xfId="0" applyFont="1" applyBorder="1" applyAlignment="1" applyProtection="1">
      <alignment horizontal="left" vertical="top" wrapText="1"/>
      <protection locked="0"/>
    </xf>
    <xf numFmtId="0" fontId="8" fillId="0" borderId="211" xfId="0" applyFont="1" applyBorder="1" applyAlignment="1" applyProtection="1">
      <alignment horizontal="left" vertical="top" wrapText="1"/>
      <protection locked="0"/>
    </xf>
    <xf numFmtId="0" fontId="8" fillId="0" borderId="209" xfId="0" applyFont="1" applyBorder="1" applyAlignment="1" applyProtection="1">
      <alignment horizontal="left" vertical="top" wrapText="1"/>
      <protection locked="0"/>
    </xf>
    <xf numFmtId="0" fontId="30" fillId="0" borderId="158" xfId="0" applyFont="1" applyBorder="1" applyAlignment="1" applyProtection="1">
      <alignment vertical="top" wrapText="1"/>
      <protection locked="0"/>
    </xf>
    <xf numFmtId="0" fontId="30" fillId="0" borderId="161" xfId="0" applyFont="1" applyBorder="1" applyAlignment="1" applyProtection="1">
      <alignment vertical="top" wrapText="1"/>
      <protection locked="0"/>
    </xf>
    <xf numFmtId="0" fontId="30" fillId="0" borderId="163" xfId="0" applyFont="1" applyBorder="1" applyAlignment="1" applyProtection="1">
      <alignment vertical="top" wrapText="1"/>
      <protection locked="0"/>
    </xf>
    <xf numFmtId="0" fontId="30" fillId="3" borderId="122" xfId="0" applyFont="1" applyFill="1" applyBorder="1" applyAlignment="1" applyProtection="1">
      <alignment vertical="top" wrapText="1"/>
      <protection locked="0"/>
    </xf>
    <xf numFmtId="0" fontId="30" fillId="3" borderId="86" xfId="0" applyFont="1" applyFill="1" applyBorder="1" applyAlignment="1" applyProtection="1">
      <alignment vertical="top" wrapText="1"/>
      <protection locked="0"/>
    </xf>
    <xf numFmtId="0" fontId="30" fillId="3" borderId="93" xfId="0" applyFont="1" applyFill="1" applyBorder="1" applyAlignment="1" applyProtection="1">
      <alignment vertical="top" wrapText="1"/>
      <protection locked="0"/>
    </xf>
    <xf numFmtId="0" fontId="30" fillId="0" borderId="42" xfId="0" applyFont="1" applyBorder="1" applyAlignment="1" applyProtection="1">
      <alignment vertical="top" wrapText="1"/>
      <protection locked="0"/>
    </xf>
    <xf numFmtId="0" fontId="30" fillId="0" borderId="74" xfId="0" applyFont="1" applyBorder="1" applyAlignment="1" applyProtection="1">
      <alignment vertical="top" wrapText="1"/>
      <protection locked="0"/>
    </xf>
    <xf numFmtId="0" fontId="30" fillId="0" borderId="103" xfId="0" applyFont="1" applyBorder="1" applyAlignment="1" applyProtection="1">
      <alignment vertical="top" wrapText="1"/>
      <protection locked="0"/>
    </xf>
    <xf numFmtId="0" fontId="41" fillId="0" borderId="173" xfId="0" applyFont="1" applyBorder="1" applyAlignment="1" applyProtection="1">
      <alignment horizontal="left" vertical="top" wrapText="1"/>
      <protection locked="0"/>
    </xf>
    <xf numFmtId="0" fontId="41" fillId="0" borderId="161" xfId="0" applyFont="1" applyBorder="1" applyAlignment="1" applyProtection="1">
      <alignment horizontal="left" vertical="top" wrapText="1"/>
      <protection locked="0"/>
    </xf>
    <xf numFmtId="0" fontId="41" fillId="0" borderId="171" xfId="0" applyFont="1" applyBorder="1" applyAlignment="1" applyProtection="1">
      <alignment horizontal="left" vertical="top" wrapText="1"/>
      <protection locked="0"/>
    </xf>
    <xf numFmtId="0" fontId="30" fillId="3" borderId="359" xfId="0" applyFont="1" applyFill="1" applyBorder="1" applyAlignment="1" applyProtection="1">
      <alignment vertical="top" wrapText="1"/>
      <protection locked="0"/>
    </xf>
    <xf numFmtId="0" fontId="41" fillId="0" borderId="380" xfId="0" applyFont="1" applyBorder="1" applyAlignment="1" applyProtection="1">
      <alignment horizontal="left" vertical="top" wrapText="1"/>
      <protection locked="0"/>
    </xf>
    <xf numFmtId="0" fontId="16" fillId="0" borderId="366" xfId="0" applyFont="1" applyBorder="1" applyAlignment="1" applyProtection="1">
      <alignment horizontal="left" vertical="top" wrapText="1"/>
      <protection locked="0"/>
    </xf>
    <xf numFmtId="0" fontId="16" fillId="0" borderId="370" xfId="0" applyFont="1" applyBorder="1" applyAlignment="1" applyProtection="1">
      <alignment horizontal="left" vertical="top" wrapText="1"/>
      <protection locked="0"/>
    </xf>
    <xf numFmtId="0" fontId="16" fillId="0" borderId="375" xfId="0" applyFont="1" applyBorder="1" applyAlignment="1" applyProtection="1">
      <alignment horizontal="left" vertical="top" wrapText="1"/>
      <protection locked="0"/>
    </xf>
    <xf numFmtId="0" fontId="30" fillId="3" borderId="149" xfId="0" applyFont="1" applyFill="1" applyBorder="1" applyAlignment="1" applyProtection="1">
      <alignment vertical="top" wrapText="1"/>
      <protection locked="0"/>
    </xf>
    <xf numFmtId="0" fontId="16" fillId="0" borderId="380" xfId="0" applyFont="1" applyBorder="1" applyAlignment="1" applyProtection="1">
      <alignment horizontal="left" vertical="top" wrapText="1"/>
      <protection locked="0"/>
    </xf>
    <xf numFmtId="0" fontId="30" fillId="3" borderId="70" xfId="0" applyFont="1" applyFill="1" applyBorder="1" applyAlignment="1" applyProtection="1">
      <alignment vertical="top" wrapText="1"/>
      <protection locked="0"/>
    </xf>
    <xf numFmtId="0" fontId="0" fillId="0" borderId="0" xfId="0" applyAlignment="1" applyProtection="1">
      <alignment horizontal="left" vertical="top"/>
    </xf>
    <xf numFmtId="0" fontId="73" fillId="0" borderId="80" xfId="0" applyFont="1" applyBorder="1" applyAlignment="1" applyProtection="1">
      <alignment horizontal="left" vertical="top" wrapText="1"/>
    </xf>
    <xf numFmtId="0" fontId="73" fillId="0" borderId="0" xfId="0" applyFont="1" applyAlignment="1" applyProtection="1">
      <alignment horizontal="left" vertical="top" wrapText="1"/>
    </xf>
    <xf numFmtId="0" fontId="82" fillId="0" borderId="23" xfId="3" applyFont="1" applyBorder="1" applyAlignment="1" applyProtection="1">
      <alignment horizontal="left" vertical="top" wrapText="1"/>
    </xf>
    <xf numFmtId="0" fontId="36" fillId="7" borderId="131" xfId="3" applyFont="1" applyFill="1" applyBorder="1" applyAlignment="1" applyProtection="1">
      <alignment horizontal="left" vertical="top" wrapText="1"/>
    </xf>
    <xf numFmtId="0" fontId="36" fillId="7" borderId="54" xfId="3" applyFont="1" applyFill="1" applyBorder="1" applyAlignment="1" applyProtection="1">
      <alignment horizontal="left" vertical="top" wrapText="1"/>
    </xf>
    <xf numFmtId="0" fontId="36" fillId="7" borderId="75" xfId="3" applyFont="1" applyFill="1" applyBorder="1" applyAlignment="1" applyProtection="1">
      <alignment horizontal="left" vertical="center" wrapText="1"/>
    </xf>
    <xf numFmtId="0" fontId="36" fillId="7" borderId="55" xfId="3" applyFont="1" applyFill="1" applyBorder="1" applyAlignment="1" applyProtection="1">
      <alignment horizontal="left" vertical="center" wrapText="1"/>
    </xf>
    <xf numFmtId="0" fontId="8" fillId="0" borderId="161" xfId="0" applyFont="1" applyBorder="1" applyAlignment="1" applyProtection="1">
      <alignment horizontal="left" vertical="top" wrapText="1"/>
      <protection locked="0"/>
    </xf>
    <xf numFmtId="0" fontId="16" fillId="0" borderId="158" xfId="0" applyFont="1" applyBorder="1" applyAlignment="1" applyProtection="1">
      <alignment horizontal="left" vertical="top" wrapText="1"/>
      <protection locked="0"/>
    </xf>
    <xf numFmtId="0" fontId="16" fillId="0" borderId="163" xfId="0" applyFont="1" applyBorder="1" applyAlignment="1" applyProtection="1">
      <alignment horizontal="left" vertical="top" wrapText="1"/>
      <protection locked="0"/>
    </xf>
    <xf numFmtId="0" fontId="30" fillId="0" borderId="122" xfId="0" applyFont="1" applyBorder="1" applyAlignment="1" applyProtection="1">
      <alignment vertical="top" wrapText="1"/>
      <protection locked="0"/>
    </xf>
    <xf numFmtId="0" fontId="30" fillId="0" borderId="86" xfId="0" applyFont="1" applyBorder="1" applyAlignment="1" applyProtection="1">
      <alignment vertical="top" wrapText="1"/>
      <protection locked="0"/>
    </xf>
    <xf numFmtId="0" fontId="30" fillId="0" borderId="93" xfId="0" applyFont="1" applyBorder="1" applyAlignment="1" applyProtection="1">
      <alignment vertical="top" wrapText="1"/>
      <protection locked="0"/>
    </xf>
    <xf numFmtId="0" fontId="16" fillId="0" borderId="42" xfId="0" applyFont="1" applyBorder="1" applyAlignment="1" applyProtection="1">
      <alignment horizontal="left" vertical="top" wrapText="1"/>
      <protection locked="0"/>
    </xf>
    <xf numFmtId="0" fontId="16" fillId="0" borderId="86" xfId="0" applyFont="1" applyBorder="1" applyAlignment="1" applyProtection="1">
      <alignment horizontal="left" vertical="top" wrapText="1"/>
      <protection locked="0"/>
    </xf>
    <xf numFmtId="0" fontId="16" fillId="0" borderId="93" xfId="0" applyFont="1" applyBorder="1" applyAlignment="1" applyProtection="1">
      <alignment horizontal="left" vertical="top" wrapText="1"/>
      <protection locked="0"/>
    </xf>
    <xf numFmtId="0" fontId="41" fillId="0" borderId="158" xfId="0" applyFont="1" applyBorder="1" applyAlignment="1" applyProtection="1">
      <alignment horizontal="left" vertical="top" wrapText="1"/>
      <protection locked="0"/>
    </xf>
    <xf numFmtId="0" fontId="41" fillId="0" borderId="163" xfId="0" applyFont="1" applyBorder="1" applyAlignment="1" applyProtection="1">
      <alignment horizontal="left" vertical="top" wrapText="1"/>
      <protection locked="0"/>
    </xf>
    <xf numFmtId="0" fontId="16" fillId="0" borderId="122" xfId="0" applyFont="1" applyBorder="1" applyAlignment="1" applyProtection="1">
      <alignment horizontal="left" vertical="top" wrapText="1"/>
      <protection locked="0"/>
    </xf>
    <xf numFmtId="0" fontId="36" fillId="7" borderId="131" xfId="0" applyFont="1" applyFill="1" applyBorder="1" applyAlignment="1">
      <alignment horizontal="left" vertical="top" wrapText="1"/>
    </xf>
    <xf numFmtId="0" fontId="36" fillId="7" borderId="54" xfId="0" applyFont="1" applyFill="1" applyBorder="1" applyAlignment="1">
      <alignment horizontal="left" vertical="top" wrapText="1"/>
    </xf>
    <xf numFmtId="0" fontId="36" fillId="7" borderId="75" xfId="0" applyFont="1" applyFill="1" applyBorder="1" applyAlignment="1" applyProtection="1">
      <alignment horizontal="left" vertical="top" wrapText="1"/>
    </xf>
    <xf numFmtId="0" fontId="36" fillId="7" borderId="55" xfId="0" applyFont="1" applyFill="1" applyBorder="1" applyAlignment="1" applyProtection="1">
      <alignment horizontal="left" vertical="top" wrapText="1"/>
    </xf>
    <xf numFmtId="0" fontId="30" fillId="3" borderId="42" xfId="0" applyFont="1" applyFill="1" applyBorder="1" applyAlignment="1" applyProtection="1">
      <alignment horizontal="left" vertical="top" wrapText="1"/>
      <protection locked="0"/>
    </xf>
    <xf numFmtId="0" fontId="30" fillId="3" borderId="74" xfId="0" applyFont="1" applyFill="1" applyBorder="1" applyAlignment="1" applyProtection="1">
      <alignment horizontal="left" vertical="top" wrapText="1"/>
      <protection locked="0"/>
    </xf>
    <xf numFmtId="0" fontId="30" fillId="3" borderId="103" xfId="0" applyFont="1" applyFill="1" applyBorder="1" applyAlignment="1" applyProtection="1">
      <alignment horizontal="left" vertical="top" wrapText="1"/>
      <protection locked="0"/>
    </xf>
    <xf numFmtId="0" fontId="41" fillId="0" borderId="245" xfId="0" applyFont="1" applyBorder="1" applyAlignment="1" applyProtection="1">
      <alignment horizontal="left" vertical="top" wrapText="1"/>
      <protection locked="0"/>
    </xf>
    <xf numFmtId="0" fontId="41" fillId="0" borderId="305" xfId="0" applyFont="1" applyBorder="1" applyAlignment="1" applyProtection="1">
      <alignment horizontal="left" vertical="top" wrapText="1"/>
      <protection locked="0"/>
    </xf>
    <xf numFmtId="0" fontId="41" fillId="0" borderId="303" xfId="0" applyFont="1" applyBorder="1" applyAlignment="1" applyProtection="1">
      <alignment horizontal="left" vertical="top" wrapText="1"/>
      <protection locked="0"/>
    </xf>
    <xf numFmtId="0" fontId="30" fillId="3" borderId="312" xfId="0" applyFont="1" applyFill="1" applyBorder="1" applyAlignment="1" applyProtection="1">
      <alignment vertical="top" wrapText="1"/>
      <protection locked="0"/>
    </xf>
    <xf numFmtId="0" fontId="30" fillId="0" borderId="184" xfId="0" applyFont="1" applyBorder="1" applyAlignment="1" applyProtection="1">
      <alignment vertical="top" wrapText="1"/>
      <protection locked="0"/>
    </xf>
    <xf numFmtId="0" fontId="30" fillId="0" borderId="211" xfId="0" applyFont="1" applyBorder="1" applyAlignment="1" applyProtection="1">
      <alignment vertical="top" wrapText="1"/>
      <protection locked="0"/>
    </xf>
    <xf numFmtId="0" fontId="30" fillId="0" borderId="209" xfId="0" applyFont="1" applyBorder="1" applyAlignment="1" applyProtection="1">
      <alignment vertical="top" wrapText="1"/>
      <protection locked="0"/>
    </xf>
    <xf numFmtId="0" fontId="73" fillId="0" borderId="0" xfId="0" applyFont="1" applyAlignment="1">
      <alignment horizontal="left" vertical="top" wrapText="1"/>
    </xf>
    <xf numFmtId="0" fontId="17" fillId="0" borderId="158" xfId="0" applyFont="1" applyBorder="1" applyAlignment="1" applyProtection="1">
      <alignment horizontal="left" vertical="top" wrapText="1"/>
      <protection locked="0"/>
    </xf>
    <xf numFmtId="0" fontId="17" fillId="0" borderId="161" xfId="0" applyFont="1" applyBorder="1" applyAlignment="1" applyProtection="1">
      <alignment horizontal="left" vertical="top" wrapText="1"/>
      <protection locked="0"/>
    </xf>
    <xf numFmtId="0" fontId="17" fillId="0" borderId="163" xfId="0" applyFont="1" applyBorder="1" applyAlignment="1" applyProtection="1">
      <alignment horizontal="left" vertical="top" wrapText="1"/>
      <protection locked="0"/>
    </xf>
    <xf numFmtId="0" fontId="17" fillId="0" borderId="171" xfId="0" applyFont="1" applyBorder="1" applyAlignment="1" applyProtection="1">
      <alignment horizontal="left" vertical="top" wrapText="1"/>
      <protection locked="0"/>
    </xf>
    <xf numFmtId="0" fontId="17" fillId="0" borderId="184" xfId="0" applyFont="1" applyBorder="1" applyAlignment="1" applyProtection="1">
      <alignment horizontal="left" vertical="top" wrapText="1"/>
      <protection locked="0"/>
    </xf>
    <xf numFmtId="0" fontId="17" fillId="0" borderId="211" xfId="0" applyFont="1" applyBorder="1" applyAlignment="1" applyProtection="1">
      <alignment horizontal="left" vertical="top" wrapText="1"/>
      <protection locked="0"/>
    </xf>
    <xf numFmtId="0" fontId="17" fillId="0" borderId="209" xfId="0" applyFont="1" applyBorder="1" applyAlignment="1" applyProtection="1">
      <alignment horizontal="left" vertical="top" wrapText="1"/>
      <protection locked="0"/>
    </xf>
    <xf numFmtId="0" fontId="82" fillId="0" borderId="0" xfId="0" applyFont="1" applyAlignment="1">
      <alignment horizontal="left" vertical="top" wrapText="1"/>
    </xf>
    <xf numFmtId="0" fontId="16" fillId="0" borderId="316" xfId="0" applyFont="1" applyBorder="1" applyAlignment="1" applyProtection="1">
      <alignment horizontal="left" vertical="top" wrapText="1"/>
      <protection locked="0"/>
    </xf>
    <xf numFmtId="0" fontId="16" fillId="0" borderId="343" xfId="0" applyFont="1" applyBorder="1" applyAlignment="1" applyProtection="1">
      <alignment horizontal="left" vertical="top" wrapText="1"/>
      <protection locked="0"/>
    </xf>
    <xf numFmtId="0" fontId="16" fillId="0" borderId="208" xfId="0" applyFont="1" applyBorder="1" applyAlignment="1" applyProtection="1">
      <alignment horizontal="left" vertical="top" wrapText="1"/>
      <protection locked="0"/>
    </xf>
    <xf numFmtId="0" fontId="30" fillId="3" borderId="175" xfId="0" applyFont="1" applyFill="1" applyBorder="1" applyAlignment="1" applyProtection="1">
      <alignment vertical="top" wrapText="1"/>
      <protection locked="0"/>
    </xf>
    <xf numFmtId="0" fontId="30" fillId="3" borderId="306" xfId="0" applyFont="1" applyFill="1" applyBorder="1" applyAlignment="1" applyProtection="1">
      <alignment vertical="top" wrapText="1"/>
      <protection locked="0"/>
    </xf>
    <xf numFmtId="0" fontId="30" fillId="3" borderId="176" xfId="0" applyFont="1" applyFill="1" applyBorder="1" applyAlignment="1" applyProtection="1">
      <alignment vertical="top" wrapText="1"/>
      <protection locked="0"/>
    </xf>
    <xf numFmtId="0" fontId="16" fillId="0" borderId="184" xfId="0" applyFont="1" applyBorder="1" applyAlignment="1" applyProtection="1">
      <alignment horizontal="left" vertical="top" wrapText="1"/>
      <protection locked="0"/>
    </xf>
    <xf numFmtId="0" fontId="16" fillId="0" borderId="211" xfId="0" applyFont="1" applyBorder="1" applyAlignment="1" applyProtection="1">
      <alignment horizontal="left" vertical="top" wrapText="1"/>
      <protection locked="0"/>
    </xf>
    <xf numFmtId="0" fontId="16" fillId="0" borderId="209" xfId="0" applyFont="1" applyBorder="1" applyAlignment="1" applyProtection="1">
      <alignment horizontal="left" vertical="top" wrapText="1"/>
      <protection locked="0"/>
    </xf>
    <xf numFmtId="0" fontId="8" fillId="0" borderId="146" xfId="0" applyFont="1" applyBorder="1" applyAlignment="1" applyProtection="1">
      <alignment horizontal="left" vertical="top" wrapText="1"/>
      <protection locked="0"/>
    </xf>
    <xf numFmtId="0" fontId="8" fillId="0" borderId="68" xfId="0" applyFont="1" applyBorder="1" applyAlignment="1" applyProtection="1">
      <alignment horizontal="left" vertical="top" wrapText="1"/>
      <protection locked="0"/>
    </xf>
    <xf numFmtId="0" fontId="8" fillId="0" borderId="121" xfId="0" applyFont="1" applyBorder="1" applyAlignment="1" applyProtection="1">
      <alignment horizontal="left" vertical="top" wrapText="1"/>
      <protection locked="0"/>
    </xf>
    <xf numFmtId="0" fontId="36" fillId="7" borderId="131" xfId="0" applyFont="1" applyFill="1" applyBorder="1" applyAlignment="1" applyProtection="1">
      <alignment horizontal="left" vertical="top" wrapText="1"/>
    </xf>
    <xf numFmtId="0" fontId="36" fillId="7" borderId="54" xfId="0" applyFont="1" applyFill="1" applyBorder="1" applyAlignment="1" applyProtection="1">
      <alignment horizontal="left" vertical="top" wrapText="1"/>
    </xf>
    <xf numFmtId="0" fontId="30" fillId="0" borderId="245" xfId="0" applyFont="1" applyBorder="1" applyAlignment="1" applyProtection="1">
      <alignment vertical="top" wrapText="1"/>
      <protection locked="0"/>
    </xf>
    <xf numFmtId="0" fontId="55" fillId="0" borderId="42" xfId="0" applyFont="1" applyBorder="1" applyAlignment="1" applyProtection="1">
      <alignment horizontal="left" vertical="top" wrapText="1"/>
      <protection locked="0"/>
    </xf>
    <xf numFmtId="0" fontId="55" fillId="0" borderId="74" xfId="0" applyFont="1" applyBorder="1" applyAlignment="1" applyProtection="1">
      <alignment horizontal="left" vertical="top" wrapText="1"/>
      <protection locked="0"/>
    </xf>
    <xf numFmtId="0" fontId="55" fillId="0" borderId="103" xfId="0" applyFont="1" applyBorder="1" applyAlignment="1" applyProtection="1">
      <alignment horizontal="left" vertical="top" wrapText="1"/>
      <protection locked="0"/>
    </xf>
    <xf numFmtId="0" fontId="0" fillId="0" borderId="0" xfId="0" applyAlignment="1">
      <alignment horizontal="left" vertical="top"/>
    </xf>
    <xf numFmtId="0" fontId="30" fillId="3" borderId="311" xfId="0" applyFont="1" applyFill="1" applyBorder="1" applyAlignment="1" applyProtection="1">
      <alignment vertical="top" wrapText="1"/>
      <protection locked="0"/>
    </xf>
    <xf numFmtId="0" fontId="17" fillId="0" borderId="146" xfId="0" applyFont="1" applyBorder="1" applyAlignment="1" applyProtection="1">
      <alignment horizontal="left" vertical="top" wrapText="1"/>
      <protection locked="0"/>
    </xf>
    <xf numFmtId="0" fontId="17" fillId="0" borderId="68" xfId="0" applyFont="1" applyBorder="1" applyAlignment="1" applyProtection="1">
      <alignment horizontal="left" vertical="top" wrapText="1"/>
      <protection locked="0"/>
    </xf>
    <xf numFmtId="0" fontId="17" fillId="0" borderId="121" xfId="0" applyFont="1" applyBorder="1" applyAlignment="1" applyProtection="1">
      <alignment horizontal="left" vertical="top" wrapText="1"/>
      <protection locked="0"/>
    </xf>
    <xf numFmtId="0" fontId="41" fillId="0" borderId="146" xfId="0" applyFont="1" applyBorder="1" applyAlignment="1" applyProtection="1">
      <alignment horizontal="left" vertical="top" wrapText="1"/>
      <protection locked="0"/>
    </xf>
    <xf numFmtId="0" fontId="41" fillId="0" borderId="68" xfId="0" applyFont="1" applyBorder="1" applyAlignment="1" applyProtection="1">
      <alignment horizontal="left" vertical="top" wrapText="1"/>
      <protection locked="0"/>
    </xf>
    <xf numFmtId="0" fontId="41" fillId="0" borderId="121" xfId="0" applyFont="1" applyBorder="1" applyAlignment="1" applyProtection="1">
      <alignment horizontal="left" vertical="top" wrapText="1"/>
      <protection locked="0"/>
    </xf>
    <xf numFmtId="0" fontId="8" fillId="7" borderId="55" xfId="0" applyFont="1" applyFill="1" applyBorder="1" applyAlignment="1" applyProtection="1">
      <alignment horizontal="left" vertical="top" wrapText="1"/>
    </xf>
    <xf numFmtId="0" fontId="30" fillId="0" borderId="68" xfId="0" applyFont="1" applyBorder="1" applyAlignment="1" applyProtection="1">
      <alignment vertical="top" wrapText="1"/>
      <protection locked="0"/>
    </xf>
    <xf numFmtId="0" fontId="30" fillId="0" borderId="121" xfId="0" applyFont="1" applyBorder="1" applyAlignment="1" applyProtection="1">
      <alignment vertical="top" wrapText="1"/>
      <protection locked="0"/>
    </xf>
    <xf numFmtId="0" fontId="8" fillId="7" borderId="75" xfId="0" applyFont="1" applyFill="1" applyBorder="1" applyAlignment="1" applyProtection="1">
      <alignment horizontal="left" vertical="top" wrapText="1"/>
    </xf>
    <xf numFmtId="0" fontId="30" fillId="0" borderId="146" xfId="0" applyFont="1" applyBorder="1" applyAlignment="1" applyProtection="1">
      <alignment vertical="top" wrapText="1"/>
      <protection locked="0"/>
    </xf>
    <xf numFmtId="0" fontId="30" fillId="0" borderId="305" xfId="0" applyFont="1" applyBorder="1" applyAlignment="1" applyProtection="1">
      <alignment vertical="top" wrapText="1"/>
      <protection locked="0"/>
    </xf>
    <xf numFmtId="0" fontId="30" fillId="0" borderId="173" xfId="0" applyFont="1" applyBorder="1" applyAlignment="1" applyProtection="1">
      <alignment vertical="top" wrapText="1"/>
      <protection locked="0"/>
    </xf>
    <xf numFmtId="0" fontId="17" fillId="0" borderId="173" xfId="0" applyFont="1" applyBorder="1" applyAlignment="1" applyProtection="1">
      <alignment horizontal="left" vertical="top" wrapText="1"/>
      <protection locked="0"/>
    </xf>
    <xf numFmtId="0" fontId="30" fillId="3" borderId="349" xfId="0" applyFont="1" applyFill="1" applyBorder="1" applyAlignment="1" applyProtection="1">
      <alignment vertical="top" wrapText="1"/>
      <protection locked="0"/>
    </xf>
    <xf numFmtId="0" fontId="30" fillId="3" borderId="344" xfId="0" applyFont="1" applyFill="1" applyBorder="1" applyAlignment="1" applyProtection="1">
      <alignment vertical="top" wrapText="1"/>
      <protection locked="0"/>
    </xf>
    <xf numFmtId="0" fontId="30" fillId="3" borderId="350" xfId="0" applyFont="1" applyFill="1" applyBorder="1" applyAlignment="1" applyProtection="1">
      <alignment vertical="top" wrapText="1"/>
      <protection locked="0"/>
    </xf>
    <xf numFmtId="0" fontId="82" fillId="0" borderId="30" xfId="0" applyFont="1" applyBorder="1" applyAlignment="1">
      <alignment horizontal="left" vertical="top" wrapText="1"/>
    </xf>
    <xf numFmtId="0" fontId="36" fillId="7" borderId="37" xfId="0" applyFont="1" applyFill="1" applyBorder="1" applyAlignment="1">
      <alignment horizontal="left" vertical="top" wrapText="1"/>
    </xf>
    <xf numFmtId="0" fontId="30" fillId="0" borderId="250" xfId="0" applyFont="1" applyBorder="1" applyAlignment="1" applyProtection="1">
      <alignment horizontal="left" vertical="top" wrapText="1"/>
      <protection locked="0"/>
    </xf>
    <xf numFmtId="0" fontId="55" fillId="0" borderId="168" xfId="0" applyFont="1" applyBorder="1" applyAlignment="1">
      <alignment horizontal="left" vertical="top" wrapText="1"/>
    </xf>
    <xf numFmtId="0" fontId="30" fillId="0" borderId="96" xfId="0" applyFont="1" applyBorder="1" applyAlignment="1" applyProtection="1">
      <alignment horizontal="left" vertical="top" wrapText="1"/>
      <protection locked="0"/>
    </xf>
    <xf numFmtId="0" fontId="30" fillId="0" borderId="168" xfId="0" applyFont="1" applyBorder="1" applyAlignment="1" applyProtection="1">
      <alignment horizontal="left" vertical="top" wrapText="1"/>
      <protection locked="0"/>
    </xf>
    <xf numFmtId="0" fontId="82" fillId="0" borderId="488" xfId="0" applyFont="1" applyBorder="1" applyAlignment="1">
      <alignment horizontal="left" vertical="top" wrapText="1"/>
    </xf>
    <xf numFmtId="0" fontId="82" fillId="0" borderId="39" xfId="0" applyFont="1" applyBorder="1" applyAlignment="1">
      <alignment horizontal="left" vertical="top" wrapText="1"/>
    </xf>
    <xf numFmtId="0" fontId="30" fillId="0" borderId="184" xfId="0" applyFont="1" applyBorder="1" applyAlignment="1" applyProtection="1">
      <alignment horizontal="left" vertical="top" wrapText="1"/>
      <protection locked="0"/>
    </xf>
    <xf numFmtId="0" fontId="30" fillId="0" borderId="211" xfId="0" applyFont="1" applyBorder="1" applyAlignment="1" applyProtection="1">
      <alignment horizontal="left" vertical="top" wrapText="1"/>
      <protection locked="0"/>
    </xf>
    <xf numFmtId="0" fontId="30" fillId="0" borderId="209" xfId="0" applyFont="1" applyBorder="1" applyAlignment="1" applyProtection="1">
      <alignment horizontal="left" vertical="top" wrapText="1"/>
      <protection locked="0"/>
    </xf>
    <xf numFmtId="0" fontId="30" fillId="3" borderId="312" xfId="0" applyFont="1" applyFill="1" applyBorder="1" applyAlignment="1" applyProtection="1">
      <alignment horizontal="left" vertical="top" wrapText="1"/>
      <protection locked="0"/>
    </xf>
    <xf numFmtId="0" fontId="55" fillId="0" borderId="146" xfId="0" applyFont="1" applyBorder="1" applyAlignment="1">
      <alignment horizontal="left" vertical="top" wrapText="1"/>
    </xf>
    <xf numFmtId="0" fontId="55" fillId="0" borderId="68" xfId="0" applyFont="1" applyBorder="1" applyAlignment="1">
      <alignment horizontal="left" vertical="top" wrapText="1"/>
    </xf>
    <xf numFmtId="0" fontId="55" fillId="0" borderId="314" xfId="0" applyFont="1" applyBorder="1" applyAlignment="1">
      <alignment horizontal="left" vertical="top" wrapText="1"/>
    </xf>
    <xf numFmtId="0" fontId="55" fillId="0" borderId="158" xfId="0" applyFont="1" applyBorder="1" applyAlignment="1">
      <alignment horizontal="left" vertical="top" wrapText="1"/>
    </xf>
    <xf numFmtId="0" fontId="55" fillId="0" borderId="161" xfId="0" applyFont="1" applyBorder="1" applyAlignment="1">
      <alignment horizontal="left" vertical="top" wrapText="1"/>
    </xf>
    <xf numFmtId="0" fontId="30" fillId="3" borderId="149" xfId="0" applyFont="1" applyFill="1" applyBorder="1" applyAlignment="1" applyProtection="1">
      <alignment horizontal="left" vertical="top" wrapText="1"/>
      <protection locked="0"/>
    </xf>
    <xf numFmtId="0" fontId="55" fillId="0" borderId="42" xfId="0" applyFont="1" applyBorder="1" applyAlignment="1">
      <alignment horizontal="left" vertical="top" wrapText="1"/>
    </xf>
    <xf numFmtId="0" fontId="55" fillId="0" borderId="74" xfId="0" applyFont="1" applyBorder="1" applyAlignment="1">
      <alignment horizontal="left" vertical="top" wrapText="1"/>
    </xf>
    <xf numFmtId="0" fontId="55" fillId="0" borderId="103" xfId="0" applyFont="1" applyBorder="1" applyAlignment="1">
      <alignment horizontal="left" vertical="top" wrapText="1"/>
    </xf>
    <xf numFmtId="0" fontId="30" fillId="0" borderId="161" xfId="0" applyFont="1" applyBorder="1" applyAlignment="1" applyProtection="1">
      <alignment horizontal="left" vertical="top" wrapText="1"/>
      <protection locked="0"/>
    </xf>
    <xf numFmtId="0" fontId="30" fillId="0" borderId="163" xfId="0" applyFont="1" applyBorder="1" applyAlignment="1" applyProtection="1">
      <alignment horizontal="left" vertical="top" wrapText="1"/>
      <protection locked="0"/>
    </xf>
    <xf numFmtId="0" fontId="36" fillId="7" borderId="46" xfId="0" applyFont="1" applyFill="1" applyBorder="1" applyAlignment="1">
      <alignment horizontal="left" vertical="top" wrapText="1"/>
    </xf>
    <xf numFmtId="0" fontId="30" fillId="0" borderId="42" xfId="0" applyFont="1" applyBorder="1" applyAlignment="1" applyProtection="1">
      <alignment horizontal="left" vertical="top" wrapText="1"/>
      <protection locked="0"/>
    </xf>
    <xf numFmtId="0" fontId="30" fillId="0" borderId="74" xfId="0" applyFont="1" applyBorder="1" applyAlignment="1" applyProtection="1">
      <alignment horizontal="left" vertical="top" wrapText="1"/>
      <protection locked="0"/>
    </xf>
    <xf numFmtId="0" fontId="30" fillId="0" borderId="103" xfId="0" applyFont="1" applyBorder="1" applyAlignment="1" applyProtection="1">
      <alignment horizontal="left" vertical="top" wrapText="1"/>
      <protection locked="0"/>
    </xf>
    <xf numFmtId="0" fontId="30" fillId="0" borderId="158" xfId="0" applyFont="1" applyBorder="1" applyAlignment="1" applyProtection="1">
      <alignment horizontal="left" vertical="top" wrapText="1"/>
      <protection locked="0"/>
    </xf>
    <xf numFmtId="0" fontId="30" fillId="0" borderId="173" xfId="0" applyFont="1" applyBorder="1" applyAlignment="1" applyProtection="1">
      <alignment horizontal="left" vertical="top" wrapText="1"/>
      <protection locked="0"/>
    </xf>
    <xf numFmtId="0" fontId="55" fillId="0" borderId="163" xfId="0" applyFont="1" applyBorder="1" applyAlignment="1">
      <alignment horizontal="left" vertical="top" wrapText="1"/>
    </xf>
    <xf numFmtId="0" fontId="55" fillId="0" borderId="184" xfId="0" applyFont="1" applyBorder="1" applyAlignment="1">
      <alignment horizontal="left" vertical="top" wrapText="1"/>
    </xf>
    <xf numFmtId="0" fontId="55" fillId="0" borderId="211" xfId="0" applyFont="1" applyBorder="1" applyAlignment="1">
      <alignment horizontal="left" vertical="top" wrapText="1"/>
    </xf>
    <xf numFmtId="0" fontId="55" fillId="0" borderId="209" xfId="0" applyFont="1" applyBorder="1" applyAlignment="1">
      <alignment horizontal="left" vertical="top" wrapText="1"/>
    </xf>
    <xf numFmtId="0" fontId="30" fillId="0" borderId="169" xfId="0" applyFont="1" applyBorder="1" applyAlignment="1" applyProtection="1">
      <alignment horizontal="left" vertical="top" wrapText="1"/>
      <protection locked="0"/>
    </xf>
    <xf numFmtId="0" fontId="30" fillId="0" borderId="112" xfId="0" applyFont="1" applyBorder="1" applyAlignment="1" applyProtection="1">
      <alignment horizontal="left" vertical="top" wrapText="1"/>
      <protection locked="0"/>
    </xf>
    <xf numFmtId="0" fontId="30" fillId="0" borderId="170" xfId="0" applyFont="1" applyBorder="1" applyAlignment="1" applyProtection="1">
      <alignment horizontal="left" vertical="top" wrapText="1"/>
      <protection locked="0"/>
    </xf>
    <xf numFmtId="0" fontId="30" fillId="0" borderId="257" xfId="0" applyFont="1" applyBorder="1" applyAlignment="1" applyProtection="1">
      <alignment horizontal="left" vertical="top" wrapText="1"/>
      <protection locked="0"/>
    </xf>
    <xf numFmtId="0" fontId="36" fillId="7" borderId="49" xfId="0" applyFont="1" applyFill="1" applyBorder="1" applyAlignment="1">
      <alignment horizontal="left" vertical="top" wrapText="1"/>
    </xf>
    <xf numFmtId="0" fontId="36" fillId="7" borderId="123" xfId="0" applyFont="1" applyFill="1" applyBorder="1" applyAlignment="1">
      <alignment horizontal="left" vertical="top" wrapText="1"/>
    </xf>
    <xf numFmtId="0" fontId="36" fillId="7" borderId="60" xfId="0" applyFont="1" applyFill="1" applyBorder="1" applyAlignment="1">
      <alignment horizontal="left" vertical="top" wrapText="1"/>
    </xf>
    <xf numFmtId="0" fontId="36" fillId="7" borderId="125" xfId="0" applyFont="1" applyFill="1" applyBorder="1" applyAlignment="1">
      <alignment horizontal="left" vertical="top" wrapText="1"/>
    </xf>
    <xf numFmtId="0" fontId="8" fillId="0" borderId="212" xfId="0" applyFont="1" applyBorder="1" applyAlignment="1" applyProtection="1">
      <alignment horizontal="left" vertical="top" wrapText="1"/>
      <protection locked="0"/>
    </xf>
    <xf numFmtId="0" fontId="8" fillId="0" borderId="199" xfId="0" applyFont="1" applyBorder="1" applyAlignment="1" applyProtection="1">
      <alignment horizontal="left" vertical="top" wrapText="1"/>
      <protection locked="0"/>
    </xf>
    <xf numFmtId="0" fontId="8" fillId="0" borderId="244" xfId="0" applyFont="1" applyBorder="1" applyAlignment="1" applyProtection="1">
      <alignment horizontal="left" vertical="top" wrapText="1"/>
      <protection locked="0"/>
    </xf>
    <xf numFmtId="0" fontId="8" fillId="0" borderId="204" xfId="0" applyFont="1" applyBorder="1" applyAlignment="1" applyProtection="1">
      <alignment horizontal="left" vertical="top" wrapText="1"/>
      <protection locked="0"/>
    </xf>
    <xf numFmtId="0" fontId="55" fillId="0" borderId="168" xfId="0" applyFont="1" applyBorder="1" applyAlignment="1" applyProtection="1">
      <alignment horizontal="left" vertical="top" wrapText="1"/>
      <protection locked="0"/>
    </xf>
    <xf numFmtId="0" fontId="41" fillId="0" borderId="184" xfId="0" applyFont="1" applyBorder="1" applyAlignment="1">
      <alignment horizontal="left" vertical="top" wrapText="1"/>
    </xf>
    <xf numFmtId="0" fontId="41" fillId="0" borderId="211" xfId="0" applyFont="1" applyBorder="1" applyAlignment="1">
      <alignment horizontal="left" vertical="top" wrapText="1"/>
    </xf>
    <xf numFmtId="0" fontId="41" fillId="0" borderId="209" xfId="0" applyFont="1" applyBorder="1" applyAlignment="1">
      <alignment horizontal="left" vertical="top" wrapText="1"/>
    </xf>
    <xf numFmtId="0" fontId="41" fillId="0" borderId="168" xfId="0" applyFont="1" applyBorder="1" applyAlignment="1">
      <alignment horizontal="left" vertical="top" wrapText="1"/>
    </xf>
    <xf numFmtId="0" fontId="8" fillId="0" borderId="192" xfId="0" applyFont="1" applyBorder="1" applyAlignment="1" applyProtection="1">
      <alignment horizontal="left" vertical="top" wrapText="1"/>
      <protection locked="0"/>
    </xf>
    <xf numFmtId="0" fontId="8" fillId="0" borderId="191" xfId="0" applyFont="1" applyBorder="1" applyAlignment="1" applyProtection="1">
      <alignment horizontal="left" vertical="top" wrapText="1"/>
      <protection locked="0"/>
    </xf>
    <xf numFmtId="0" fontId="8" fillId="0" borderId="206" xfId="0" applyFont="1" applyBorder="1" applyAlignment="1" applyProtection="1">
      <alignment horizontal="left" vertical="top" wrapText="1"/>
      <protection locked="0"/>
    </xf>
    <xf numFmtId="0" fontId="8" fillId="0" borderId="205" xfId="0" applyFont="1" applyBorder="1" applyAlignment="1" applyProtection="1">
      <alignment horizontal="left" vertical="top" wrapText="1"/>
      <protection locked="0"/>
    </xf>
    <xf numFmtId="0" fontId="36" fillId="7" borderId="75" xfId="0" applyFont="1" applyFill="1" applyBorder="1" applyAlignment="1">
      <alignment horizontal="left" vertical="top" wrapText="1"/>
    </xf>
    <xf numFmtId="0" fontId="36" fillId="7" borderId="55" xfId="0" applyFont="1" applyFill="1" applyBorder="1" applyAlignment="1">
      <alignment horizontal="left" vertical="top" wrapText="1"/>
    </xf>
    <xf numFmtId="0" fontId="38" fillId="7" borderId="64" xfId="0" applyFont="1" applyFill="1" applyBorder="1" applyAlignment="1">
      <alignment horizontal="left" vertical="top" wrapText="1"/>
    </xf>
    <xf numFmtId="0" fontId="1" fillId="0" borderId="259" xfId="0" applyFont="1" applyBorder="1" applyAlignment="1" applyProtection="1">
      <alignment horizontal="left" vertical="top" wrapText="1"/>
      <protection locked="0"/>
    </xf>
    <xf numFmtId="0" fontId="1" fillId="0" borderId="267" xfId="0" applyFont="1" applyBorder="1" applyAlignment="1" applyProtection="1">
      <alignment horizontal="left" vertical="top" wrapText="1"/>
      <protection locked="0"/>
    </xf>
    <xf numFmtId="0" fontId="1" fillId="0" borderId="398" xfId="0" applyFont="1" applyBorder="1" applyAlignment="1" applyProtection="1">
      <alignment horizontal="left" vertical="top" wrapText="1"/>
      <protection locked="0"/>
    </xf>
    <xf numFmtId="0" fontId="1" fillId="0" borderId="347" xfId="0" applyFont="1" applyBorder="1" applyAlignment="1" applyProtection="1">
      <alignment horizontal="left" vertical="top" wrapText="1"/>
      <protection locked="0"/>
    </xf>
    <xf numFmtId="0" fontId="1" fillId="0" borderId="355" xfId="0" applyFont="1" applyBorder="1" applyAlignment="1" applyProtection="1">
      <alignment horizontal="left" vertical="top" wrapText="1"/>
      <protection locked="0"/>
    </xf>
    <xf numFmtId="0" fontId="1" fillId="0" borderId="346" xfId="0" applyFont="1" applyBorder="1" applyAlignment="1" applyProtection="1">
      <alignment horizontal="left" vertical="top" wrapText="1"/>
      <protection locked="0"/>
    </xf>
    <xf numFmtId="0" fontId="1" fillId="3" borderId="168" xfId="0" applyFont="1" applyFill="1" applyBorder="1" applyAlignment="1">
      <alignment horizontal="left" vertical="top" wrapText="1"/>
    </xf>
    <xf numFmtId="0" fontId="1" fillId="0" borderId="268" xfId="0" applyFont="1" applyBorder="1" applyAlignment="1" applyProtection="1">
      <alignment horizontal="left" vertical="top" wrapText="1"/>
      <protection locked="0"/>
    </xf>
    <xf numFmtId="0" fontId="32" fillId="0" borderId="244" xfId="0" applyFont="1" applyBorder="1" applyAlignment="1" applyProtection="1">
      <alignment horizontal="left" vertical="top"/>
      <protection locked="0"/>
    </xf>
    <xf numFmtId="0" fontId="32" fillId="0" borderId="204" xfId="0" applyFont="1" applyBorder="1" applyAlignment="1" applyProtection="1">
      <alignment horizontal="left" vertical="top"/>
      <protection locked="0"/>
    </xf>
    <xf numFmtId="0" fontId="32" fillId="0" borderId="206" xfId="0" applyFont="1" applyBorder="1" applyAlignment="1" applyProtection="1">
      <alignment horizontal="left" vertical="top"/>
      <protection locked="0"/>
    </xf>
    <xf numFmtId="0" fontId="1" fillId="0" borderId="260" xfId="0" applyFont="1" applyBorder="1" applyAlignment="1" applyProtection="1">
      <alignment horizontal="left" vertical="top" wrapText="1"/>
      <protection locked="0"/>
    </xf>
    <xf numFmtId="0" fontId="41" fillId="0" borderId="146" xfId="0" applyFont="1" applyBorder="1" applyAlignment="1">
      <alignment horizontal="left" vertical="top" wrapText="1"/>
    </xf>
    <xf numFmtId="0" fontId="41" fillId="0" borderId="68" xfId="0" applyFont="1" applyBorder="1" applyAlignment="1">
      <alignment horizontal="left" vertical="top" wrapText="1"/>
    </xf>
    <xf numFmtId="0" fontId="41" fillId="0" borderId="121" xfId="0" applyFont="1" applyBorder="1" applyAlignment="1">
      <alignment horizontal="left" vertical="top" wrapText="1"/>
    </xf>
    <xf numFmtId="0" fontId="41" fillId="0" borderId="42" xfId="0" applyFont="1" applyBorder="1" applyAlignment="1">
      <alignment horizontal="left" vertical="top" wrapText="1"/>
    </xf>
    <xf numFmtId="0" fontId="41" fillId="0" borderId="74" xfId="0" applyFont="1" applyBorder="1" applyAlignment="1">
      <alignment horizontal="left" vertical="top" wrapText="1"/>
    </xf>
    <xf numFmtId="0" fontId="41" fillId="0" borderId="103" xfId="0" applyFont="1" applyBorder="1" applyAlignment="1">
      <alignment horizontal="left" vertical="top" wrapText="1"/>
    </xf>
    <xf numFmtId="0" fontId="1" fillId="0" borderId="421" xfId="0" applyFont="1" applyBorder="1" applyAlignment="1" applyProtection="1">
      <alignment horizontal="left" vertical="top" wrapText="1"/>
      <protection locked="0"/>
    </xf>
    <xf numFmtId="0" fontId="1" fillId="0" borderId="422" xfId="0" applyFont="1" applyBorder="1" applyAlignment="1" applyProtection="1">
      <alignment horizontal="left" vertical="top" wrapText="1"/>
      <protection locked="0"/>
    </xf>
    <xf numFmtId="0" fontId="17" fillId="0" borderId="29"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41" fillId="0" borderId="29" xfId="0" applyFont="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1" fillId="0" borderId="39" xfId="0" applyFont="1" applyBorder="1" applyAlignment="1" applyProtection="1">
      <alignment horizontal="left" vertical="top" wrapText="1"/>
      <protection locked="0"/>
    </xf>
    <xf numFmtId="0" fontId="17" fillId="0" borderId="169" xfId="0" applyFont="1" applyBorder="1" applyAlignment="1" applyProtection="1">
      <alignment horizontal="left" vertical="top" wrapText="1"/>
      <protection locked="0"/>
    </xf>
    <xf numFmtId="0" fontId="17" fillId="0" borderId="112" xfId="0" applyFont="1" applyBorder="1" applyAlignment="1" applyProtection="1">
      <alignment horizontal="left" vertical="top" wrapText="1"/>
      <protection locked="0"/>
    </xf>
    <xf numFmtId="0" fontId="17" fillId="0" borderId="170" xfId="0" applyFont="1" applyBorder="1" applyAlignment="1" applyProtection="1">
      <alignment horizontal="left" vertical="top" wrapText="1"/>
      <protection locked="0"/>
    </xf>
    <xf numFmtId="0" fontId="30" fillId="0" borderId="169" xfId="0" applyFont="1" applyBorder="1" applyAlignment="1" applyProtection="1">
      <alignment vertical="top" wrapText="1"/>
      <protection locked="0"/>
    </xf>
    <xf numFmtId="0" fontId="30" fillId="0" borderId="112" xfId="0" applyFont="1" applyBorder="1" applyAlignment="1" applyProtection="1">
      <alignment vertical="top" wrapText="1"/>
      <protection locked="0"/>
    </xf>
    <xf numFmtId="0" fontId="30" fillId="0" borderId="170" xfId="0" applyFont="1" applyBorder="1" applyAlignment="1" applyProtection="1">
      <alignment vertical="top" wrapText="1"/>
      <protection locked="0"/>
    </xf>
    <xf numFmtId="0" fontId="41" fillId="0" borderId="184" xfId="0" applyFont="1" applyBorder="1" applyAlignment="1" applyProtection="1">
      <alignment horizontal="left" vertical="top" wrapText="1"/>
      <protection locked="0"/>
    </xf>
    <xf numFmtId="0" fontId="41" fillId="0" borderId="211" xfId="0" applyFont="1" applyBorder="1" applyAlignment="1" applyProtection="1">
      <alignment horizontal="left" vertical="top" wrapText="1"/>
      <protection locked="0"/>
    </xf>
    <xf numFmtId="0" fontId="41" fillId="0" borderId="209" xfId="0" applyFont="1" applyBorder="1" applyAlignment="1" applyProtection="1">
      <alignment horizontal="left" vertical="top" wrapText="1"/>
      <protection locked="0"/>
    </xf>
    <xf numFmtId="0" fontId="17" fillId="0" borderId="168" xfId="0" applyFont="1" applyBorder="1" applyAlignment="1" applyProtection="1">
      <alignment horizontal="left" vertical="top" wrapText="1"/>
      <protection locked="0"/>
    </xf>
    <xf numFmtId="0" fontId="30" fillId="0" borderId="312" xfId="0" applyFont="1" applyBorder="1" applyAlignment="1" applyProtection="1">
      <alignment vertical="top" wrapText="1"/>
      <protection locked="0"/>
    </xf>
    <xf numFmtId="0" fontId="36" fillId="7" borderId="0" xfId="0" applyFont="1" applyFill="1" applyAlignment="1" applyProtection="1">
      <alignment horizontal="left" vertical="top" wrapText="1"/>
      <protection locked="0"/>
    </xf>
    <xf numFmtId="0" fontId="36" fillId="7" borderId="247" xfId="0" applyFont="1" applyFill="1" applyBorder="1" applyAlignment="1" applyProtection="1">
      <alignment horizontal="left" vertical="top" wrapText="1"/>
    </xf>
    <xf numFmtId="0" fontId="36" fillId="7" borderId="0" xfId="0" applyFont="1" applyFill="1" applyAlignment="1" applyProtection="1">
      <alignment horizontal="left" vertical="top" wrapText="1"/>
    </xf>
    <xf numFmtId="0" fontId="22" fillId="0" borderId="184" xfId="0" applyFont="1" applyBorder="1" applyAlignment="1" applyProtection="1">
      <alignment horizontal="left" vertical="top"/>
      <protection locked="0"/>
    </xf>
    <xf numFmtId="0" fontId="22" fillId="0" borderId="209" xfId="0" applyFont="1" applyBorder="1" applyAlignment="1" applyProtection="1">
      <alignment horizontal="left" vertical="top"/>
      <protection locked="0"/>
    </xf>
    <xf numFmtId="0" fontId="22" fillId="0" borderId="211" xfId="0" applyFont="1" applyBorder="1" applyAlignment="1" applyProtection="1">
      <alignment horizontal="left" vertical="top"/>
      <protection locked="0"/>
    </xf>
    <xf numFmtId="0" fontId="39" fillId="0" borderId="184" xfId="0" applyFont="1" applyBorder="1" applyAlignment="1">
      <alignment horizontal="left" vertical="top"/>
    </xf>
    <xf numFmtId="0" fontId="39" fillId="0" borderId="209" xfId="0" applyFont="1" applyBorder="1" applyAlignment="1">
      <alignment horizontal="left" vertical="top"/>
    </xf>
    <xf numFmtId="0" fontId="39" fillId="0" borderId="211" xfId="0" applyFont="1" applyBorder="1" applyAlignment="1">
      <alignment horizontal="left" vertical="top"/>
    </xf>
    <xf numFmtId="0" fontId="0" fillId="0" borderId="7" xfId="0" applyBorder="1" applyAlignment="1">
      <alignment horizontal="left" vertical="top"/>
    </xf>
    <xf numFmtId="0" fontId="84" fillId="7" borderId="17" xfId="0" applyFont="1" applyFill="1" applyBorder="1" applyAlignment="1">
      <alignment horizontal="left" vertical="top" wrapText="1"/>
    </xf>
    <xf numFmtId="0" fontId="84" fillId="7" borderId="18" xfId="0" applyFont="1" applyFill="1" applyBorder="1" applyAlignment="1">
      <alignment horizontal="left" vertical="top" wrapText="1"/>
    </xf>
    <xf numFmtId="0" fontId="36" fillId="7" borderId="131" xfId="0" applyFont="1" applyFill="1" applyBorder="1" applyAlignment="1">
      <alignment horizontal="left" vertical="center" wrapText="1"/>
    </xf>
    <xf numFmtId="0" fontId="36" fillId="7" borderId="54" xfId="0" applyFont="1" applyFill="1" applyBorder="1" applyAlignment="1">
      <alignment horizontal="left" vertical="center" wrapText="1"/>
    </xf>
    <xf numFmtId="0" fontId="36" fillId="7" borderId="75" xfId="0" applyFont="1" applyFill="1" applyBorder="1" applyAlignment="1" applyProtection="1">
      <alignment horizontal="left" vertical="center" wrapText="1"/>
    </xf>
    <xf numFmtId="0" fontId="36" fillId="7" borderId="55" xfId="0" applyFont="1" applyFill="1" applyBorder="1" applyAlignment="1" applyProtection="1">
      <alignment horizontal="left" vertical="center" wrapText="1"/>
    </xf>
    <xf numFmtId="0" fontId="30" fillId="0" borderId="315" xfId="0" applyFont="1" applyBorder="1" applyAlignment="1" applyProtection="1">
      <alignment vertical="top" wrapText="1"/>
      <protection locked="0"/>
    </xf>
    <xf numFmtId="0" fontId="8" fillId="0" borderId="315" xfId="0" applyFont="1" applyBorder="1" applyAlignment="1" applyProtection="1">
      <alignment horizontal="left" vertical="top" wrapText="1"/>
      <protection locked="0"/>
    </xf>
    <xf numFmtId="0" fontId="30" fillId="3" borderId="146" xfId="0" applyFont="1" applyFill="1" applyBorder="1" applyAlignment="1" applyProtection="1">
      <alignment vertical="top" wrapText="1"/>
      <protection locked="0"/>
    </xf>
    <xf numFmtId="0" fontId="30" fillId="3" borderId="68" xfId="0" applyFont="1" applyFill="1" applyBorder="1" applyAlignment="1" applyProtection="1">
      <alignment vertical="top" wrapText="1"/>
      <protection locked="0"/>
    </xf>
    <xf numFmtId="0" fontId="30" fillId="3" borderId="121" xfId="0" applyFont="1" applyFill="1" applyBorder="1" applyAlignment="1" applyProtection="1">
      <alignment vertical="top" wrapText="1"/>
      <protection locked="0"/>
    </xf>
    <xf numFmtId="0" fontId="8" fillId="0" borderId="433" xfId="0" applyFont="1" applyBorder="1" applyAlignment="1" applyProtection="1">
      <alignment horizontal="left" vertical="top" wrapText="1"/>
      <protection locked="0"/>
    </xf>
    <xf numFmtId="0" fontId="8" fillId="0" borderId="425" xfId="0" applyFont="1" applyBorder="1" applyAlignment="1" applyProtection="1">
      <alignment horizontal="left" vertical="top" wrapText="1"/>
      <protection locked="0"/>
    </xf>
    <xf numFmtId="0" fontId="30" fillId="0" borderId="433" xfId="0" applyFont="1" applyBorder="1" applyAlignment="1" applyProtection="1">
      <alignment vertical="top" wrapText="1"/>
      <protection locked="0"/>
    </xf>
    <xf numFmtId="0" fontId="30" fillId="0" borderId="425" xfId="0" applyFont="1" applyBorder="1" applyAlignment="1" applyProtection="1">
      <alignment vertical="top" wrapText="1"/>
      <protection locked="0"/>
    </xf>
    <xf numFmtId="0" fontId="8" fillId="0" borderId="158" xfId="0" applyFont="1" applyBorder="1" applyAlignment="1" applyProtection="1">
      <alignment horizontal="left" vertical="top" wrapText="1"/>
      <protection locked="0"/>
    </xf>
    <xf numFmtId="0" fontId="8" fillId="0" borderId="163" xfId="0" applyFont="1" applyBorder="1" applyAlignment="1" applyProtection="1">
      <alignment horizontal="left" vertical="top" wrapText="1"/>
      <protection locked="0"/>
    </xf>
    <xf numFmtId="0" fontId="8" fillId="0" borderId="168" xfId="0" applyFont="1" applyBorder="1" applyAlignment="1" applyProtection="1">
      <alignment horizontal="left" vertical="top" wrapText="1"/>
      <protection locked="0"/>
    </xf>
    <xf numFmtId="0" fontId="30" fillId="0" borderId="96" xfId="0" applyFont="1" applyBorder="1" applyAlignment="1" applyProtection="1">
      <alignment vertical="top" wrapText="1"/>
      <protection locked="0"/>
    </xf>
    <xf numFmtId="0" fontId="30" fillId="0" borderId="168" xfId="0" applyFont="1" applyBorder="1" applyAlignment="1" applyProtection="1">
      <alignment vertical="top" wrapText="1"/>
      <protection locked="0"/>
    </xf>
    <xf numFmtId="0" fontId="41" fillId="0" borderId="23" xfId="0" applyFont="1" applyBorder="1" applyAlignment="1" applyProtection="1">
      <alignment horizontal="left" vertical="top" wrapText="1"/>
      <protection locked="0"/>
    </xf>
    <xf numFmtId="0" fontId="33" fillId="0" borderId="244" xfId="0" applyFont="1" applyBorder="1" applyAlignment="1" applyProtection="1">
      <alignment horizontal="left" vertical="top"/>
      <protection locked="0"/>
    </xf>
    <xf numFmtId="0" fontId="33" fillId="0" borderId="204" xfId="0" applyFont="1" applyBorder="1" applyAlignment="1" applyProtection="1">
      <alignment horizontal="left" vertical="top"/>
      <protection locked="0"/>
    </xf>
    <xf numFmtId="0" fontId="33" fillId="0" borderId="206" xfId="0" applyFont="1" applyBorder="1" applyAlignment="1" applyProtection="1">
      <alignment horizontal="left" vertical="top"/>
      <protection locked="0"/>
    </xf>
    <xf numFmtId="0" fontId="14" fillId="0" borderId="212" xfId="0" applyFont="1" applyBorder="1" applyAlignment="1" applyProtection="1">
      <alignment horizontal="left" vertical="top" wrapText="1"/>
      <protection locked="0"/>
    </xf>
    <xf numFmtId="0" fontId="14" fillId="0" borderId="199" xfId="0" applyFont="1" applyBorder="1" applyAlignment="1" applyProtection="1">
      <alignment horizontal="left" vertical="top" wrapText="1"/>
      <protection locked="0"/>
    </xf>
    <xf numFmtId="0" fontId="14" fillId="0" borderId="205" xfId="0" applyFont="1" applyBorder="1" applyAlignment="1" applyProtection="1">
      <alignment horizontal="left" vertical="top" wrapText="1"/>
      <protection locked="0"/>
    </xf>
    <xf numFmtId="0" fontId="8" fillId="0" borderId="249" xfId="0" applyFont="1" applyBorder="1" applyAlignment="1" applyProtection="1">
      <alignment horizontal="left" vertical="top" wrapText="1"/>
      <protection locked="0"/>
    </xf>
    <xf numFmtId="0" fontId="8" fillId="0" borderId="203" xfId="0" applyFont="1" applyBorder="1" applyAlignment="1" applyProtection="1">
      <alignment horizontal="left" vertical="top" wrapText="1"/>
      <protection locked="0"/>
    </xf>
    <xf numFmtId="0" fontId="8" fillId="0" borderId="207" xfId="0" applyFont="1" applyBorder="1" applyAlignment="1" applyProtection="1">
      <alignment horizontal="left" vertical="top" wrapText="1"/>
      <protection locked="0"/>
    </xf>
    <xf numFmtId="0" fontId="8" fillId="0" borderId="29"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0" fontId="52" fillId="0" borderId="244" xfId="0" applyFont="1" applyBorder="1" applyAlignment="1" applyProtection="1">
      <alignment horizontal="left" vertical="top"/>
      <protection locked="0"/>
    </xf>
    <xf numFmtId="0" fontId="52" fillId="0" borderId="204" xfId="0" applyFont="1" applyBorder="1" applyAlignment="1" applyProtection="1">
      <alignment horizontal="left" vertical="top"/>
      <protection locked="0"/>
    </xf>
    <xf numFmtId="0" fontId="52" fillId="0" borderId="206" xfId="0" applyFont="1" applyBorder="1" applyAlignment="1" applyProtection="1">
      <alignment horizontal="left" vertical="top"/>
      <protection locked="0"/>
    </xf>
    <xf numFmtId="0" fontId="16" fillId="0" borderId="439" xfId="0" applyFont="1" applyBorder="1" applyAlignment="1" applyProtection="1">
      <alignment horizontal="left" vertical="top" wrapText="1"/>
      <protection locked="0"/>
    </xf>
    <xf numFmtId="0" fontId="16" fillId="0" borderId="441" xfId="0" applyFont="1" applyBorder="1" applyAlignment="1" applyProtection="1">
      <alignment horizontal="left" vertical="top" wrapText="1"/>
      <protection locked="0"/>
    </xf>
    <xf numFmtId="0" fontId="41" fillId="0" borderId="394" xfId="0" applyFont="1" applyBorder="1" applyAlignment="1" applyProtection="1">
      <alignment horizontal="left" vertical="top" wrapText="1"/>
      <protection locked="0"/>
    </xf>
    <xf numFmtId="0" fontId="41" fillId="0" borderId="315" xfId="0" applyFont="1" applyBorder="1" applyAlignment="1" applyProtection="1">
      <alignment horizontal="left" vertical="top" wrapText="1"/>
      <protection locked="0"/>
    </xf>
    <xf numFmtId="0" fontId="41" fillId="0" borderId="439" xfId="0" applyFont="1" applyBorder="1" applyAlignment="1" applyProtection="1">
      <alignment horizontal="left" vertical="top" wrapText="1"/>
      <protection locked="0"/>
    </xf>
    <xf numFmtId="0" fontId="41" fillId="0" borderId="441" xfId="0" applyFont="1" applyBorder="1" applyAlignment="1" applyProtection="1">
      <alignment horizontal="left" vertical="top" wrapText="1"/>
      <protection locked="0"/>
    </xf>
    <xf numFmtId="0" fontId="14" fillId="7" borderId="64" xfId="0" applyFont="1" applyFill="1" applyBorder="1" applyAlignment="1">
      <alignment horizontal="left" vertical="top" wrapText="1"/>
    </xf>
    <xf numFmtId="0" fontId="36" fillId="7" borderId="64" xfId="0" applyFont="1" applyFill="1" applyBorder="1" applyAlignment="1">
      <alignment horizontal="left" vertical="top" wrapText="1"/>
    </xf>
    <xf numFmtId="0" fontId="82" fillId="0" borderId="41" xfId="0" applyFont="1" applyBorder="1" applyAlignment="1">
      <alignment horizontal="left" vertical="top" wrapText="1"/>
    </xf>
    <xf numFmtId="0" fontId="82" fillId="0" borderId="23" xfId="0" applyFont="1" applyBorder="1" applyAlignment="1">
      <alignment horizontal="left" vertical="top" wrapText="1"/>
    </xf>
    <xf numFmtId="0" fontId="55" fillId="0" borderId="257" xfId="0" applyFont="1" applyBorder="1" applyAlignment="1" applyProtection="1">
      <alignment horizontal="left" vertical="top" wrapText="1"/>
      <protection locked="0"/>
    </xf>
    <xf numFmtId="0" fontId="55" fillId="0" borderId="112" xfId="0" applyFont="1" applyBorder="1" applyAlignment="1" applyProtection="1">
      <alignment horizontal="left" vertical="top" wrapText="1"/>
      <protection locked="0"/>
    </xf>
    <xf numFmtId="0" fontId="55" fillId="0" borderId="170" xfId="0" applyFont="1" applyBorder="1" applyAlignment="1" applyProtection="1">
      <alignment horizontal="left" vertical="top" wrapText="1"/>
      <protection locked="0"/>
    </xf>
    <xf numFmtId="0" fontId="55" fillId="0" borderId="158" xfId="0" applyFont="1" applyBorder="1" applyAlignment="1" applyProtection="1">
      <alignment horizontal="left" vertical="top" wrapText="1"/>
      <protection locked="0"/>
    </xf>
    <xf numFmtId="0" fontId="55" fillId="0" borderId="161" xfId="0" applyFont="1" applyBorder="1" applyAlignment="1" applyProtection="1">
      <alignment horizontal="left" vertical="top" wrapText="1"/>
      <protection locked="0"/>
    </xf>
    <xf numFmtId="0" fontId="55" fillId="0" borderId="163" xfId="0" applyFont="1" applyBorder="1" applyAlignment="1" applyProtection="1">
      <alignment horizontal="left" vertical="top" wrapText="1"/>
      <protection locked="0"/>
    </xf>
    <xf numFmtId="0" fontId="55" fillId="0" borderId="169" xfId="0" applyFont="1" applyBorder="1" applyAlignment="1" applyProtection="1">
      <alignment horizontal="left" vertical="top" wrapText="1"/>
      <protection locked="0"/>
    </xf>
    <xf numFmtId="0" fontId="55" fillId="0" borderId="214" xfId="0" applyFont="1" applyBorder="1" applyAlignment="1" applyProtection="1">
      <alignment horizontal="left" vertical="top" wrapText="1"/>
      <protection locked="0"/>
    </xf>
    <xf numFmtId="0" fontId="30" fillId="0" borderId="214" xfId="0" applyFont="1" applyBorder="1" applyAlignment="1" applyProtection="1">
      <alignment vertical="top" wrapText="1"/>
      <protection locked="0"/>
    </xf>
    <xf numFmtId="0" fontId="30" fillId="0" borderId="257" xfId="0" applyFont="1" applyBorder="1" applyAlignment="1" applyProtection="1">
      <alignment vertical="top" wrapText="1"/>
      <protection locked="0"/>
    </xf>
    <xf numFmtId="0" fontId="41" fillId="0" borderId="169" xfId="0" applyFont="1" applyBorder="1" applyAlignment="1" applyProtection="1">
      <alignment horizontal="left" vertical="top" wrapText="1"/>
      <protection locked="0"/>
    </xf>
    <xf numFmtId="0" fontId="41" fillId="0" borderId="112" xfId="0" applyFont="1" applyBorder="1" applyAlignment="1" applyProtection="1">
      <alignment horizontal="left" vertical="top" wrapText="1"/>
      <protection locked="0"/>
    </xf>
    <xf numFmtId="0" fontId="41" fillId="0" borderId="170" xfId="0" applyFont="1" applyBorder="1" applyAlignment="1" applyProtection="1">
      <alignment horizontal="left" vertical="top" wrapText="1"/>
      <protection locked="0"/>
    </xf>
    <xf numFmtId="0" fontId="8" fillId="0" borderId="169" xfId="0" applyFont="1" applyBorder="1" applyAlignment="1" applyProtection="1">
      <alignment horizontal="left" vertical="top" wrapText="1"/>
      <protection locked="0"/>
    </xf>
    <xf numFmtId="0" fontId="8" fillId="0" borderId="112" xfId="0" applyFont="1" applyBorder="1" applyAlignment="1" applyProtection="1">
      <alignment horizontal="left" vertical="top" wrapText="1"/>
      <protection locked="0"/>
    </xf>
    <xf numFmtId="0" fontId="8" fillId="0" borderId="170" xfId="0" applyFont="1" applyBorder="1" applyAlignment="1" applyProtection="1">
      <alignment horizontal="left" vertical="top" wrapText="1"/>
      <protection locked="0"/>
    </xf>
    <xf numFmtId="0" fontId="30" fillId="0" borderId="316" xfId="0" applyFont="1" applyBorder="1" applyAlignment="1" applyProtection="1">
      <alignment vertical="top" wrapText="1"/>
      <protection locked="0"/>
    </xf>
    <xf numFmtId="0" fontId="30" fillId="0" borderId="343" xfId="0" applyFont="1" applyBorder="1" applyAlignment="1" applyProtection="1">
      <alignment vertical="top" wrapText="1"/>
      <protection locked="0"/>
    </xf>
    <xf numFmtId="0" fontId="30" fillId="0" borderId="208" xfId="0" applyFont="1" applyBorder="1" applyAlignment="1" applyProtection="1">
      <alignment vertical="top" wrapText="1"/>
      <protection locked="0"/>
    </xf>
    <xf numFmtId="0" fontId="55" fillId="0" borderId="107" xfId="0" applyFont="1" applyBorder="1" applyAlignment="1" applyProtection="1">
      <alignment horizontal="left" vertical="top" wrapText="1"/>
      <protection locked="0"/>
    </xf>
    <xf numFmtId="0" fontId="29" fillId="0" borderId="244" xfId="0" applyFont="1" applyBorder="1" applyAlignment="1" applyProtection="1">
      <alignment horizontal="left" vertical="top"/>
      <protection locked="0"/>
    </xf>
    <xf numFmtId="0" fontId="29" fillId="0" borderId="204" xfId="0" applyFont="1" applyBorder="1" applyAlignment="1" applyProtection="1">
      <alignment horizontal="left" vertical="top"/>
      <protection locked="0"/>
    </xf>
    <xf numFmtId="0" fontId="29" fillId="0" borderId="206" xfId="0" applyFont="1" applyBorder="1" applyAlignment="1" applyProtection="1">
      <alignment horizontal="left" vertical="top"/>
      <protection locked="0"/>
    </xf>
    <xf numFmtId="0" fontId="29" fillId="0" borderId="212" xfId="0" applyFont="1" applyBorder="1" applyAlignment="1" applyProtection="1">
      <alignment horizontal="left" vertical="top"/>
      <protection locked="0"/>
    </xf>
    <xf numFmtId="0" fontId="29" fillId="0" borderId="199" xfId="0" applyFont="1" applyBorder="1" applyAlignment="1" applyProtection="1">
      <alignment horizontal="left" vertical="top"/>
      <protection locked="0"/>
    </xf>
    <xf numFmtId="0" fontId="29" fillId="0" borderId="205" xfId="0" applyFont="1" applyBorder="1" applyAlignment="1" applyProtection="1">
      <alignment horizontal="left" vertical="top"/>
      <protection locked="0"/>
    </xf>
    <xf numFmtId="0" fontId="55" fillId="0" borderId="184" xfId="0" applyFont="1" applyBorder="1" applyAlignment="1" applyProtection="1">
      <alignment horizontal="left" vertical="top" wrapText="1"/>
      <protection locked="0"/>
    </xf>
    <xf numFmtId="0" fontId="55" fillId="0" borderId="211" xfId="0" applyFont="1" applyBorder="1" applyAlignment="1" applyProtection="1">
      <alignment horizontal="left" vertical="top" wrapText="1"/>
      <protection locked="0"/>
    </xf>
    <xf numFmtId="0" fontId="55" fillId="0" borderId="209" xfId="0" applyFont="1" applyBorder="1" applyAlignment="1" applyProtection="1">
      <alignment horizontal="left" vertical="top" wrapText="1"/>
      <protection locked="0"/>
    </xf>
    <xf numFmtId="0" fontId="30" fillId="0" borderId="149" xfId="0" applyFont="1" applyBorder="1" applyAlignment="1" applyProtection="1">
      <alignment vertical="top" wrapText="1"/>
      <protection locked="0"/>
    </xf>
    <xf numFmtId="0" fontId="0" fillId="0" borderId="0" xfId="0" applyAlignment="1" applyProtection="1">
      <alignment horizontal="left" vertical="top" wrapText="1"/>
      <protection locked="0"/>
    </xf>
    <xf numFmtId="0" fontId="36" fillId="7" borderId="247" xfId="0" applyFont="1" applyFill="1" applyBorder="1" applyAlignment="1">
      <alignment horizontal="left" vertical="top" wrapText="1"/>
    </xf>
    <xf numFmtId="0" fontId="36" fillId="7" borderId="0" xfId="0" applyFont="1" applyFill="1" applyAlignment="1">
      <alignment horizontal="left" vertical="top" wrapText="1"/>
    </xf>
    <xf numFmtId="0" fontId="30" fillId="3" borderId="404" xfId="0" applyFont="1" applyFill="1" applyBorder="1" applyAlignment="1" applyProtection="1">
      <alignment vertical="top" wrapText="1"/>
      <protection locked="0"/>
    </xf>
    <xf numFmtId="0" fontId="30" fillId="3" borderId="468" xfId="0" applyFont="1" applyFill="1" applyBorder="1" applyAlignment="1" applyProtection="1">
      <alignment vertical="top" wrapText="1"/>
      <protection locked="0"/>
    </xf>
    <xf numFmtId="0" fontId="1" fillId="0" borderId="42" xfId="0" applyFont="1" applyBorder="1" applyAlignment="1" applyProtection="1">
      <alignment horizontal="left" vertical="top" wrapText="1"/>
      <protection locked="0"/>
    </xf>
    <xf numFmtId="0" fontId="1" fillId="0" borderId="74" xfId="0" applyFont="1" applyBorder="1" applyAlignment="1" applyProtection="1">
      <alignment horizontal="left" vertical="top" wrapText="1"/>
      <protection locked="0"/>
    </xf>
    <xf numFmtId="0" fontId="1" fillId="0" borderId="103" xfId="0" applyFont="1" applyBorder="1" applyAlignment="1" applyProtection="1">
      <alignment horizontal="left" vertical="top" wrapText="1"/>
      <protection locked="0"/>
    </xf>
    <xf numFmtId="0" fontId="1" fillId="0" borderId="29"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23" xfId="0" applyFont="1" applyBorder="1" applyAlignment="1" applyProtection="1">
      <alignment horizontal="left" vertical="top" wrapText="1"/>
      <protection locked="0"/>
    </xf>
    <xf numFmtId="0" fontId="8" fillId="3" borderId="184" xfId="0" applyFont="1" applyFill="1" applyBorder="1" applyAlignment="1" applyProtection="1">
      <alignment vertical="top" wrapText="1"/>
      <protection locked="0"/>
    </xf>
    <xf numFmtId="0" fontId="8" fillId="3" borderId="211" xfId="0" applyFont="1" applyFill="1" applyBorder="1" applyAlignment="1" applyProtection="1">
      <alignment vertical="top" wrapText="1"/>
      <protection locked="0"/>
    </xf>
    <xf numFmtId="0" fontId="8" fillId="3" borderId="209" xfId="0" applyFont="1" applyFill="1" applyBorder="1" applyAlignment="1" applyProtection="1">
      <alignment vertical="top" wrapText="1"/>
      <protection locked="0"/>
    </xf>
    <xf numFmtId="0" fontId="14" fillId="0" borderId="316" xfId="0" applyFont="1" applyBorder="1" applyAlignment="1" applyProtection="1">
      <alignment horizontal="left" vertical="top" wrapText="1"/>
      <protection locked="0"/>
    </xf>
    <xf numFmtId="0" fontId="14" fillId="0" borderId="343" xfId="0" applyFont="1" applyBorder="1" applyAlignment="1" applyProtection="1">
      <alignment horizontal="left" vertical="top" wrapText="1"/>
      <protection locked="0"/>
    </xf>
    <xf numFmtId="0" fontId="14" fillId="0" borderId="208" xfId="0" applyFont="1" applyBorder="1" applyAlignment="1" applyProtection="1">
      <alignment horizontal="left" vertical="top" wrapText="1"/>
      <protection locked="0"/>
    </xf>
    <xf numFmtId="0" fontId="14" fillId="0" borderId="249" xfId="0" applyFont="1" applyBorder="1" applyAlignment="1" applyProtection="1">
      <alignment horizontal="left" vertical="top" wrapText="1"/>
      <protection locked="0"/>
    </xf>
    <xf numFmtId="0" fontId="14" fillId="0" borderId="203" xfId="0" applyFont="1" applyBorder="1" applyAlignment="1" applyProtection="1">
      <alignment horizontal="left" vertical="top" wrapText="1"/>
      <protection locked="0"/>
    </xf>
    <xf numFmtId="0" fontId="14" fillId="0" borderId="207" xfId="0" applyFont="1" applyBorder="1" applyAlignment="1" applyProtection="1">
      <alignment horizontal="left" vertical="top" wrapText="1"/>
      <protection locked="0"/>
    </xf>
    <xf numFmtId="0" fontId="36" fillId="7" borderId="37" xfId="0" applyFont="1" applyFill="1" applyBorder="1" applyAlignment="1" applyProtection="1">
      <alignment horizontal="left" vertical="top" wrapText="1"/>
    </xf>
    <xf numFmtId="0" fontId="14" fillId="7" borderId="0" xfId="0" applyFont="1" applyFill="1" applyAlignment="1" applyProtection="1">
      <alignment horizontal="left" vertical="top" wrapText="1"/>
    </xf>
    <xf numFmtId="0" fontId="8" fillId="0" borderId="173" xfId="0" applyFont="1" applyBorder="1" applyAlignment="1" applyProtection="1">
      <alignment horizontal="left" vertical="top" wrapText="1"/>
      <protection locked="0"/>
    </xf>
    <xf numFmtId="0" fontId="30" fillId="0" borderId="29" xfId="0" applyFont="1" applyBorder="1" applyAlignment="1" applyProtection="1">
      <alignment vertical="top" wrapText="1"/>
      <protection locked="0"/>
    </xf>
    <xf numFmtId="0" fontId="30" fillId="0" borderId="0" xfId="0" applyFont="1" applyAlignment="1" applyProtection="1">
      <alignment vertical="top" wrapText="1"/>
      <protection locked="0"/>
    </xf>
    <xf numFmtId="0" fontId="30" fillId="0" borderId="23" xfId="0" applyFont="1" applyBorder="1" applyAlignment="1" applyProtection="1">
      <alignment vertical="top" wrapText="1"/>
      <protection locked="0"/>
    </xf>
    <xf numFmtId="0" fontId="0" fillId="0" borderId="7" xfId="0" applyBorder="1" applyAlignment="1" applyProtection="1">
      <alignment horizontal="left" vertical="top"/>
    </xf>
    <xf numFmtId="0" fontId="30" fillId="0" borderId="472" xfId="0" applyFont="1" applyBorder="1" applyAlignment="1" applyProtection="1">
      <alignment vertical="top" wrapText="1"/>
      <protection locked="0"/>
    </xf>
    <xf numFmtId="0" fontId="82" fillId="0" borderId="17" xfId="0" applyFont="1" applyBorder="1" applyAlignment="1" applyProtection="1">
      <alignment horizontal="left" vertical="top" wrapText="1"/>
    </xf>
    <xf numFmtId="0" fontId="82" fillId="0" borderId="18" xfId="0" applyFont="1" applyBorder="1" applyAlignment="1" applyProtection="1">
      <alignment horizontal="left" vertical="top" wrapText="1"/>
    </xf>
    <xf numFmtId="0" fontId="30" fillId="0" borderId="39" xfId="0" applyFont="1" applyBorder="1" applyAlignment="1" applyProtection="1">
      <alignment vertical="top" wrapText="1"/>
      <protection locked="0"/>
    </xf>
    <xf numFmtId="0" fontId="0" fillId="0" borderId="0" xfId="0" applyAlignment="1">
      <alignment horizontal="left" vertical="top" wrapText="1"/>
    </xf>
    <xf numFmtId="0" fontId="8" fillId="0" borderId="316" xfId="0" applyFont="1" applyBorder="1" applyAlignment="1" applyProtection="1">
      <alignment horizontal="left" vertical="top" wrapText="1"/>
      <protection locked="0"/>
    </xf>
    <xf numFmtId="0" fontId="8" fillId="0" borderId="343" xfId="0" applyFont="1" applyBorder="1" applyAlignment="1" applyProtection="1">
      <alignment horizontal="left" vertical="top" wrapText="1"/>
      <protection locked="0"/>
    </xf>
    <xf numFmtId="0" fontId="8" fillId="0" borderId="343" xfId="0" applyFont="1" applyBorder="1" applyAlignment="1">
      <alignment horizontal="left" vertical="top" wrapText="1"/>
    </xf>
    <xf numFmtId="0" fontId="16" fillId="0" borderId="316" xfId="0" applyFont="1" applyBorder="1" applyAlignment="1">
      <alignment horizontal="left" vertical="top" wrapText="1"/>
    </xf>
    <xf numFmtId="0" fontId="16" fillId="0" borderId="343" xfId="0" applyFont="1" applyBorder="1" applyAlignment="1">
      <alignment horizontal="left" vertical="top" wrapText="1"/>
    </xf>
    <xf numFmtId="0" fontId="16" fillId="0" borderId="0" xfId="0" applyFont="1" applyAlignment="1">
      <alignment horizontal="left" vertical="top" wrapText="1"/>
    </xf>
    <xf numFmtId="0" fontId="16" fillId="0" borderId="23" xfId="0" applyFont="1" applyBorder="1" applyAlignment="1">
      <alignment horizontal="left" vertical="top" wrapText="1"/>
    </xf>
    <xf numFmtId="0" fontId="41" fillId="0" borderId="316" xfId="0" applyFont="1" applyBorder="1" applyAlignment="1">
      <alignment horizontal="left" vertical="top" wrapText="1"/>
    </xf>
    <xf numFmtId="0" fontId="41" fillId="0" borderId="343" xfId="0" applyFont="1" applyBorder="1" applyAlignment="1">
      <alignment horizontal="left" vertical="top" wrapText="1"/>
    </xf>
    <xf numFmtId="0" fontId="41" fillId="0" borderId="208" xfId="0" applyFont="1" applyBorder="1" applyAlignment="1">
      <alignment horizontal="left" vertical="top" wrapText="1"/>
    </xf>
    <xf numFmtId="0" fontId="8" fillId="0" borderId="208" xfId="0" applyFont="1" applyBorder="1" applyAlignment="1">
      <alignment horizontal="left" vertical="top" wrapText="1"/>
    </xf>
    <xf numFmtId="0" fontId="8" fillId="0" borderId="208" xfId="0" applyFont="1" applyBorder="1" applyAlignment="1" applyProtection="1">
      <alignment horizontal="left" vertical="top" wrapText="1"/>
      <protection locked="0"/>
    </xf>
    <xf numFmtId="0" fontId="8" fillId="0" borderId="316" xfId="0" applyFont="1" applyBorder="1" applyAlignment="1">
      <alignment horizontal="left" vertical="top" wrapText="1"/>
    </xf>
    <xf numFmtId="0" fontId="8" fillId="0" borderId="184" xfId="0" applyFont="1" applyBorder="1" applyAlignment="1">
      <alignment horizontal="left" vertical="top" wrapText="1"/>
    </xf>
    <xf numFmtId="0" fontId="8" fillId="0" borderId="211" xfId="0" applyFont="1" applyBorder="1" applyAlignment="1">
      <alignment horizontal="left" vertical="top" wrapText="1"/>
    </xf>
    <xf numFmtId="0" fontId="8" fillId="0" borderId="209" xfId="0"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23" xfId="0" applyFont="1" applyBorder="1" applyAlignment="1" applyProtection="1">
      <alignment horizontal="left" vertical="top" wrapText="1"/>
      <protection locked="0"/>
    </xf>
    <xf numFmtId="0" fontId="71" fillId="0" borderId="0" xfId="0" applyFont="1" applyAlignment="1" applyProtection="1">
      <alignment horizontal="left" vertical="top" wrapText="1"/>
    </xf>
    <xf numFmtId="0" fontId="8" fillId="7" borderId="0" xfId="0" applyFont="1" applyFill="1" applyAlignment="1" applyProtection="1">
      <alignment horizontal="left" vertical="top" wrapText="1"/>
    </xf>
    <xf numFmtId="0" fontId="30" fillId="0" borderId="175" xfId="0" applyFont="1" applyBorder="1" applyAlignment="1" applyProtection="1">
      <alignment vertical="top" wrapText="1"/>
      <protection locked="0"/>
    </xf>
    <xf numFmtId="0" fontId="30" fillId="0" borderId="306" xfId="0" applyFont="1" applyBorder="1" applyAlignment="1" applyProtection="1">
      <alignment vertical="top" wrapText="1"/>
      <protection locked="0"/>
    </xf>
    <xf numFmtId="0" fontId="30" fillId="0" borderId="176" xfId="0" applyFont="1" applyBorder="1" applyAlignment="1" applyProtection="1">
      <alignment vertical="top" wrapText="1"/>
      <protection locked="0"/>
    </xf>
    <xf numFmtId="0" fontId="30" fillId="0" borderId="310" xfId="0" applyFont="1" applyBorder="1" applyAlignment="1" applyProtection="1">
      <alignment vertical="top" wrapText="1"/>
      <protection locked="0"/>
    </xf>
    <xf numFmtId="0" fontId="41" fillId="0" borderId="158" xfId="0" applyFont="1" applyBorder="1" applyAlignment="1">
      <alignment horizontal="left" vertical="top" wrapText="1"/>
    </xf>
    <xf numFmtId="0" fontId="41" fillId="0" borderId="161" xfId="0" applyFont="1" applyBorder="1" applyAlignment="1">
      <alignment horizontal="left" vertical="top" wrapText="1"/>
    </xf>
    <xf numFmtId="0" fontId="41" fillId="0" borderId="163" xfId="0" applyFont="1" applyBorder="1" applyAlignment="1">
      <alignment horizontal="left" vertical="top" wrapText="1"/>
    </xf>
    <xf numFmtId="0" fontId="41" fillId="0" borderId="171" xfId="0" applyFont="1" applyBorder="1" applyAlignment="1">
      <alignment horizontal="left" vertical="top" wrapText="1"/>
    </xf>
    <xf numFmtId="0" fontId="36" fillId="7" borderId="0" xfId="0" applyFont="1" applyFill="1" applyAlignment="1" applyProtection="1">
      <alignment horizontal="left" vertical="center" wrapText="1"/>
    </xf>
    <xf numFmtId="0" fontId="36" fillId="7" borderId="0" xfId="3" applyFont="1" applyFill="1" applyAlignment="1" applyProtection="1">
      <alignment horizontal="left" vertical="top" wrapText="1"/>
    </xf>
    <xf numFmtId="0" fontId="36" fillId="7" borderId="75" xfId="0" applyFont="1" applyFill="1" applyBorder="1" applyAlignment="1" applyProtection="1">
      <alignment vertical="top" wrapText="1"/>
    </xf>
    <xf numFmtId="0" fontId="36" fillId="7" borderId="55" xfId="0" applyFont="1" applyFill="1" applyBorder="1" applyAlignment="1" applyProtection="1">
      <alignment vertical="top" wrapText="1"/>
    </xf>
    <xf numFmtId="0" fontId="30" fillId="0" borderId="114" xfId="0" applyFont="1" applyBorder="1" applyAlignment="1" applyProtection="1">
      <alignment vertical="top" wrapText="1"/>
      <protection locked="0"/>
    </xf>
    <xf numFmtId="0" fontId="30" fillId="0" borderId="107" xfId="0" applyFont="1" applyBorder="1" applyAlignment="1" applyProtection="1">
      <alignment vertical="top" wrapText="1"/>
      <protection locked="0"/>
    </xf>
    <xf numFmtId="0" fontId="30" fillId="0" borderId="148" xfId="0" applyFont="1" applyBorder="1" applyAlignment="1" applyProtection="1">
      <alignment vertical="top" wrapText="1"/>
      <protection locked="0"/>
    </xf>
    <xf numFmtId="0" fontId="30" fillId="0" borderId="215" xfId="0" applyFont="1" applyBorder="1" applyAlignment="1" applyProtection="1">
      <alignment vertical="top" wrapText="1"/>
      <protection locked="0"/>
    </xf>
    <xf numFmtId="0" fontId="30" fillId="0" borderId="223" xfId="0" applyFont="1" applyBorder="1" applyAlignment="1" applyProtection="1">
      <alignment vertical="top" wrapText="1"/>
      <protection locked="0"/>
    </xf>
    <xf numFmtId="0" fontId="41" fillId="0" borderId="245" xfId="0" applyFont="1" applyBorder="1" applyAlignment="1">
      <alignment horizontal="left" vertical="top" wrapText="1"/>
    </xf>
    <xf numFmtId="0" fontId="41" fillId="0" borderId="305" xfId="0" applyFont="1" applyBorder="1" applyAlignment="1">
      <alignment horizontal="left" vertical="top" wrapText="1"/>
    </xf>
    <xf numFmtId="0" fontId="30" fillId="0" borderId="70" xfId="0" applyFont="1" applyBorder="1" applyAlignment="1" applyProtection="1">
      <alignment vertical="top" wrapText="1"/>
      <protection locked="0"/>
    </xf>
    <xf numFmtId="0" fontId="41" fillId="0" borderId="168" xfId="0" applyFont="1" applyBorder="1" applyAlignment="1" applyProtection="1">
      <alignment horizontal="left" vertical="top" wrapText="1"/>
      <protection locked="0"/>
    </xf>
    <xf numFmtId="0" fontId="8" fillId="0" borderId="161" xfId="0" applyFont="1" applyBorder="1" applyAlignment="1">
      <alignment horizontal="left" vertical="top" wrapText="1"/>
    </xf>
    <xf numFmtId="0" fontId="8" fillId="0" borderId="114" xfId="0" applyFont="1" applyBorder="1" applyAlignment="1">
      <alignment horizontal="left" vertical="top" wrapText="1"/>
    </xf>
    <xf numFmtId="0" fontId="8" fillId="0" borderId="107" xfId="0" applyFont="1" applyBorder="1" applyAlignment="1">
      <alignment horizontal="left" vertical="top" wrapText="1"/>
    </xf>
    <xf numFmtId="0" fontId="8" fillId="0" borderId="215" xfId="0" applyFont="1" applyBorder="1" applyAlignment="1">
      <alignment horizontal="left" vertical="top" wrapText="1"/>
    </xf>
    <xf numFmtId="0" fontId="8" fillId="0" borderId="0" xfId="0" applyFont="1" applyAlignment="1">
      <alignment horizontal="left" vertical="top" wrapText="1"/>
    </xf>
    <xf numFmtId="0" fontId="8" fillId="0" borderId="223" xfId="0" applyFont="1" applyBorder="1" applyAlignment="1">
      <alignment horizontal="left" vertical="top" wrapText="1"/>
    </xf>
    <xf numFmtId="0" fontId="8" fillId="0" borderId="168" xfId="0" applyFont="1" applyBorder="1" applyAlignment="1">
      <alignment horizontal="left" vertical="top" wrapText="1"/>
    </xf>
    <xf numFmtId="0" fontId="1" fillId="3" borderId="42" xfId="0" applyFont="1" applyFill="1" applyBorder="1" applyAlignment="1" applyProtection="1">
      <alignment vertical="top" wrapText="1"/>
      <protection locked="0"/>
    </xf>
    <xf numFmtId="0" fontId="1" fillId="3" borderId="74" xfId="0" applyFont="1" applyFill="1" applyBorder="1" applyAlignment="1" applyProtection="1">
      <alignment vertical="top" wrapText="1"/>
      <protection locked="0"/>
    </xf>
    <xf numFmtId="0" fontId="1" fillId="3" borderId="103" xfId="0" applyFont="1" applyFill="1" applyBorder="1" applyAlignment="1" applyProtection="1">
      <alignment vertical="top" wrapText="1"/>
      <protection locked="0"/>
    </xf>
    <xf numFmtId="0" fontId="16" fillId="0" borderId="74" xfId="0" applyFont="1" applyBorder="1" applyAlignment="1" applyProtection="1">
      <alignment horizontal="left" vertical="top" wrapText="1"/>
      <protection locked="0"/>
    </xf>
    <xf numFmtId="0" fontId="16" fillId="0" borderId="103" xfId="0" applyFont="1" applyBorder="1" applyAlignment="1" applyProtection="1">
      <alignment horizontal="left" vertical="top" wrapText="1"/>
      <protection locked="0"/>
    </xf>
    <xf numFmtId="0" fontId="1" fillId="3" borderId="122" xfId="0" applyFont="1" applyFill="1" applyBorder="1" applyAlignment="1" applyProtection="1">
      <alignment vertical="top" wrapText="1"/>
      <protection locked="0"/>
    </xf>
    <xf numFmtId="0" fontId="1" fillId="3" borderId="86" xfId="0" applyFont="1" applyFill="1" applyBorder="1" applyAlignment="1" applyProtection="1">
      <alignment vertical="top" wrapText="1"/>
      <protection locked="0"/>
    </xf>
    <xf numFmtId="0" fontId="1" fillId="3" borderId="93" xfId="0" applyFont="1" applyFill="1" applyBorder="1" applyAlignment="1" applyProtection="1">
      <alignment vertical="top" wrapText="1"/>
      <protection locked="0"/>
    </xf>
    <xf numFmtId="0" fontId="1" fillId="3" borderId="42" xfId="0" applyFont="1" applyFill="1" applyBorder="1" applyAlignment="1" applyProtection="1">
      <alignment horizontal="left" vertical="top" wrapText="1"/>
      <protection locked="0"/>
    </xf>
    <xf numFmtId="0" fontId="1" fillId="3" borderId="74" xfId="0" applyFont="1" applyFill="1" applyBorder="1" applyAlignment="1" applyProtection="1">
      <alignment horizontal="left" vertical="top" wrapText="1"/>
      <protection locked="0"/>
    </xf>
    <xf numFmtId="0" fontId="1" fillId="3" borderId="103" xfId="0" applyFont="1" applyFill="1" applyBorder="1" applyAlignment="1" applyProtection="1">
      <alignment horizontal="left" vertical="top" wrapText="1"/>
      <protection locked="0"/>
    </xf>
    <xf numFmtId="0" fontId="8" fillId="0" borderId="300" xfId="0" applyFont="1" applyBorder="1" applyAlignment="1" applyProtection="1">
      <alignment horizontal="left" vertical="top" wrapText="1"/>
      <protection locked="0"/>
    </xf>
    <xf numFmtId="0" fontId="8" fillId="0" borderId="314" xfId="0" applyFont="1" applyBorder="1" applyAlignment="1" applyProtection="1">
      <alignment horizontal="left" vertical="top" wrapText="1"/>
      <protection locked="0"/>
    </xf>
    <xf numFmtId="0" fontId="39" fillId="0" borderId="300" xfId="0" applyFont="1" applyBorder="1" applyAlignment="1" applyProtection="1">
      <alignment horizontal="left" vertical="top"/>
      <protection locked="0"/>
    </xf>
    <xf numFmtId="0" fontId="39" fillId="0" borderId="68" xfId="0" applyFont="1" applyBorder="1" applyAlignment="1" applyProtection="1">
      <alignment horizontal="left" vertical="top"/>
      <protection locked="0"/>
    </xf>
    <xf numFmtId="0" fontId="39" fillId="0" borderId="314" xfId="0" applyFont="1" applyBorder="1" applyAlignment="1" applyProtection="1">
      <alignment horizontal="left" vertical="top"/>
      <protection locked="0"/>
    </xf>
    <xf numFmtId="0" fontId="32" fillId="0" borderId="300" xfId="0" applyFont="1" applyBorder="1" applyAlignment="1" applyProtection="1">
      <alignment horizontal="left" vertical="top" wrapText="1"/>
      <protection locked="0"/>
    </xf>
    <xf numFmtId="0" fontId="32" fillId="0" borderId="68" xfId="0" applyFont="1" applyBorder="1" applyAlignment="1" applyProtection="1">
      <alignment horizontal="left" vertical="top" wrapText="1"/>
      <protection locked="0"/>
    </xf>
    <xf numFmtId="0" fontId="32" fillId="0" borderId="121" xfId="0" applyFont="1" applyBorder="1" applyAlignment="1" applyProtection="1">
      <alignment horizontal="left" vertical="top" wrapText="1"/>
      <protection locked="0"/>
    </xf>
    <xf numFmtId="0" fontId="16" fillId="0" borderId="310" xfId="0" applyFont="1" applyBorder="1" applyAlignment="1" applyProtection="1">
      <alignment horizontal="left" vertical="top" wrapText="1"/>
      <protection locked="0"/>
    </xf>
    <xf numFmtId="0" fontId="16" fillId="0" borderId="300" xfId="0" applyFont="1" applyBorder="1" applyAlignment="1" applyProtection="1">
      <alignment horizontal="left" vertical="top" wrapText="1"/>
      <protection locked="0"/>
    </xf>
    <xf numFmtId="0" fontId="16" fillId="0" borderId="314" xfId="0" applyFont="1" applyBorder="1" applyAlignment="1" applyProtection="1">
      <alignment horizontal="left" vertical="top" wrapText="1"/>
      <protection locked="0"/>
    </xf>
    <xf numFmtId="0" fontId="1" fillId="3" borderId="149" xfId="0" applyFont="1" applyFill="1" applyBorder="1" applyAlignment="1" applyProtection="1">
      <alignment vertical="top" wrapText="1"/>
      <protection locked="0"/>
    </xf>
    <xf numFmtId="0" fontId="1" fillId="3" borderId="312" xfId="0" applyFont="1" applyFill="1" applyBorder="1" applyAlignment="1" applyProtection="1">
      <alignment vertical="top" wrapText="1"/>
      <protection locked="0"/>
    </xf>
    <xf numFmtId="0" fontId="39" fillId="0" borderId="310" xfId="0" applyFont="1" applyBorder="1" applyAlignment="1" applyProtection="1">
      <alignment horizontal="left" vertical="top"/>
      <protection locked="0"/>
    </xf>
    <xf numFmtId="0" fontId="39" fillId="0" borderId="74" xfId="0" applyFont="1" applyBorder="1" applyAlignment="1" applyProtection="1">
      <alignment horizontal="left" vertical="top"/>
      <protection locked="0"/>
    </xf>
    <xf numFmtId="0" fontId="39" fillId="0" borderId="311" xfId="0" applyFont="1" applyBorder="1" applyAlignment="1" applyProtection="1">
      <alignment horizontal="left" vertical="top"/>
      <protection locked="0"/>
    </xf>
    <xf numFmtId="0" fontId="32" fillId="0" borderId="74" xfId="0" applyFont="1" applyBorder="1" applyAlignment="1" applyProtection="1">
      <alignment horizontal="left" vertical="top" wrapText="1"/>
      <protection locked="0"/>
    </xf>
    <xf numFmtId="0" fontId="32" fillId="0" borderId="103" xfId="0" applyFont="1" applyBorder="1" applyAlignment="1" applyProtection="1">
      <alignment horizontal="left" vertical="top" wrapText="1"/>
      <protection locked="0"/>
    </xf>
    <xf numFmtId="0" fontId="17" fillId="0" borderId="106" xfId="0" applyFont="1" applyBorder="1" applyAlignment="1" applyProtection="1">
      <alignment horizontal="left" vertical="top" wrapText="1"/>
      <protection locked="0"/>
    </xf>
    <xf numFmtId="0" fontId="17" fillId="0" borderId="353" xfId="0" applyFont="1" applyBorder="1" applyAlignment="1" applyProtection="1">
      <alignment horizontal="left" vertical="top" wrapText="1"/>
      <protection locked="0"/>
    </xf>
    <xf numFmtId="0" fontId="17" fillId="0" borderId="300" xfId="0" applyFont="1" applyBorder="1" applyAlignment="1" applyProtection="1">
      <alignment horizontal="left" vertical="top" wrapText="1"/>
      <protection locked="0"/>
    </xf>
    <xf numFmtId="0" fontId="17" fillId="0" borderId="314" xfId="0" applyFont="1" applyBorder="1" applyAlignment="1" applyProtection="1">
      <alignment horizontal="left" vertical="top" wrapText="1"/>
      <protection locked="0"/>
    </xf>
    <xf numFmtId="0" fontId="17" fillId="0" borderId="310" xfId="0" applyFont="1" applyBorder="1" applyAlignment="1" applyProtection="1">
      <alignment horizontal="left" vertical="top" wrapText="1"/>
      <protection locked="0"/>
    </xf>
    <xf numFmtId="0" fontId="17" fillId="0" borderId="74" xfId="0" applyFont="1" applyBorder="1" applyAlignment="1" applyProtection="1">
      <alignment horizontal="left" vertical="top" wrapText="1"/>
      <protection locked="0"/>
    </xf>
    <xf numFmtId="0" fontId="17" fillId="0" borderId="103" xfId="0" applyFont="1" applyBorder="1" applyAlignment="1" applyProtection="1">
      <alignment horizontal="left" vertical="top" wrapText="1"/>
      <protection locked="0"/>
    </xf>
    <xf numFmtId="0" fontId="30" fillId="0" borderId="300" xfId="0" applyFont="1" applyBorder="1" applyAlignment="1" applyProtection="1">
      <alignment vertical="top" wrapText="1"/>
      <protection locked="0"/>
    </xf>
    <xf numFmtId="0" fontId="30" fillId="0" borderId="314" xfId="0" applyFont="1" applyBorder="1" applyAlignment="1" applyProtection="1">
      <alignment vertical="top" wrapText="1"/>
      <protection locked="0"/>
    </xf>
    <xf numFmtId="0" fontId="1" fillId="0" borderId="310" xfId="0" applyFont="1" applyBorder="1" applyAlignment="1" applyProtection="1">
      <alignment horizontal="left" vertical="top" wrapText="1"/>
      <protection locked="0"/>
    </xf>
    <xf numFmtId="0" fontId="1" fillId="0" borderId="311" xfId="0" applyFont="1" applyBorder="1" applyAlignment="1" applyProtection="1">
      <alignment horizontal="left" vertical="top" wrapText="1"/>
      <protection locked="0"/>
    </xf>
    <xf numFmtId="0" fontId="14" fillId="7" borderId="75" xfId="0" applyFont="1" applyFill="1" applyBorder="1" applyAlignment="1">
      <alignment horizontal="left" vertical="top" wrapText="1"/>
    </xf>
    <xf numFmtId="0" fontId="14" fillId="7" borderId="55" xfId="0" applyFont="1" applyFill="1" applyBorder="1" applyAlignment="1">
      <alignment horizontal="left" vertical="top" wrapText="1"/>
    </xf>
    <xf numFmtId="0" fontId="30" fillId="0" borderId="171" xfId="0" applyFont="1" applyBorder="1" applyAlignment="1" applyProtection="1">
      <alignment vertical="top" wrapText="1"/>
      <protection locked="0"/>
    </xf>
    <xf numFmtId="0" fontId="30" fillId="3" borderId="398" xfId="0" applyFont="1" applyFill="1" applyBorder="1" applyAlignment="1" applyProtection="1">
      <alignment vertical="top" wrapText="1"/>
      <protection locked="0"/>
    </xf>
    <xf numFmtId="0" fontId="30" fillId="3" borderId="347" xfId="0" applyFont="1" applyFill="1" applyBorder="1" applyAlignment="1" applyProtection="1">
      <alignment vertical="top" wrapText="1"/>
      <protection locked="0"/>
    </xf>
    <xf numFmtId="0" fontId="30" fillId="3" borderId="355" xfId="0" applyFont="1" applyFill="1" applyBorder="1" applyAlignment="1" applyProtection="1">
      <alignment vertical="top" wrapText="1"/>
      <protection locked="0"/>
    </xf>
    <xf numFmtId="0" fontId="18" fillId="0" borderId="37" xfId="0" applyFont="1" applyBorder="1" applyAlignment="1" applyProtection="1">
      <alignment horizontal="left" vertical="top"/>
      <protection locked="0"/>
    </xf>
    <xf numFmtId="0" fontId="18" fillId="0" borderId="0" xfId="0" applyFont="1" applyAlignment="1" applyProtection="1">
      <alignment horizontal="left" vertical="top"/>
      <protection locked="0"/>
    </xf>
    <xf numFmtId="0" fontId="18" fillId="0" borderId="39" xfId="0" applyFont="1" applyBorder="1" applyAlignment="1" applyProtection="1">
      <alignment horizontal="left" vertical="top"/>
      <protection locked="0"/>
    </xf>
    <xf numFmtId="0" fontId="8" fillId="0" borderId="158" xfId="0" applyFont="1" applyBorder="1" applyAlignment="1">
      <alignment horizontal="left" vertical="top" wrapText="1"/>
    </xf>
    <xf numFmtId="0" fontId="8" fillId="0" borderId="163" xfId="0" applyFont="1" applyBorder="1" applyAlignment="1">
      <alignment horizontal="left" vertical="top" wrapText="1"/>
    </xf>
    <xf numFmtId="0" fontId="30" fillId="3" borderId="477" xfId="0" applyFont="1" applyFill="1" applyBorder="1" applyAlignment="1" applyProtection="1">
      <alignment vertical="top" wrapText="1"/>
      <protection locked="0"/>
    </xf>
    <xf numFmtId="0" fontId="30" fillId="3" borderId="348" xfId="0" applyFont="1" applyFill="1" applyBorder="1" applyAlignment="1" applyProtection="1">
      <alignment vertical="top" wrapText="1"/>
      <protection locked="0"/>
    </xf>
    <xf numFmtId="0" fontId="14" fillId="0" borderId="316" xfId="0" applyFont="1" applyBorder="1" applyAlignment="1">
      <alignment horizontal="left" vertical="top" wrapText="1"/>
    </xf>
    <xf numFmtId="0" fontId="14" fillId="0" borderId="343" xfId="0" applyFont="1" applyBorder="1" applyAlignment="1">
      <alignment horizontal="left" vertical="top" wrapText="1"/>
    </xf>
    <xf numFmtId="0" fontId="14" fillId="0" borderId="208" xfId="0" applyFont="1" applyBorder="1" applyAlignment="1">
      <alignment horizontal="left" vertical="top" wrapText="1"/>
    </xf>
    <xf numFmtId="0" fontId="16" fillId="0" borderId="184" xfId="0" applyFont="1" applyBorder="1" applyAlignment="1">
      <alignment horizontal="left" vertical="top" wrapText="1"/>
    </xf>
    <xf numFmtId="0" fontId="16" fillId="0" borderId="211" xfId="0" applyFont="1" applyBorder="1" applyAlignment="1">
      <alignment horizontal="left" vertical="top" wrapText="1"/>
    </xf>
    <xf numFmtId="0" fontId="16" fillId="0" borderId="209" xfId="0" applyFont="1" applyBorder="1" applyAlignment="1">
      <alignment horizontal="left" vertical="top" wrapText="1"/>
    </xf>
    <xf numFmtId="0" fontId="3" fillId="0" borderId="158" xfId="0" applyFont="1" applyBorder="1" applyAlignment="1">
      <alignment horizontal="left" vertical="top" wrapText="1"/>
    </xf>
    <xf numFmtId="0" fontId="3" fillId="0" borderId="161" xfId="0" applyFont="1" applyBorder="1" applyAlignment="1">
      <alignment horizontal="left" vertical="top" wrapText="1"/>
    </xf>
    <xf numFmtId="0" fontId="3" fillId="0" borderId="163" xfId="0" applyFont="1" applyBorder="1" applyAlignment="1">
      <alignment horizontal="left" vertical="top" wrapText="1"/>
    </xf>
    <xf numFmtId="0" fontId="62" fillId="7" borderId="0" xfId="0" applyFont="1" applyFill="1" applyAlignment="1">
      <alignment horizontal="left" vertical="top" wrapText="1"/>
    </xf>
    <xf numFmtId="0" fontId="49" fillId="7" borderId="0" xfId="0" applyFont="1" applyFill="1" applyAlignment="1">
      <alignment horizontal="left" vertical="top"/>
    </xf>
    <xf numFmtId="0" fontId="36" fillId="9" borderId="75" xfId="0" applyFont="1" applyFill="1" applyBorder="1" applyAlignment="1" applyProtection="1">
      <alignment horizontal="left" vertical="top" wrapText="1"/>
    </xf>
    <xf numFmtId="0" fontId="36" fillId="9" borderId="55" xfId="0" applyFont="1" applyFill="1" applyBorder="1" applyAlignment="1" applyProtection="1">
      <alignment horizontal="left" vertical="top" wrapText="1"/>
    </xf>
    <xf numFmtId="0" fontId="30" fillId="3" borderId="254" xfId="0" applyFont="1" applyFill="1" applyBorder="1" applyAlignment="1" applyProtection="1">
      <alignment vertical="top" wrapText="1"/>
      <protection locked="0"/>
    </xf>
    <xf numFmtId="0" fontId="30" fillId="3" borderId="478" xfId="0" applyFont="1" applyFill="1" applyBorder="1" applyAlignment="1" applyProtection="1">
      <alignment vertical="top" wrapText="1"/>
      <protection locked="0"/>
    </xf>
    <xf numFmtId="0" fontId="14" fillId="7" borderId="75" xfId="0" applyFont="1" applyFill="1" applyBorder="1" applyAlignment="1" applyProtection="1">
      <alignment horizontal="left" vertical="top" wrapText="1"/>
    </xf>
    <xf numFmtId="0" fontId="14" fillId="7" borderId="55" xfId="0" applyFont="1" applyFill="1" applyBorder="1" applyAlignment="1" applyProtection="1">
      <alignment horizontal="left" vertical="top" wrapText="1"/>
    </xf>
    <xf numFmtId="0" fontId="30" fillId="0" borderId="349" xfId="0" applyFont="1" applyBorder="1" applyAlignment="1" applyProtection="1">
      <alignment vertical="top" wrapText="1"/>
      <protection locked="0"/>
    </xf>
    <xf numFmtId="0" fontId="30" fillId="0" borderId="344" xfId="0" applyFont="1" applyBorder="1" applyAlignment="1" applyProtection="1">
      <alignment vertical="top" wrapText="1"/>
      <protection locked="0"/>
    </xf>
    <xf numFmtId="0" fontId="30" fillId="0" borderId="352" xfId="0" applyFont="1" applyBorder="1" applyAlignment="1" applyProtection="1">
      <alignment vertical="top" wrapText="1"/>
      <protection locked="0"/>
    </xf>
    <xf numFmtId="0" fontId="30" fillId="0" borderId="350" xfId="0" applyFont="1" applyBorder="1" applyAlignment="1" applyProtection="1">
      <alignment vertical="top" wrapText="1"/>
      <protection locked="0"/>
    </xf>
    <xf numFmtId="0" fontId="14" fillId="7" borderId="0" xfId="0" applyFont="1" applyFill="1" applyAlignment="1">
      <alignment horizontal="left" vertical="top" wrapText="1"/>
    </xf>
    <xf numFmtId="0" fontId="30" fillId="3" borderId="352" xfId="0" applyFont="1" applyFill="1" applyBorder="1" applyAlignment="1" applyProtection="1">
      <alignment vertical="top" wrapText="1"/>
      <protection locked="0"/>
    </xf>
    <xf numFmtId="0" fontId="30" fillId="0" borderId="392" xfId="0" applyFont="1" applyBorder="1" applyAlignment="1" applyProtection="1">
      <alignment vertical="top" wrapText="1"/>
      <protection locked="0"/>
    </xf>
    <xf numFmtId="0" fontId="30" fillId="3" borderId="392" xfId="0" applyFont="1" applyFill="1" applyBorder="1" applyAlignment="1" applyProtection="1">
      <alignment vertical="top" wrapText="1"/>
      <protection locked="0"/>
    </xf>
    <xf numFmtId="0" fontId="1" fillId="0" borderId="184" xfId="0" applyFont="1" applyBorder="1" applyAlignment="1" applyProtection="1">
      <alignment horizontal="left" vertical="top" wrapText="1"/>
      <protection locked="0"/>
    </xf>
    <xf numFmtId="0" fontId="1" fillId="0" borderId="211" xfId="0" applyFont="1" applyBorder="1" applyAlignment="1" applyProtection="1">
      <alignment horizontal="left" vertical="top" wrapText="1"/>
      <protection locked="0"/>
    </xf>
    <xf numFmtId="0" fontId="1" fillId="0" borderId="209" xfId="0" applyFont="1" applyBorder="1" applyAlignment="1" applyProtection="1">
      <alignment horizontal="left" vertical="top" wrapText="1"/>
      <protection locked="0"/>
    </xf>
    <xf numFmtId="0" fontId="1" fillId="0" borderId="171" xfId="0" applyFont="1" applyBorder="1" applyAlignment="1" applyProtection="1">
      <alignment horizontal="left" vertical="top" wrapText="1"/>
      <protection locked="0"/>
    </xf>
    <xf numFmtId="0" fontId="1" fillId="0" borderId="316" xfId="0" applyFont="1" applyBorder="1" applyAlignment="1" applyProtection="1">
      <alignment horizontal="left" vertical="top" wrapText="1"/>
      <protection locked="0"/>
    </xf>
    <xf numFmtId="0" fontId="1" fillId="0" borderId="343" xfId="0" applyFont="1" applyBorder="1" applyAlignment="1" applyProtection="1">
      <alignment horizontal="left" vertical="top" wrapText="1"/>
      <protection locked="0"/>
    </xf>
    <xf numFmtId="0" fontId="1" fillId="0" borderId="208" xfId="0" applyFont="1" applyBorder="1" applyAlignment="1" applyProtection="1">
      <alignment horizontal="left" vertical="top" wrapText="1"/>
      <protection locked="0"/>
    </xf>
    <xf numFmtId="0" fontId="32" fillId="0" borderId="42" xfId="0" applyFont="1" applyBorder="1" applyAlignment="1" applyProtection="1">
      <alignment horizontal="left" vertical="top" wrapText="1"/>
      <protection locked="0"/>
    </xf>
    <xf numFmtId="0" fontId="1" fillId="0" borderId="146" xfId="0" applyFont="1" applyBorder="1" applyAlignment="1" applyProtection="1">
      <alignment horizontal="left" vertical="top" wrapText="1"/>
      <protection locked="0"/>
    </xf>
    <xf numFmtId="0" fontId="1" fillId="0" borderId="68" xfId="0" applyFont="1" applyBorder="1" applyAlignment="1" applyProtection="1">
      <alignment horizontal="left" vertical="top" wrapText="1"/>
      <protection locked="0"/>
    </xf>
    <xf numFmtId="0" fontId="1" fillId="0" borderId="121" xfId="0" applyFont="1" applyBorder="1" applyAlignment="1" applyProtection="1">
      <alignment horizontal="left" vertical="top" wrapText="1"/>
      <protection locked="0"/>
    </xf>
    <xf numFmtId="0" fontId="30" fillId="0" borderId="244" xfId="0" applyFont="1" applyBorder="1" applyAlignment="1" applyProtection="1">
      <alignment vertical="top" wrapText="1"/>
      <protection locked="0"/>
    </xf>
    <xf numFmtId="0" fontId="30" fillId="0" borderId="204" xfId="0" applyFont="1" applyBorder="1" applyAlignment="1" applyProtection="1">
      <alignment vertical="top" wrapText="1"/>
      <protection locked="0"/>
    </xf>
    <xf numFmtId="0" fontId="30" fillId="0" borderId="464" xfId="0" applyFont="1" applyBorder="1" applyAlignment="1" applyProtection="1">
      <alignment vertical="top" wrapText="1"/>
      <protection locked="0"/>
    </xf>
    <xf numFmtId="0" fontId="1" fillId="0" borderId="244" xfId="0" applyFont="1" applyBorder="1" applyAlignment="1" applyProtection="1">
      <alignment horizontal="left" vertical="top" wrapText="1"/>
      <protection locked="0"/>
    </xf>
    <xf numFmtId="0" fontId="1" fillId="0" borderId="204" xfId="0" applyFont="1" applyBorder="1" applyAlignment="1" applyProtection="1">
      <alignment horizontal="left" vertical="top" wrapText="1"/>
      <protection locked="0"/>
    </xf>
    <xf numFmtId="0" fontId="1" fillId="0" borderId="206" xfId="0" applyFont="1" applyBorder="1" applyAlignment="1" applyProtection="1">
      <alignment horizontal="left" vertical="top" wrapText="1"/>
      <protection locked="0"/>
    </xf>
    <xf numFmtId="0" fontId="30" fillId="0" borderId="206" xfId="0" applyFont="1" applyBorder="1" applyAlignment="1" applyProtection="1">
      <alignment vertical="top" wrapText="1"/>
      <protection locked="0"/>
    </xf>
    <xf numFmtId="0" fontId="1" fillId="0" borderId="122" xfId="0" applyFont="1" applyBorder="1" applyAlignment="1" applyProtection="1">
      <alignment horizontal="left" vertical="top" wrapText="1"/>
      <protection locked="0"/>
    </xf>
    <xf numFmtId="0" fontId="1" fillId="0" borderId="86" xfId="0" applyFont="1" applyBorder="1" applyAlignment="1" applyProtection="1">
      <alignment horizontal="left" vertical="top" wrapText="1"/>
      <protection locked="0"/>
    </xf>
    <xf numFmtId="0" fontId="1" fillId="0" borderId="93" xfId="0" applyFont="1" applyBorder="1" applyAlignment="1" applyProtection="1">
      <alignment horizontal="left" vertical="top" wrapText="1"/>
      <protection locked="0"/>
    </xf>
    <xf numFmtId="0" fontId="1" fillId="0" borderId="300" xfId="0" applyFont="1" applyBorder="1" applyAlignment="1" applyProtection="1">
      <alignment horizontal="left" vertical="top" wrapText="1"/>
      <protection locked="0"/>
    </xf>
    <xf numFmtId="0" fontId="32" fillId="3" borderId="42" xfId="0" applyFont="1" applyFill="1" applyBorder="1" applyAlignment="1" applyProtection="1">
      <alignment horizontal="left" vertical="top" wrapText="1"/>
      <protection locked="0"/>
    </xf>
    <xf numFmtId="0" fontId="32" fillId="3" borderId="74" xfId="0" applyFont="1" applyFill="1" applyBorder="1" applyAlignment="1" applyProtection="1">
      <alignment horizontal="left" vertical="top" wrapText="1"/>
      <protection locked="0"/>
    </xf>
    <xf numFmtId="0" fontId="32" fillId="3" borderId="103" xfId="0" applyFont="1" applyFill="1" applyBorder="1" applyAlignment="1" applyProtection="1">
      <alignment horizontal="left" vertical="top" wrapText="1"/>
      <protection locked="0"/>
    </xf>
    <xf numFmtId="0" fontId="30" fillId="0" borderId="247" xfId="0" applyFont="1" applyBorder="1" applyAlignment="1" applyProtection="1">
      <alignment vertical="top" wrapText="1"/>
      <protection locked="0"/>
    </xf>
    <xf numFmtId="0" fontId="30" fillId="0" borderId="357" xfId="0" applyFont="1" applyBorder="1" applyAlignment="1" applyProtection="1">
      <alignment vertical="top" wrapText="1"/>
      <protection locked="0"/>
    </xf>
    <xf numFmtId="0" fontId="30" fillId="0" borderId="463" xfId="0" applyFont="1" applyBorder="1" applyAlignment="1" applyProtection="1">
      <alignment vertical="top" wrapText="1"/>
      <protection locked="0"/>
    </xf>
    <xf numFmtId="0" fontId="8" fillId="0" borderId="42" xfId="0" applyFont="1" applyBorder="1" applyAlignment="1" applyProtection="1">
      <alignment horizontal="left" vertical="top" wrapText="1"/>
      <protection locked="0"/>
    </xf>
    <xf numFmtId="0" fontId="8" fillId="0" borderId="74" xfId="0" applyFont="1" applyBorder="1" applyAlignment="1" applyProtection="1">
      <alignment horizontal="left" vertical="top" wrapText="1"/>
      <protection locked="0"/>
    </xf>
    <xf numFmtId="0" fontId="8" fillId="0" borderId="103" xfId="0" applyFont="1" applyBorder="1" applyAlignment="1" applyProtection="1">
      <alignment horizontal="left" vertical="top" wrapText="1"/>
      <protection locked="0"/>
    </xf>
    <xf numFmtId="0" fontId="33" fillId="7" borderId="0" xfId="0" applyFont="1" applyFill="1" applyAlignment="1">
      <alignment horizontal="left" vertical="top"/>
    </xf>
    <xf numFmtId="0" fontId="32" fillId="7" borderId="0" xfId="0" applyFont="1" applyFill="1" applyAlignment="1">
      <alignment horizontal="left" vertical="top" wrapText="1"/>
    </xf>
    <xf numFmtId="0" fontId="36" fillId="7" borderId="158" xfId="0" applyFont="1" applyFill="1" applyBorder="1" applyAlignment="1">
      <alignment horizontal="left" vertical="top" wrapText="1"/>
    </xf>
    <xf numFmtId="0" fontId="36" fillId="7" borderId="159" xfId="0" applyFont="1" applyFill="1" applyBorder="1" applyAlignment="1">
      <alignment horizontal="left" vertical="top" wrapText="1"/>
    </xf>
    <xf numFmtId="0" fontId="41" fillId="0" borderId="110" xfId="0" applyFont="1" applyBorder="1" applyAlignment="1">
      <alignment horizontal="left" vertical="top" wrapText="1"/>
    </xf>
    <xf numFmtId="0" fontId="41" fillId="0" borderId="164" xfId="0" applyFont="1" applyBorder="1" applyAlignment="1">
      <alignment horizontal="left" vertical="top" wrapText="1"/>
    </xf>
    <xf numFmtId="0" fontId="16" fillId="0" borderId="110" xfId="0" applyFont="1" applyBorder="1" applyAlignment="1">
      <alignment horizontal="left" vertical="top" wrapText="1"/>
    </xf>
    <xf numFmtId="0" fontId="16" fillId="0" borderId="164" xfId="0" applyFont="1" applyBorder="1" applyAlignment="1">
      <alignment horizontal="left" vertical="top" wrapText="1"/>
    </xf>
    <xf numFmtId="0" fontId="82" fillId="0" borderId="0" xfId="0" applyFont="1" applyAlignment="1">
      <alignment vertical="top" wrapText="1"/>
    </xf>
    <xf numFmtId="0" fontId="49" fillId="7" borderId="29" xfId="0" applyFont="1" applyFill="1" applyBorder="1" applyAlignment="1">
      <alignment horizontal="left" vertical="top"/>
    </xf>
    <xf numFmtId="0" fontId="49" fillId="7" borderId="122" xfId="0" applyFont="1" applyFill="1" applyBorder="1" applyAlignment="1">
      <alignment horizontal="left" vertical="top"/>
    </xf>
    <xf numFmtId="0" fontId="50" fillId="11" borderId="23" xfId="0" applyFont="1" applyFill="1" applyBorder="1" applyAlignment="1">
      <alignment horizontal="left" vertical="top" wrapText="1"/>
    </xf>
    <xf numFmtId="0" fontId="50" fillId="11" borderId="93" xfId="0" applyFont="1" applyFill="1" applyBorder="1" applyAlignment="1">
      <alignment horizontal="left" vertical="top" wrapText="1"/>
    </xf>
    <xf numFmtId="0" fontId="49" fillId="7" borderId="0" xfId="0" applyFont="1" applyFill="1" applyAlignment="1" applyProtection="1">
      <alignment horizontal="left" vertical="center" wrapText="1"/>
    </xf>
    <xf numFmtId="0" fontId="17" fillId="0" borderId="42" xfId="0" applyFont="1" applyBorder="1" applyAlignment="1" applyProtection="1">
      <alignment vertical="top" wrapText="1"/>
      <protection locked="0"/>
    </xf>
    <xf numFmtId="0" fontId="17" fillId="0" borderId="74" xfId="0" applyFont="1" applyBorder="1" applyAlignment="1" applyProtection="1">
      <alignment vertical="top" wrapText="1"/>
      <protection locked="0"/>
    </xf>
    <xf numFmtId="0" fontId="17" fillId="0" borderId="103" xfId="0" applyFont="1" applyBorder="1" applyAlignment="1" applyProtection="1">
      <alignment vertical="top" wrapText="1"/>
      <protection locked="0"/>
    </xf>
    <xf numFmtId="0" fontId="16" fillId="0" borderId="184" xfId="0" applyFont="1" applyBorder="1" applyAlignment="1" applyProtection="1">
      <alignment vertical="top" wrapText="1"/>
      <protection locked="0"/>
    </xf>
    <xf numFmtId="0" fontId="16" fillId="0" borderId="211" xfId="0" applyFont="1" applyBorder="1" applyAlignment="1" applyProtection="1">
      <alignment vertical="top" wrapText="1"/>
      <protection locked="0"/>
    </xf>
    <xf numFmtId="0" fontId="16" fillId="0" borderId="209" xfId="0" applyFont="1" applyBorder="1" applyAlignment="1" applyProtection="1">
      <alignment vertical="top" wrapText="1"/>
      <protection locked="0"/>
    </xf>
    <xf numFmtId="0" fontId="17" fillId="0" borderId="146" xfId="0" applyFont="1" applyBorder="1" applyAlignment="1" applyProtection="1">
      <alignment horizontal="center" vertical="top" wrapText="1"/>
      <protection locked="0"/>
    </xf>
    <xf numFmtId="0" fontId="17" fillId="0" borderId="68" xfId="0" applyFont="1" applyBorder="1" applyAlignment="1" applyProtection="1">
      <alignment horizontal="center" vertical="top" wrapText="1"/>
      <protection locked="0"/>
    </xf>
    <xf numFmtId="0" fontId="17" fillId="0" borderId="121" xfId="0" applyFont="1" applyBorder="1" applyAlignment="1" applyProtection="1">
      <alignment horizontal="center" vertical="top" wrapText="1"/>
      <protection locked="0"/>
    </xf>
    <xf numFmtId="0" fontId="1" fillId="0" borderId="42" xfId="0" applyFont="1" applyBorder="1" applyAlignment="1" applyProtection="1">
      <alignment vertical="top" wrapText="1"/>
      <protection locked="0"/>
    </xf>
    <xf numFmtId="0" fontId="1" fillId="0" borderId="74" xfId="0" applyFont="1" applyBorder="1" applyAlignment="1" applyProtection="1">
      <alignment vertical="top" wrapText="1"/>
      <protection locked="0"/>
    </xf>
    <xf numFmtId="0" fontId="1" fillId="0" borderId="146" xfId="0" applyFont="1" applyBorder="1" applyAlignment="1" applyProtection="1">
      <alignment horizontal="center" vertical="top" wrapText="1"/>
      <protection locked="0"/>
    </xf>
    <xf numFmtId="0" fontId="1" fillId="0" borderId="68" xfId="0" applyFont="1" applyBorder="1" applyAlignment="1" applyProtection="1">
      <alignment horizontal="center" vertical="top" wrapText="1"/>
      <protection locked="0"/>
    </xf>
    <xf numFmtId="0" fontId="1" fillId="0" borderId="121" xfId="0" applyFont="1" applyBorder="1" applyAlignment="1" applyProtection="1">
      <alignment horizontal="center" vertical="top" wrapText="1"/>
      <protection locked="0"/>
    </xf>
    <xf numFmtId="0" fontId="62" fillId="7" borderId="118" xfId="0" applyFont="1" applyFill="1" applyBorder="1" applyAlignment="1" applyProtection="1">
      <alignment horizontal="left" vertical="top" wrapText="1"/>
    </xf>
    <xf numFmtId="0" fontId="62" fillId="7" borderId="0" xfId="0" applyFont="1" applyFill="1" applyAlignment="1" applyProtection="1">
      <alignment horizontal="left" vertical="top" wrapText="1"/>
    </xf>
    <xf numFmtId="0" fontId="82" fillId="0" borderId="23" xfId="0" applyFont="1" applyBorder="1" applyAlignment="1" applyProtection="1">
      <alignment horizontal="left" vertical="top" wrapText="1"/>
    </xf>
    <xf numFmtId="0" fontId="82" fillId="0" borderId="23" xfId="0" applyFont="1" applyBorder="1" applyAlignment="1" applyProtection="1">
      <alignment horizontal="left" vertical="top"/>
    </xf>
    <xf numFmtId="0" fontId="30" fillId="0" borderId="346" xfId="0" applyFont="1" applyBorder="1" applyAlignment="1" applyProtection="1">
      <alignment vertical="top" wrapText="1"/>
      <protection locked="0"/>
    </xf>
    <xf numFmtId="0" fontId="30" fillId="0" borderId="347" xfId="0" applyFont="1" applyBorder="1" applyAlignment="1" applyProtection="1">
      <alignment vertical="top" wrapText="1"/>
      <protection locked="0"/>
    </xf>
    <xf numFmtId="0" fontId="30" fillId="0" borderId="348" xfId="0" applyFont="1" applyBorder="1" applyAlignment="1" applyProtection="1">
      <alignment vertical="top" wrapText="1"/>
      <protection locked="0"/>
    </xf>
    <xf numFmtId="0" fontId="62" fillId="7" borderId="121" xfId="0" applyFont="1" applyFill="1" applyBorder="1" applyAlignment="1" applyProtection="1">
      <alignment horizontal="left" vertical="top" wrapText="1"/>
    </xf>
    <xf numFmtId="0" fontId="62" fillId="7" borderId="23" xfId="0" applyFont="1" applyFill="1" applyBorder="1" applyAlignment="1" applyProtection="1">
      <alignment horizontal="left" vertical="top" wrapText="1"/>
    </xf>
    <xf numFmtId="0" fontId="36" fillId="7" borderId="0" xfId="0" applyFont="1" applyFill="1" applyBorder="1" applyAlignment="1" applyProtection="1">
      <alignment horizontal="left" vertical="top" wrapText="1"/>
    </xf>
    <xf numFmtId="0" fontId="30" fillId="0" borderId="254" xfId="0" applyFont="1" applyBorder="1" applyAlignment="1" applyProtection="1">
      <alignment vertical="top" wrapText="1"/>
      <protection locked="0"/>
    </xf>
    <xf numFmtId="0" fontId="30" fillId="0" borderId="478" xfId="0" applyFont="1" applyBorder="1" applyAlignment="1" applyProtection="1">
      <alignment vertical="top" wrapText="1"/>
      <protection locked="0"/>
    </xf>
    <xf numFmtId="0" fontId="30" fillId="0" borderId="622" xfId="0" applyFont="1" applyBorder="1" applyAlignment="1" applyProtection="1">
      <alignment horizontal="center" vertical="top" wrapText="1"/>
      <protection locked="0"/>
    </xf>
    <xf numFmtId="0" fontId="30" fillId="0" borderId="247" xfId="0" applyFont="1" applyBorder="1" applyAlignment="1" applyProtection="1">
      <alignment horizontal="center" vertical="top" wrapText="1"/>
      <protection locked="0"/>
    </xf>
    <xf numFmtId="0" fontId="30" fillId="0" borderId="154" xfId="0" applyFont="1" applyBorder="1" applyAlignment="1" applyProtection="1">
      <alignment horizontal="center" vertical="top" wrapText="1"/>
      <protection locked="0"/>
    </xf>
    <xf numFmtId="0" fontId="1" fillId="0" borderId="122" xfId="0" applyFont="1" applyBorder="1" applyAlignment="1" applyProtection="1">
      <alignment vertical="top" wrapText="1"/>
      <protection locked="0"/>
    </xf>
    <xf numFmtId="0" fontId="1" fillId="0" borderId="86" xfId="0" applyFont="1" applyBorder="1" applyAlignment="1" applyProtection="1">
      <alignment vertical="top" wrapText="1"/>
      <protection locked="0"/>
    </xf>
    <xf numFmtId="0" fontId="17" fillId="0" borderId="122" xfId="0" applyFont="1" applyBorder="1" applyAlignment="1" applyProtection="1">
      <alignment vertical="top" wrapText="1"/>
      <protection locked="0"/>
    </xf>
    <xf numFmtId="0" fontId="17" fillId="0" borderId="86" xfId="0" applyFont="1" applyBorder="1" applyAlignment="1" applyProtection="1">
      <alignment vertical="top" wrapText="1"/>
      <protection locked="0"/>
    </xf>
    <xf numFmtId="0" fontId="17" fillId="0" borderId="93" xfId="0" applyFont="1" applyBorder="1" applyAlignment="1" applyProtection="1">
      <alignment vertical="top" wrapText="1"/>
      <protection locked="0"/>
    </xf>
    <xf numFmtId="0" fontId="18" fillId="0" borderId="42" xfId="0" applyFont="1" applyBorder="1" applyAlignment="1" applyProtection="1">
      <alignment horizontal="center" vertical="top" wrapText="1"/>
      <protection locked="0"/>
    </xf>
    <xf numFmtId="0" fontId="18" fillId="0" borderId="103" xfId="0" applyFont="1" applyBorder="1" applyAlignment="1" applyProtection="1">
      <alignment horizontal="center" vertical="top" wrapText="1"/>
      <protection locked="0"/>
    </xf>
    <xf numFmtId="0" fontId="18" fillId="0" borderId="29" xfId="0" applyFont="1" applyBorder="1" applyAlignment="1" applyProtection="1">
      <alignment horizontal="center" vertical="top" wrapText="1"/>
      <protection locked="0"/>
    </xf>
    <xf numFmtId="0" fontId="18" fillId="0" borderId="0" xfId="0" applyFont="1" applyBorder="1" applyAlignment="1" applyProtection="1">
      <alignment horizontal="center" vertical="top" wrapText="1"/>
      <protection locked="0"/>
    </xf>
    <xf numFmtId="0" fontId="18" fillId="0" borderId="146" xfId="0" applyFont="1" applyBorder="1" applyAlignment="1" applyProtection="1">
      <alignment horizontal="center" vertical="top" wrapText="1"/>
      <protection locked="0"/>
    </xf>
    <xf numFmtId="0" fontId="18" fillId="0" borderId="121" xfId="0" applyFont="1" applyBorder="1" applyAlignment="1" applyProtection="1">
      <alignment horizontal="center" vertical="top" wrapText="1"/>
      <protection locked="0"/>
    </xf>
    <xf numFmtId="0" fontId="18" fillId="0" borderId="74" xfId="0" applyFont="1" applyBorder="1" applyAlignment="1" applyProtection="1">
      <alignment horizontal="center" vertical="top" wrapText="1"/>
      <protection locked="0"/>
    </xf>
    <xf numFmtId="0" fontId="18" fillId="0" borderId="122" xfId="0" applyFont="1" applyBorder="1" applyAlignment="1" applyProtection="1">
      <alignment horizontal="center" vertical="top" wrapText="1"/>
      <protection locked="0"/>
    </xf>
    <xf numFmtId="0" fontId="18" fillId="0" borderId="86" xfId="0" applyFont="1" applyBorder="1" applyAlignment="1" applyProtection="1">
      <alignment horizontal="center" vertical="top" wrapText="1"/>
      <protection locked="0"/>
    </xf>
    <xf numFmtId="0" fontId="18" fillId="0" borderId="93" xfId="0" applyFont="1" applyBorder="1" applyAlignment="1" applyProtection="1">
      <alignment horizontal="center" vertical="top" wrapText="1"/>
      <protection locked="0"/>
    </xf>
    <xf numFmtId="0" fontId="18" fillId="0" borderId="23" xfId="0" applyFont="1" applyBorder="1" applyAlignment="1" applyProtection="1">
      <alignment horizontal="center" vertical="top" wrapText="1"/>
      <protection locked="0"/>
    </xf>
    <xf numFmtId="0" fontId="18" fillId="0" borderId="311" xfId="0" applyFont="1" applyBorder="1" applyAlignment="1" applyProtection="1">
      <alignment horizontal="center" vertical="top" wrapText="1"/>
      <protection locked="0"/>
    </xf>
    <xf numFmtId="0" fontId="18" fillId="0" borderId="300" xfId="0" applyFont="1" applyBorder="1" applyAlignment="1" applyProtection="1">
      <alignment horizontal="center" vertical="top" wrapText="1"/>
      <protection locked="0"/>
    </xf>
    <xf numFmtId="0" fontId="18" fillId="0" borderId="68" xfId="0" applyFont="1" applyBorder="1" applyAlignment="1" applyProtection="1">
      <alignment horizontal="center" vertical="top" wrapText="1"/>
      <protection locked="0"/>
    </xf>
    <xf numFmtId="0" fontId="18" fillId="0" borderId="314" xfId="0" applyFont="1" applyBorder="1" applyAlignment="1" applyProtection="1">
      <alignment horizontal="center" vertical="top" wrapText="1"/>
      <protection locked="0"/>
    </xf>
  </cellXfs>
  <cellStyles count="4">
    <cellStyle name="Hyperlink" xfId="2" builtinId="8"/>
    <cellStyle name="Normal" xfId="0" builtinId="0"/>
    <cellStyle name="Normal 2" xfId="1"/>
    <cellStyle name="Normal 3" xfId="3"/>
  </cellStyles>
  <dxfs count="9221">
    <dxf>
      <alignment textRotation="0" wrapText="1" justifyLastLine="0" shrinkToFit="0" readingOrder="0"/>
    </dxf>
    <dxf>
      <alignment textRotation="0" wrapText="1" justifyLastLine="0" shrinkToFit="0" readingOrder="0"/>
    </dxf>
    <dxf>
      <alignment textRotation="0" wrapText="1" justifyLastLine="0" shrinkToFit="0" readingOrder="0"/>
    </dxf>
    <dxf>
      <alignment textRotation="0" wrapText="1" justifyLastLine="0" shrinkToFit="0" readingOrder="0"/>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patternType="solid">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C00000"/>
        </patternFill>
      </fill>
    </dxf>
    <dxf>
      <fill>
        <patternFill>
          <bgColor rgb="FF92D050"/>
        </patternFill>
      </fill>
    </dxf>
    <dxf>
      <fill>
        <patternFill>
          <bgColor theme="6" tint="0.39994506668294322"/>
        </patternFill>
      </fill>
    </dxf>
    <dxf>
      <fill>
        <patternFill>
          <bgColor theme="6" tint="0.39994506668294322"/>
        </patternFill>
      </fill>
    </dxf>
    <dxf>
      <fill>
        <patternFill>
          <bgColor rgb="FFFFFF00"/>
        </patternFill>
      </fill>
    </dxf>
    <dxf>
      <fill>
        <patternFill>
          <bgColor theme="0"/>
        </patternFill>
      </fill>
    </dxf>
    <dxf>
      <fill>
        <patternFill patternType="solid">
          <bgColor rgb="FFC00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patternType="solid">
          <bgColor rgb="FF92D050"/>
        </patternFill>
      </fill>
    </dxf>
    <dxf>
      <fill>
        <patternFill>
          <bgColor rgb="FFFF0000"/>
        </patternFill>
      </fill>
    </dxf>
    <dxf>
      <fill>
        <patternFill patternType="solid">
          <bgColor theme="0"/>
        </patternFill>
      </fill>
    </dxf>
    <dxf>
      <fill>
        <patternFill>
          <bgColor rgb="FF92D050"/>
        </patternFill>
      </fill>
    </dxf>
    <dxf>
      <fill>
        <patternFill>
          <bgColor rgb="FFFFC000"/>
        </patternFill>
      </fill>
    </dxf>
    <dxf>
      <fill>
        <patternFill>
          <bgColor rgb="FFFFFF00"/>
        </patternFill>
      </fill>
    </dxf>
    <dxf>
      <fill>
        <patternFill patternType="solid">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92D050"/>
        </patternFill>
      </fill>
    </dxf>
    <dxf>
      <fill>
        <patternFill>
          <bgColor rgb="FFFF00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patternType="solid">
          <bgColor rgb="FF92D050"/>
        </patternFill>
      </fill>
    </dxf>
    <dxf>
      <fill>
        <patternFill>
          <bgColor rgb="FFFF0000"/>
        </patternFill>
      </fill>
    </dxf>
    <dxf>
      <fill>
        <patternFill>
          <bgColor theme="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patternType="solid">
          <bgColor rgb="FF92D050"/>
        </patternFill>
      </fill>
    </dxf>
    <dxf>
      <fill>
        <patternFill>
          <bgColor rgb="FFFF00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C000"/>
        </patternFill>
      </fill>
    </dxf>
    <dxf>
      <fill>
        <patternFill patternType="none">
          <bgColor auto="1"/>
        </patternFill>
      </fill>
    </dxf>
    <dxf>
      <fill>
        <patternFill>
          <bgColor rgb="FF92D050"/>
        </patternFill>
      </fill>
    </dxf>
    <dxf>
      <fill>
        <patternFill>
          <bgColor theme="0"/>
        </patternFill>
      </fill>
    </dxf>
    <dxf>
      <fill>
        <patternFill>
          <bgColor rgb="FF92D050"/>
        </patternFill>
      </fill>
    </dxf>
    <dxf>
      <fill>
        <patternFill>
          <bgColor rgb="FFC00000"/>
        </patternFill>
      </fill>
    </dxf>
    <dxf>
      <fill>
        <patternFill>
          <bgColor theme="0"/>
        </patternFill>
      </fill>
    </dxf>
    <dxf>
      <fill>
        <patternFill>
          <bgColor rgb="FF92D050"/>
        </patternFill>
      </fill>
    </dxf>
    <dxf>
      <fill>
        <patternFill>
          <bgColor rgb="FFC000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theme="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theme="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theme="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theme="0"/>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rgb="FFC00000"/>
        </patternFill>
      </fill>
    </dxf>
    <dxf>
      <fill>
        <patternFill patternType="solid">
          <bgColor rgb="FF92D050"/>
        </patternFill>
      </fill>
    </dxf>
    <dxf>
      <fill>
        <patternFill>
          <bgColor rgb="FFFF0000"/>
        </patternFill>
      </fill>
    </dxf>
    <dxf>
      <fill>
        <patternFill patternType="solid">
          <bgColor rgb="FF92D050"/>
        </patternFill>
      </fill>
    </dxf>
    <dxf>
      <fill>
        <patternFill>
          <bgColor rgb="FFFF00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92D050"/>
        </patternFill>
      </fill>
    </dxf>
    <dxf>
      <fill>
        <patternFill>
          <bgColor rgb="FFFF0000"/>
        </patternFill>
      </fill>
    </dxf>
    <dxf>
      <fill>
        <patternFill patternType="solid">
          <bgColor rgb="FF92D050"/>
        </patternFill>
      </fill>
    </dxf>
    <dxf>
      <fill>
        <patternFill>
          <bgColor rgb="FFFF0000"/>
        </patternFill>
      </fill>
    </dxf>
    <dxf>
      <fill>
        <patternFill patternType="solid">
          <bgColor rgb="FF92D050"/>
        </patternFill>
      </fill>
    </dxf>
    <dxf>
      <fill>
        <patternFill>
          <bgColor rgb="FFFF0000"/>
        </patternFill>
      </fill>
    </dxf>
    <dxf>
      <fill>
        <patternFill>
          <bgColor rgb="FFFFC000"/>
        </patternFill>
      </fill>
    </dxf>
    <dxf>
      <fill>
        <patternFill patternType="none">
          <bgColor auto="1"/>
        </patternFill>
      </fill>
    </dxf>
    <dxf>
      <fill>
        <patternFill>
          <bgColor rgb="FF92D05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C00000"/>
        </patternFill>
      </fill>
    </dxf>
    <dxf>
      <fill>
        <patternFill>
          <bgColor theme="0"/>
        </patternFill>
      </fill>
    </dxf>
    <dxf>
      <fill>
        <patternFill>
          <bgColor rgb="FF92D05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0" tint="-4.9989318521683403E-2"/>
        </patternFill>
      </fill>
    </dxf>
    <dxf>
      <fill>
        <patternFill>
          <bgColor rgb="FFFFFF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patternType="none">
          <bgColor auto="1"/>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theme="0"/>
        </patternFill>
      </fill>
    </dxf>
    <dxf>
      <fill>
        <patternFill>
          <bgColor theme="0"/>
        </patternFill>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rgb="FF92D050"/>
        </patternFill>
      </fill>
    </dxf>
    <dxf>
      <fill>
        <patternFill>
          <bgColor theme="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theme="0"/>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0"/>
        </patternFill>
      </fill>
    </dxf>
    <dxf>
      <fill>
        <patternFill>
          <bgColor theme="9" tint="0.39994506668294322"/>
        </patternFill>
      </fill>
    </dxf>
    <dxf>
      <fill>
        <patternFill>
          <bgColor rgb="FF92D050"/>
        </patternFill>
      </fill>
    </dxf>
    <dxf>
      <fill>
        <patternFill>
          <bgColor rgb="FFFFFF00"/>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FFC0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C000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FFFF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theme="0"/>
        </patternFill>
      </fill>
    </dxf>
    <dxf>
      <fill>
        <patternFill patternType="solid">
          <bgColor rgb="FFC0000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patternType="solid">
          <bgColor theme="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bgColor rgb="FFFF0000"/>
        </patternFill>
      </fill>
    </dxf>
    <dxf>
      <fill>
        <patternFill patternType="none">
          <bgColor auto="1"/>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bgColor theme="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rgb="FFFF00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92D050"/>
        </patternFill>
      </fill>
    </dxf>
    <dxf>
      <fill>
        <patternFill>
          <bgColor theme="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bgColor rgb="FFFF000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rgb="FFC00000"/>
        </patternFill>
      </fill>
    </dxf>
    <dxf>
      <fill>
        <patternFill patternType="solid">
          <bgColor theme="0"/>
        </patternFill>
      </fill>
    </dxf>
    <dxf>
      <fill>
        <patternFill>
          <bgColor theme="0"/>
        </patternFill>
      </fill>
    </dxf>
    <dxf>
      <fill>
        <patternFill>
          <bgColor rgb="FF92D050"/>
        </patternFill>
      </fill>
    </dxf>
    <dxf>
      <fill>
        <patternFill>
          <bgColor rgb="FFFF00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patternType="none">
          <bgColor auto="1"/>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bgColor theme="0"/>
        </patternFill>
      </fill>
    </dxf>
    <dxf>
      <fill>
        <patternFill>
          <bgColor rgb="FFFF00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patternType="solid">
          <bgColor rgb="FF92D050"/>
        </patternFill>
      </fill>
    </dxf>
    <dxf>
      <fill>
        <patternFill>
          <bgColor rgb="FFFF0000"/>
        </patternFill>
      </fill>
    </dxf>
    <dxf>
      <fill>
        <patternFill patternType="none">
          <bgColor auto="1"/>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bgColor rgb="FFFF0000"/>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bgColor rgb="FFFF0000"/>
        </patternFill>
      </fill>
    </dxf>
    <dxf>
      <fill>
        <patternFill patternType="none">
          <bgColor auto="1"/>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patternType="solid">
          <bgColor rgb="FF92D050"/>
        </patternFill>
      </fill>
    </dxf>
    <dxf>
      <fill>
        <patternFill>
          <bgColor rgb="FFFF00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patternType="none">
          <bgColor auto="1"/>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theme="0"/>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theme="0"/>
        </patternFill>
      </fill>
    </dxf>
    <dxf>
      <fill>
        <patternFill>
          <bgColor theme="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theme="0"/>
        </patternFill>
      </fill>
    </dxf>
    <dxf>
      <fill>
        <patternFill>
          <bgColor theme="0"/>
        </patternFill>
      </fill>
    </dxf>
    <dxf>
      <fill>
        <patternFill>
          <bgColor rgb="FF92D05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9" tint="0.39994506668294322"/>
        </patternFill>
      </fill>
    </dxf>
    <dxf>
      <fill>
        <patternFill>
          <bgColor rgb="FFFFFF00"/>
        </patternFill>
      </fill>
    </dxf>
    <dxf>
      <fill>
        <patternFill patternType="solid">
          <bgColor rgb="FFFF0000"/>
        </patternFill>
      </fill>
    </dxf>
    <dxf>
      <fill>
        <patternFill patternType="solid">
          <bgColor rgb="FFFF0000"/>
        </patternFill>
      </fill>
    </dxf>
    <dxf>
      <fill>
        <patternFill>
          <bgColor rgb="FF92D05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patternType="solid">
          <bgColor theme="5" tint="0.59996337778862885"/>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FF0000"/>
        </patternFill>
      </fill>
    </dxf>
    <dxf>
      <fill>
        <patternFill patternType="solid">
          <bgColor rgb="FF92D050"/>
        </patternFill>
      </fill>
    </dxf>
    <dxf>
      <fill>
        <patternFill>
          <bgColor rgb="FFFF0000"/>
        </patternFill>
      </fill>
    </dxf>
    <dxf>
      <fill>
        <patternFill patternType="solid">
          <bgColor rgb="FF92D050"/>
        </patternFill>
      </fill>
    </dxf>
    <dxf>
      <fill>
        <patternFill patternType="none">
          <bgColor auto="1"/>
        </patternFill>
      </fill>
    </dxf>
    <dxf>
      <fill>
        <patternFill patternType="solid">
          <bgColor rgb="FFFFFF00"/>
        </patternFill>
      </fill>
    </dxf>
    <dxf>
      <fill>
        <patternFill patternType="none">
          <bgColor auto="1"/>
        </patternFill>
      </fill>
    </dxf>
    <dxf>
      <fill>
        <patternFill>
          <bgColor rgb="FFFF0000"/>
        </patternFill>
      </fill>
    </dxf>
    <dxf>
      <fill>
        <patternFill patternType="solid">
          <bgColor rgb="FF92D050"/>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bgColor rgb="FFFF0000"/>
        </patternFill>
      </fill>
    </dxf>
    <dxf>
      <fill>
        <patternFill patternType="solid">
          <bgColor rgb="FFC00000"/>
        </patternFill>
      </fill>
    </dxf>
    <dxf>
      <fill>
        <patternFill>
          <bgColor rgb="FFFF0000"/>
        </patternFill>
      </fill>
    </dxf>
    <dxf>
      <fill>
        <patternFill patternType="solid">
          <bgColor rgb="FF92D050"/>
        </patternFill>
      </fill>
    </dxf>
    <dxf>
      <fill>
        <patternFill>
          <bgColor rgb="FFFF0000"/>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patternType="solid">
          <bgColor rgb="FFC00000"/>
        </patternFill>
      </fill>
    </dxf>
    <dxf>
      <fill>
        <patternFill patternType="solid">
          <bgColor rgb="FF92D050"/>
        </patternFill>
      </fill>
    </dxf>
    <dxf>
      <fill>
        <patternFill>
          <bgColor rgb="FFFF0000"/>
        </patternFill>
      </fill>
    </dxf>
    <dxf>
      <fill>
        <patternFill patternType="none">
          <bgColor auto="1"/>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theme="0"/>
        </patternFill>
      </fill>
    </dxf>
    <dxf>
      <fill>
        <patternFill patternType="solid">
          <bgColor rgb="FF92D050"/>
        </patternFill>
      </fill>
    </dxf>
    <dxf>
      <fill>
        <patternFill>
          <bgColor rgb="FFFF0000"/>
        </patternFill>
      </fill>
    </dxf>
    <dxf>
      <fill>
        <patternFill patternType="none">
          <bgColor auto="1"/>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theme="6" tint="0.39994506668294322"/>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patternType="none">
          <bgColor auto="1"/>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39994506668294322"/>
        </patternFill>
      </fill>
    </dxf>
    <dxf>
      <fill>
        <patternFill patternType="none">
          <bgColor auto="1"/>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39994506668294322"/>
        </patternFill>
      </fill>
    </dxf>
    <dxf>
      <fill>
        <patternFill>
          <bgColor theme="6" tint="0.39994506668294322"/>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patternType="solid">
          <bgColor theme="0"/>
        </patternFill>
      </fill>
    </dxf>
    <dxf>
      <fill>
        <patternFill>
          <bgColor rgb="FF92D050"/>
        </patternFill>
      </fill>
    </dxf>
    <dxf>
      <fill>
        <patternFill>
          <bgColor theme="9" tint="0.39994506668294322"/>
        </patternFill>
      </fill>
    </dxf>
    <dxf>
      <fill>
        <patternFill>
          <bgColor rgb="FFFFFF0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theme="6" tint="0.39994506668294322"/>
        </patternFill>
      </fill>
    </dxf>
    <dxf>
      <fill>
        <patternFill>
          <bgColor rgb="FF92D050"/>
        </patternFill>
      </fill>
    </dxf>
    <dxf>
      <fill>
        <patternFill>
          <bgColor rgb="FFC0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patternType="none">
          <bgColor auto="1"/>
        </patternFill>
      </fill>
    </dxf>
    <dxf>
      <fill>
        <patternFill>
          <bgColor rgb="FF92D050"/>
        </patternFill>
      </fill>
    </dxf>
    <dxf>
      <fill>
        <patternFill>
          <bgColor rgb="FFFF000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FFC000"/>
        </patternFill>
      </fill>
    </dxf>
    <dxf>
      <fill>
        <patternFill patternType="none">
          <bgColor auto="1"/>
        </patternFill>
      </fill>
    </dxf>
    <dxf>
      <fill>
        <patternFill>
          <bgColor rgb="FF92D050"/>
        </patternFill>
      </fill>
    </dxf>
    <dxf>
      <fill>
        <patternFill>
          <bgColor rgb="FF92D050"/>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patternType="solid">
          <bgColor rgb="FFC000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patternType="solid">
          <bgColor rgb="FFC00000"/>
        </patternFill>
      </fill>
    </dxf>
    <dxf>
      <fill>
        <patternFill>
          <bgColor theme="9" tint="0.39994506668294322"/>
        </patternFill>
      </fill>
    </dxf>
    <dxf>
      <fill>
        <patternFill patternType="solid">
          <bgColor rgb="FFC00000"/>
        </patternFill>
      </fill>
    </dxf>
    <dxf>
      <fill>
        <patternFill>
          <bgColor rgb="FF92D050"/>
        </patternFill>
      </fill>
    </dxf>
    <dxf>
      <fill>
        <patternFill>
          <bgColor rgb="FFFFFF00"/>
        </patternFill>
      </fill>
    </dxf>
    <dxf>
      <fill>
        <patternFill>
          <bgColor theme="9" tint="0.39994506668294322"/>
        </patternFill>
      </fill>
    </dxf>
    <dxf>
      <fill>
        <patternFill>
          <bgColor rgb="FF92D050"/>
        </patternFill>
      </fill>
    </dxf>
  </dxfs>
  <tableStyles count="0" defaultTableStyle="TableStyleMedium9" defaultPivotStyle="PivotStyleLight16"/>
  <colors>
    <mruColors>
      <color rgb="FFFFC7CE"/>
      <color rgb="FF0000FF"/>
      <color rgb="FFFFCCCC"/>
      <color rgb="FFE329DF"/>
      <color rgb="FFFFCC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jpeg"/><Relationship Id="rId2" Type="http://schemas.openxmlformats.org/officeDocument/2006/relationships/image" Target="cid:part1.FJaQpsbM.Q0aZgW3v@gmail.com" TargetMode="External"/><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3.jpe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3.jpe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3.jpe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13.jpe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jpe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1914526</xdr:colOff>
      <xdr:row>14</xdr:row>
      <xdr:rowOff>141969</xdr:rowOff>
    </xdr:from>
    <xdr:to>
      <xdr:col>34</xdr:col>
      <xdr:colOff>247650</xdr:colOff>
      <xdr:row>41</xdr:row>
      <xdr:rowOff>104773</xdr:rowOff>
    </xdr:to>
    <xdr:pic>
      <xdr:nvPicPr>
        <xdr:cNvPr id="52" name="Picture 51" descr="cid:part1.FJaQpsbM.Q0aZgW3v@gmail.com">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914526" y="5780769"/>
          <a:ext cx="21469349" cy="4334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1441450</xdr:colOff>
      <xdr:row>12</xdr:row>
      <xdr:rowOff>101600</xdr:rowOff>
    </xdr:from>
    <xdr:to>
      <xdr:col>0</xdr:col>
      <xdr:colOff>3028950</xdr:colOff>
      <xdr:row>16</xdr:row>
      <xdr:rowOff>57150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41450" y="4076700"/>
          <a:ext cx="1587500" cy="6159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Title - Master Reference Source + Navigation Authorisation</a:t>
          </a:r>
        </a:p>
      </xdr:txBody>
    </xdr:sp>
    <xdr:clientData/>
  </xdr:twoCellAnchor>
  <xdr:oneCellAnchor>
    <xdr:from>
      <xdr:col>3</xdr:col>
      <xdr:colOff>177800</xdr:colOff>
      <xdr:row>8</xdr:row>
      <xdr:rowOff>82550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448550" y="31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0</xdr:col>
      <xdr:colOff>171450</xdr:colOff>
      <xdr:row>20</xdr:row>
      <xdr:rowOff>53975</xdr:rowOff>
    </xdr:from>
    <xdr:to>
      <xdr:col>0</xdr:col>
      <xdr:colOff>1479550</xdr:colOff>
      <xdr:row>24</xdr:row>
      <xdr:rowOff>9525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71450" y="6664325"/>
          <a:ext cx="1308100" cy="6032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Master Reference Source - Specific Reference link</a:t>
          </a:r>
        </a:p>
      </xdr:txBody>
    </xdr:sp>
    <xdr:clientData/>
  </xdr:twoCellAnchor>
  <xdr:twoCellAnchor>
    <xdr:from>
      <xdr:col>0</xdr:col>
      <xdr:colOff>3492500</xdr:colOff>
      <xdr:row>45</xdr:row>
      <xdr:rowOff>111125</xdr:rowOff>
    </xdr:from>
    <xdr:to>
      <xdr:col>0</xdr:col>
      <xdr:colOff>4870450</xdr:colOff>
      <xdr:row>49</xdr:row>
      <xdr:rowOff>38100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492500" y="10769600"/>
          <a:ext cx="1377950" cy="5746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Compliance requirements</a:t>
          </a:r>
        </a:p>
      </xdr:txBody>
    </xdr:sp>
    <xdr:clientData/>
  </xdr:twoCellAnchor>
  <xdr:twoCellAnchor>
    <xdr:from>
      <xdr:col>0</xdr:col>
      <xdr:colOff>5080000</xdr:colOff>
      <xdr:row>12</xdr:row>
      <xdr:rowOff>85725</xdr:rowOff>
    </xdr:from>
    <xdr:to>
      <xdr:col>2</xdr:col>
      <xdr:colOff>212725</xdr:colOff>
      <xdr:row>17</xdr:row>
      <xdr:rowOff>79375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080000" y="5400675"/>
          <a:ext cx="1200150" cy="8032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Initial Compliance assessment undertaken by MAO </a:t>
          </a:r>
        </a:p>
      </xdr:txBody>
    </xdr:sp>
    <xdr:clientData/>
  </xdr:twoCellAnchor>
  <xdr:twoCellAnchor>
    <xdr:from>
      <xdr:col>8</xdr:col>
      <xdr:colOff>228600</xdr:colOff>
      <xdr:row>25</xdr:row>
      <xdr:rowOff>130175</xdr:rowOff>
    </xdr:from>
    <xdr:to>
      <xdr:col>10</xdr:col>
      <xdr:colOff>323850</xdr:colOff>
      <xdr:row>30</xdr:row>
      <xdr:rowOff>123825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9496425" y="7550150"/>
          <a:ext cx="1162050" cy="8032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Any further explanatory notes provided by the MAO</a:t>
          </a:r>
        </a:p>
      </xdr:txBody>
    </xdr:sp>
    <xdr:clientData/>
  </xdr:twoCellAnchor>
  <xdr:twoCellAnchor>
    <xdr:from>
      <xdr:col>4</xdr:col>
      <xdr:colOff>196850</xdr:colOff>
      <xdr:row>44</xdr:row>
      <xdr:rowOff>50800</xdr:rowOff>
    </xdr:from>
    <xdr:to>
      <xdr:col>10</xdr:col>
      <xdr:colOff>133350</xdr:colOff>
      <xdr:row>48</xdr:row>
      <xdr:rowOff>120650</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7331075" y="10547350"/>
          <a:ext cx="3136900" cy="7175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Compliance Assessment Options are tailored to the stage of the approval process and are coloured coded for quick reference</a:t>
          </a:r>
        </a:p>
      </xdr:txBody>
    </xdr:sp>
    <xdr:clientData/>
  </xdr:twoCellAnchor>
  <xdr:twoCellAnchor>
    <xdr:from>
      <xdr:col>2</xdr:col>
      <xdr:colOff>238125</xdr:colOff>
      <xdr:row>25</xdr:row>
      <xdr:rowOff>139700</xdr:rowOff>
    </xdr:from>
    <xdr:to>
      <xdr:col>5</xdr:col>
      <xdr:colOff>219075</xdr:colOff>
      <xdr:row>30</xdr:row>
      <xdr:rowOff>95250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6305550" y="7559675"/>
          <a:ext cx="1581150" cy="7651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Summary  of MAO evidence leading to their initial assessment</a:t>
          </a:r>
        </a:p>
      </xdr:txBody>
    </xdr:sp>
    <xdr:clientData/>
  </xdr:twoCellAnchor>
  <xdr:twoCellAnchor>
    <xdr:from>
      <xdr:col>18</xdr:col>
      <xdr:colOff>95250</xdr:colOff>
      <xdr:row>25</xdr:row>
      <xdr:rowOff>142875</xdr:rowOff>
    </xdr:from>
    <xdr:to>
      <xdr:col>23</xdr:col>
      <xdr:colOff>57150</xdr:colOff>
      <xdr:row>30</xdr:row>
      <xdr:rowOff>123825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14697075" y="7562850"/>
          <a:ext cx="2628900" cy="7905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Final supporting comments by MAO - required where equivalency rather than compliance is argued</a:t>
          </a:r>
        </a:p>
      </xdr:txBody>
    </xdr:sp>
    <xdr:clientData/>
  </xdr:twoCellAnchor>
  <xdr:twoCellAnchor>
    <xdr:from>
      <xdr:col>28</xdr:col>
      <xdr:colOff>342900</xdr:colOff>
      <xdr:row>25</xdr:row>
      <xdr:rowOff>38100</xdr:rowOff>
    </xdr:from>
    <xdr:to>
      <xdr:col>33</xdr:col>
      <xdr:colOff>361950</xdr:colOff>
      <xdr:row>31</xdr:row>
      <xdr:rowOff>63500</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0278725" y="7458075"/>
          <a:ext cx="2686050" cy="9969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Final review comments by DASA</a:t>
          </a:r>
        </a:p>
        <a:p>
          <a:pPr marL="0" indent="0"/>
          <a:r>
            <a:rPr lang="en-AU" sz="1100">
              <a:solidFill>
                <a:schemeClr val="dk1"/>
              </a:solidFill>
              <a:latin typeface="+mn-lt"/>
              <a:ea typeface="+mn-ea"/>
              <a:cs typeface="+mn-cs"/>
            </a:rPr>
            <a:t>Identification of changes to OPSPEC, etc if approved</a:t>
          </a:r>
        </a:p>
        <a:p>
          <a:pPr marL="0" indent="0"/>
          <a:r>
            <a:rPr lang="en-AU" sz="1100">
              <a:solidFill>
                <a:schemeClr val="dk1"/>
              </a:solidFill>
              <a:latin typeface="+mn-lt"/>
              <a:ea typeface="+mn-ea"/>
              <a:cs typeface="+mn-cs"/>
            </a:rPr>
            <a:t>Identification of further MAO actions required if NOT Approved</a:t>
          </a:r>
        </a:p>
      </xdr:txBody>
    </xdr:sp>
    <xdr:clientData/>
  </xdr:twoCellAnchor>
  <xdr:twoCellAnchor>
    <xdr:from>
      <xdr:col>0</xdr:col>
      <xdr:colOff>1987550</xdr:colOff>
      <xdr:row>16</xdr:row>
      <xdr:rowOff>107951</xdr:rowOff>
    </xdr:from>
    <xdr:to>
      <xdr:col>0</xdr:col>
      <xdr:colOff>2152650</xdr:colOff>
      <xdr:row>19</xdr:row>
      <xdr:rowOff>19051</xdr:rowOff>
    </xdr:to>
    <xdr:sp macro="" textlink="">
      <xdr:nvSpPr>
        <xdr:cNvPr id="18" name="Arrow: Down 17">
          <a:extLst>
            <a:ext uri="{FF2B5EF4-FFF2-40B4-BE49-F238E27FC236}">
              <a16:creationId xmlns:a16="http://schemas.microsoft.com/office/drawing/2014/main" id="{00000000-0008-0000-0000-000012000000}"/>
            </a:ext>
          </a:extLst>
        </xdr:cNvPr>
        <xdr:cNvSpPr/>
      </xdr:nvSpPr>
      <xdr:spPr>
        <a:xfrm>
          <a:off x="1987550" y="4743451"/>
          <a:ext cx="165100" cy="406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5384800</xdr:colOff>
      <xdr:row>17</xdr:row>
      <xdr:rowOff>82550</xdr:rowOff>
    </xdr:from>
    <xdr:to>
      <xdr:col>0</xdr:col>
      <xdr:colOff>5467350</xdr:colOff>
      <xdr:row>34</xdr:row>
      <xdr:rowOff>123825</xdr:rowOff>
    </xdr:to>
    <xdr:sp macro="" textlink="">
      <xdr:nvSpPr>
        <xdr:cNvPr id="19" name="Arrow: Down 18">
          <a:extLst>
            <a:ext uri="{FF2B5EF4-FFF2-40B4-BE49-F238E27FC236}">
              <a16:creationId xmlns:a16="http://schemas.microsoft.com/office/drawing/2014/main" id="{00000000-0008-0000-0000-000013000000}"/>
            </a:ext>
          </a:extLst>
        </xdr:cNvPr>
        <xdr:cNvSpPr/>
      </xdr:nvSpPr>
      <xdr:spPr>
        <a:xfrm>
          <a:off x="5384800" y="6207125"/>
          <a:ext cx="82550" cy="27940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69850</xdr:colOff>
      <xdr:row>42</xdr:row>
      <xdr:rowOff>53976</xdr:rowOff>
    </xdr:from>
    <xdr:to>
      <xdr:col>1</xdr:col>
      <xdr:colOff>234950</xdr:colOff>
      <xdr:row>44</xdr:row>
      <xdr:rowOff>130176</xdr:rowOff>
    </xdr:to>
    <xdr:sp macro="" textlink="">
      <xdr:nvSpPr>
        <xdr:cNvPr id="20" name="Arrow: Down 19">
          <a:extLst>
            <a:ext uri="{FF2B5EF4-FFF2-40B4-BE49-F238E27FC236}">
              <a16:creationId xmlns:a16="http://schemas.microsoft.com/office/drawing/2014/main" id="{00000000-0008-0000-0000-000014000000}"/>
            </a:ext>
          </a:extLst>
        </xdr:cNvPr>
        <xdr:cNvSpPr/>
      </xdr:nvSpPr>
      <xdr:spPr>
        <a:xfrm rot="10800000">
          <a:off x="5603875" y="10226676"/>
          <a:ext cx="165100"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16</xdr:col>
      <xdr:colOff>127000</xdr:colOff>
      <xdr:row>42</xdr:row>
      <xdr:rowOff>104776</xdr:rowOff>
    </xdr:from>
    <xdr:to>
      <xdr:col>16</xdr:col>
      <xdr:colOff>292100</xdr:colOff>
      <xdr:row>45</xdr:row>
      <xdr:rowOff>19051</xdr:rowOff>
    </xdr:to>
    <xdr:sp macro="" textlink="">
      <xdr:nvSpPr>
        <xdr:cNvPr id="21" name="Arrow: Down 20">
          <a:extLst>
            <a:ext uri="{FF2B5EF4-FFF2-40B4-BE49-F238E27FC236}">
              <a16:creationId xmlns:a16="http://schemas.microsoft.com/office/drawing/2014/main" id="{00000000-0008-0000-0000-000015000000}"/>
            </a:ext>
          </a:extLst>
        </xdr:cNvPr>
        <xdr:cNvSpPr/>
      </xdr:nvSpPr>
      <xdr:spPr>
        <a:xfrm rot="10800000">
          <a:off x="13662025" y="10277476"/>
          <a:ext cx="165100"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26</xdr:col>
      <xdr:colOff>460375</xdr:colOff>
      <xdr:row>42</xdr:row>
      <xdr:rowOff>82551</xdr:rowOff>
    </xdr:from>
    <xdr:to>
      <xdr:col>27</xdr:col>
      <xdr:colOff>92075</xdr:colOff>
      <xdr:row>44</xdr:row>
      <xdr:rowOff>158751</xdr:rowOff>
    </xdr:to>
    <xdr:sp macro="" textlink="">
      <xdr:nvSpPr>
        <xdr:cNvPr id="22" name="Arrow: Down 21">
          <a:extLst>
            <a:ext uri="{FF2B5EF4-FFF2-40B4-BE49-F238E27FC236}">
              <a16:creationId xmlns:a16="http://schemas.microsoft.com/office/drawing/2014/main" id="{00000000-0008-0000-0000-000016000000}"/>
            </a:ext>
          </a:extLst>
        </xdr:cNvPr>
        <xdr:cNvSpPr/>
      </xdr:nvSpPr>
      <xdr:spPr>
        <a:xfrm rot="10800000">
          <a:off x="19329400" y="10255251"/>
          <a:ext cx="165100"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1482725</xdr:colOff>
      <xdr:row>21</xdr:row>
      <xdr:rowOff>117476</xdr:rowOff>
    </xdr:from>
    <xdr:to>
      <xdr:col>0</xdr:col>
      <xdr:colOff>1889125</xdr:colOff>
      <xdr:row>22</xdr:row>
      <xdr:rowOff>117476</xdr:rowOff>
    </xdr:to>
    <xdr:sp macro="" textlink="">
      <xdr:nvSpPr>
        <xdr:cNvPr id="23" name="Arrow: Down 22">
          <a:extLst>
            <a:ext uri="{FF2B5EF4-FFF2-40B4-BE49-F238E27FC236}">
              <a16:creationId xmlns:a16="http://schemas.microsoft.com/office/drawing/2014/main" id="{00000000-0008-0000-0000-000017000000}"/>
            </a:ext>
          </a:extLst>
        </xdr:cNvPr>
        <xdr:cNvSpPr/>
      </xdr:nvSpPr>
      <xdr:spPr>
        <a:xfrm rot="16200000">
          <a:off x="1604962" y="6767514"/>
          <a:ext cx="161925" cy="406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3968750</xdr:colOff>
      <xdr:row>42</xdr:row>
      <xdr:rowOff>47625</xdr:rowOff>
    </xdr:from>
    <xdr:to>
      <xdr:col>0</xdr:col>
      <xdr:colOff>4133850</xdr:colOff>
      <xdr:row>44</xdr:row>
      <xdr:rowOff>123825</xdr:rowOff>
    </xdr:to>
    <xdr:sp macro="" textlink="">
      <xdr:nvSpPr>
        <xdr:cNvPr id="24" name="Arrow: Down 23">
          <a:extLst>
            <a:ext uri="{FF2B5EF4-FFF2-40B4-BE49-F238E27FC236}">
              <a16:creationId xmlns:a16="http://schemas.microsoft.com/office/drawing/2014/main" id="{00000000-0008-0000-0000-000018000000}"/>
            </a:ext>
          </a:extLst>
        </xdr:cNvPr>
        <xdr:cNvSpPr/>
      </xdr:nvSpPr>
      <xdr:spPr>
        <a:xfrm rot="10800000">
          <a:off x="3968750" y="10220325"/>
          <a:ext cx="165100"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222082</xdr:colOff>
      <xdr:row>51</xdr:row>
      <xdr:rowOff>24755</xdr:rowOff>
    </xdr:from>
    <xdr:to>
      <xdr:col>6</xdr:col>
      <xdr:colOff>38532</xdr:colOff>
      <xdr:row>52</xdr:row>
      <xdr:rowOff>32648</xdr:rowOff>
    </xdr:to>
    <xdr:sp macro="" textlink="">
      <xdr:nvSpPr>
        <xdr:cNvPr id="25" name="Arrow: Down 24">
          <a:extLst>
            <a:ext uri="{FF2B5EF4-FFF2-40B4-BE49-F238E27FC236}">
              <a16:creationId xmlns:a16="http://schemas.microsoft.com/office/drawing/2014/main" id="{00000000-0008-0000-0000-000019000000}"/>
            </a:ext>
          </a:extLst>
        </xdr:cNvPr>
        <xdr:cNvSpPr/>
      </xdr:nvSpPr>
      <xdr:spPr>
        <a:xfrm rot="3736547">
          <a:off x="7446323" y="11031364"/>
          <a:ext cx="169818" cy="14166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507213</xdr:colOff>
      <xdr:row>50</xdr:row>
      <xdr:rowOff>87658</xdr:rowOff>
    </xdr:from>
    <xdr:to>
      <xdr:col>10</xdr:col>
      <xdr:colOff>285893</xdr:colOff>
      <xdr:row>51</xdr:row>
      <xdr:rowOff>118251</xdr:rowOff>
    </xdr:to>
    <xdr:sp macro="" textlink="">
      <xdr:nvSpPr>
        <xdr:cNvPr id="26" name="Arrow: Down 25">
          <a:extLst>
            <a:ext uri="{FF2B5EF4-FFF2-40B4-BE49-F238E27FC236}">
              <a16:creationId xmlns:a16="http://schemas.microsoft.com/office/drawing/2014/main" id="{00000000-0008-0000-0000-00001A000000}"/>
            </a:ext>
          </a:extLst>
        </xdr:cNvPr>
        <xdr:cNvSpPr/>
      </xdr:nvSpPr>
      <xdr:spPr>
        <a:xfrm rot="17696750">
          <a:off x="9834819" y="10962577"/>
          <a:ext cx="192518" cy="137888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323850</xdr:colOff>
      <xdr:row>46</xdr:row>
      <xdr:rowOff>76200</xdr:rowOff>
    </xdr:from>
    <xdr:to>
      <xdr:col>0</xdr:col>
      <xdr:colOff>2552700</xdr:colOff>
      <xdr:row>54</xdr:row>
      <xdr:rowOff>133350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23850" y="9664700"/>
          <a:ext cx="2228850" cy="13779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Steps are colour coded -</a:t>
          </a:r>
        </a:p>
        <a:p>
          <a:pPr marL="0" indent="0"/>
          <a:r>
            <a:rPr lang="en-AU" sz="1100">
              <a:solidFill>
                <a:schemeClr val="dk1"/>
              </a:solidFill>
              <a:latin typeface="+mn-lt"/>
              <a:ea typeface="+mn-ea"/>
              <a:cs typeface="+mn-cs"/>
            </a:rPr>
            <a:t>Pink - Initial State</a:t>
          </a:r>
        </a:p>
        <a:p>
          <a:pPr marL="0" indent="0"/>
          <a:r>
            <a:rPr lang="en-AU" sz="1100">
              <a:solidFill>
                <a:schemeClr val="dk1"/>
              </a:solidFill>
              <a:latin typeface="+mn-lt"/>
              <a:ea typeface="+mn-ea"/>
              <a:cs typeface="+mn-cs"/>
            </a:rPr>
            <a:t>Green - OK</a:t>
          </a:r>
        </a:p>
        <a:p>
          <a:pPr marL="0" indent="0"/>
          <a:r>
            <a:rPr lang="en-AU" sz="1100">
              <a:solidFill>
                <a:schemeClr val="dk1"/>
              </a:solidFill>
              <a:latin typeface="+mn-lt"/>
              <a:ea typeface="+mn-ea"/>
              <a:cs typeface="+mn-cs"/>
            </a:rPr>
            <a:t>White - Not required</a:t>
          </a:r>
        </a:p>
        <a:p>
          <a:pPr marL="0" indent="0"/>
          <a:r>
            <a:rPr lang="en-AU" sz="1100">
              <a:solidFill>
                <a:schemeClr val="dk1"/>
              </a:solidFill>
              <a:latin typeface="+mn-lt"/>
              <a:ea typeface="+mn-ea"/>
              <a:cs typeface="+mn-cs"/>
            </a:rPr>
            <a:t>Amber - Needs Entry</a:t>
          </a:r>
        </a:p>
        <a:p>
          <a:pPr marL="0" indent="0"/>
          <a:r>
            <a:rPr lang="en-AU" sz="1100">
              <a:solidFill>
                <a:schemeClr val="dk1"/>
              </a:solidFill>
              <a:latin typeface="+mn-lt"/>
              <a:ea typeface="+mn-ea"/>
              <a:cs typeface="+mn-cs"/>
            </a:rPr>
            <a:t>Yellow - Something is not right</a:t>
          </a:r>
        </a:p>
        <a:p>
          <a:pPr marL="0" indent="0"/>
          <a:r>
            <a:rPr lang="en-AU" sz="1100">
              <a:solidFill>
                <a:schemeClr val="dk1"/>
              </a:solidFill>
              <a:latin typeface="+mn-lt"/>
              <a:ea typeface="+mn-ea"/>
              <a:cs typeface="+mn-cs"/>
            </a:rPr>
            <a:t>Red - Too many options selected</a:t>
          </a:r>
        </a:p>
      </xdr:txBody>
    </xdr:sp>
    <xdr:clientData/>
  </xdr:twoCellAnchor>
  <xdr:twoCellAnchor>
    <xdr:from>
      <xdr:col>0</xdr:col>
      <xdr:colOff>1204726</xdr:colOff>
      <xdr:row>43</xdr:row>
      <xdr:rowOff>26498</xdr:rowOff>
    </xdr:from>
    <xdr:to>
      <xdr:col>0</xdr:col>
      <xdr:colOff>2735076</xdr:colOff>
      <xdr:row>44</xdr:row>
      <xdr:rowOff>5978</xdr:rowOff>
    </xdr:to>
    <xdr:sp macro="" textlink="">
      <xdr:nvSpPr>
        <xdr:cNvPr id="38" name="Arrow: Down 37">
          <a:extLst>
            <a:ext uri="{FF2B5EF4-FFF2-40B4-BE49-F238E27FC236}">
              <a16:creationId xmlns:a16="http://schemas.microsoft.com/office/drawing/2014/main" id="{00000000-0008-0000-0000-000026000000}"/>
            </a:ext>
          </a:extLst>
        </xdr:cNvPr>
        <xdr:cNvSpPr/>
      </xdr:nvSpPr>
      <xdr:spPr>
        <a:xfrm rot="14079215">
          <a:off x="1899198" y="9666651"/>
          <a:ext cx="141405" cy="15303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165662</xdr:colOff>
      <xdr:row>21</xdr:row>
      <xdr:rowOff>49278</xdr:rowOff>
    </xdr:from>
    <xdr:to>
      <xdr:col>6</xdr:col>
      <xdr:colOff>524936</xdr:colOff>
      <xdr:row>22</xdr:row>
      <xdr:rowOff>118573</xdr:rowOff>
    </xdr:to>
    <xdr:sp macro="" textlink="">
      <xdr:nvSpPr>
        <xdr:cNvPr id="41" name="Arrow: Down 40">
          <a:extLst>
            <a:ext uri="{FF2B5EF4-FFF2-40B4-BE49-F238E27FC236}">
              <a16:creationId xmlns:a16="http://schemas.microsoft.com/office/drawing/2014/main" id="{00000000-0008-0000-0000-000029000000}"/>
            </a:ext>
          </a:extLst>
        </xdr:cNvPr>
        <xdr:cNvSpPr/>
      </xdr:nvSpPr>
      <xdr:spPr>
        <a:xfrm rot="3371398" flipH="1">
          <a:off x="7097214" y="5424026"/>
          <a:ext cx="231220" cy="3026274"/>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5108576</xdr:colOff>
      <xdr:row>45</xdr:row>
      <xdr:rowOff>98426</xdr:rowOff>
    </xdr:from>
    <xdr:to>
      <xdr:col>2</xdr:col>
      <xdr:colOff>419101</xdr:colOff>
      <xdr:row>48</xdr:row>
      <xdr:rowOff>73025</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3"/>
        <a:srcRect b="76030"/>
        <a:stretch/>
      </xdr:blipFill>
      <xdr:spPr>
        <a:xfrm>
          <a:off x="5108576" y="10756901"/>
          <a:ext cx="1377950" cy="460374"/>
        </a:xfrm>
        <a:prstGeom prst="rect">
          <a:avLst/>
        </a:prstGeom>
      </xdr:spPr>
    </xdr:pic>
    <xdr:clientData/>
  </xdr:twoCellAnchor>
  <xdr:twoCellAnchor editAs="oneCell">
    <xdr:from>
      <xdr:col>25</xdr:col>
      <xdr:colOff>223185</xdr:colOff>
      <xdr:row>45</xdr:row>
      <xdr:rowOff>12701</xdr:rowOff>
    </xdr:from>
    <xdr:to>
      <xdr:col>28</xdr:col>
      <xdr:colOff>387769</xdr:colOff>
      <xdr:row>47</xdr:row>
      <xdr:rowOff>95251</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4"/>
        <a:srcRect b="70326"/>
        <a:stretch/>
      </xdr:blipFill>
      <xdr:spPr>
        <a:xfrm>
          <a:off x="18558810" y="10671176"/>
          <a:ext cx="1764784" cy="406400"/>
        </a:xfrm>
        <a:prstGeom prst="rect">
          <a:avLst/>
        </a:prstGeom>
      </xdr:spPr>
    </xdr:pic>
    <xdr:clientData/>
  </xdr:twoCellAnchor>
  <xdr:twoCellAnchor editAs="oneCell">
    <xdr:from>
      <xdr:col>15</xdr:col>
      <xdr:colOff>111125</xdr:colOff>
      <xdr:row>45</xdr:row>
      <xdr:rowOff>111126</xdr:rowOff>
    </xdr:from>
    <xdr:to>
      <xdr:col>18</xdr:col>
      <xdr:colOff>125396</xdr:colOff>
      <xdr:row>48</xdr:row>
      <xdr:rowOff>34926</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5"/>
        <a:srcRect b="65271"/>
        <a:stretch/>
      </xdr:blipFill>
      <xdr:spPr>
        <a:xfrm>
          <a:off x="13112750" y="10769601"/>
          <a:ext cx="1614471" cy="409575"/>
        </a:xfrm>
        <a:prstGeom prst="rect">
          <a:avLst/>
        </a:prstGeom>
      </xdr:spPr>
    </xdr:pic>
    <xdr:clientData/>
  </xdr:twoCellAnchor>
  <xdr:twoCellAnchor editAs="oneCell">
    <xdr:from>
      <xdr:col>10</xdr:col>
      <xdr:colOff>352425</xdr:colOff>
      <xdr:row>45</xdr:row>
      <xdr:rowOff>111125</xdr:rowOff>
    </xdr:from>
    <xdr:to>
      <xdr:col>13</xdr:col>
      <xdr:colOff>498846</xdr:colOff>
      <xdr:row>48</xdr:row>
      <xdr:rowOff>85725</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6"/>
        <a:srcRect b="72993"/>
        <a:stretch/>
      </xdr:blipFill>
      <xdr:spPr>
        <a:xfrm>
          <a:off x="10687050" y="10769600"/>
          <a:ext cx="1746621" cy="460375"/>
        </a:xfrm>
        <a:prstGeom prst="rect">
          <a:avLst/>
        </a:prstGeom>
      </xdr:spPr>
    </xdr:pic>
    <xdr:clientData/>
  </xdr:twoCellAnchor>
  <xdr:twoCellAnchor>
    <xdr:from>
      <xdr:col>0</xdr:col>
      <xdr:colOff>3371850</xdr:colOff>
      <xdr:row>12</xdr:row>
      <xdr:rowOff>88900</xdr:rowOff>
    </xdr:from>
    <xdr:to>
      <xdr:col>0</xdr:col>
      <xdr:colOff>4883150</xdr:colOff>
      <xdr:row>17</xdr:row>
      <xdr:rowOff>19050</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3371850" y="5403850"/>
          <a:ext cx="1511300" cy="7397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References hidden by default - unhide if required - not required for review</a:t>
          </a:r>
        </a:p>
      </xdr:txBody>
    </xdr:sp>
    <xdr:clientData/>
  </xdr:twoCellAnchor>
  <xdr:twoCellAnchor>
    <xdr:from>
      <xdr:col>0</xdr:col>
      <xdr:colOff>1728832</xdr:colOff>
      <xdr:row>20</xdr:row>
      <xdr:rowOff>129295</xdr:rowOff>
    </xdr:from>
    <xdr:to>
      <xdr:col>0</xdr:col>
      <xdr:colOff>4227594</xdr:colOff>
      <xdr:row>21</xdr:row>
      <xdr:rowOff>58824</xdr:rowOff>
    </xdr:to>
    <xdr:sp macro="" textlink="">
      <xdr:nvSpPr>
        <xdr:cNvPr id="51" name="Arrow: Down 50">
          <a:extLst>
            <a:ext uri="{FF2B5EF4-FFF2-40B4-BE49-F238E27FC236}">
              <a16:creationId xmlns:a16="http://schemas.microsoft.com/office/drawing/2014/main" id="{00000000-0008-0000-0000-000033000000}"/>
            </a:ext>
          </a:extLst>
        </xdr:cNvPr>
        <xdr:cNvSpPr/>
      </xdr:nvSpPr>
      <xdr:spPr>
        <a:xfrm rot="3725862">
          <a:off x="2932486" y="5535991"/>
          <a:ext cx="91454" cy="2498762"/>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515872</xdr:colOff>
      <xdr:row>16</xdr:row>
      <xdr:rowOff>39035</xdr:rowOff>
    </xdr:from>
    <xdr:to>
      <xdr:col>10</xdr:col>
      <xdr:colOff>159183</xdr:colOff>
      <xdr:row>27</xdr:row>
      <xdr:rowOff>58363</xdr:rowOff>
    </xdr:to>
    <xdr:sp macro="" textlink="">
      <xdr:nvSpPr>
        <xdr:cNvPr id="42" name="Arrow: Down 41">
          <a:extLst>
            <a:ext uri="{FF2B5EF4-FFF2-40B4-BE49-F238E27FC236}">
              <a16:creationId xmlns:a16="http://schemas.microsoft.com/office/drawing/2014/main" id="{00000000-0008-0000-0000-00002A000000}"/>
            </a:ext>
          </a:extLst>
        </xdr:cNvPr>
        <xdr:cNvSpPr/>
      </xdr:nvSpPr>
      <xdr:spPr>
        <a:xfrm rot="19625402">
          <a:off x="10317097" y="6001685"/>
          <a:ext cx="176711" cy="1800503"/>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15875</xdr:colOff>
      <xdr:row>29</xdr:row>
      <xdr:rowOff>57150</xdr:rowOff>
    </xdr:from>
    <xdr:to>
      <xdr:col>0</xdr:col>
      <xdr:colOff>1870075</xdr:colOff>
      <xdr:row>36</xdr:row>
      <xdr:rowOff>123825</xdr:rowOff>
    </xdr:to>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15875" y="8124825"/>
          <a:ext cx="1854200" cy="12001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Subsections for Aircraft Eligibility/Initial Airworthiness</a:t>
          </a:r>
        </a:p>
        <a:p>
          <a:pPr marL="0" indent="0"/>
          <a:r>
            <a:rPr lang="en-AU" sz="1100">
              <a:solidFill>
                <a:schemeClr val="dk1"/>
              </a:solidFill>
              <a:latin typeface="+mn-lt"/>
              <a:ea typeface="+mn-ea"/>
              <a:cs typeface="+mn-cs"/>
            </a:rPr>
            <a:t>Continuing Airworthiness</a:t>
          </a:r>
        </a:p>
        <a:p>
          <a:pPr marL="0" indent="0"/>
          <a:r>
            <a:rPr lang="en-AU" sz="1100">
              <a:solidFill>
                <a:schemeClr val="dk1"/>
              </a:solidFill>
              <a:latin typeface="+mn-lt"/>
              <a:ea typeface="+mn-ea"/>
              <a:cs typeface="+mn-cs"/>
            </a:rPr>
            <a:t>Flt Ops Op Standards</a:t>
          </a:r>
        </a:p>
        <a:p>
          <a:pPr marL="0" indent="0"/>
          <a:r>
            <a:rPr lang="en-AU" sz="1100">
              <a:solidFill>
                <a:schemeClr val="dk1"/>
              </a:solidFill>
              <a:latin typeface="+mn-lt"/>
              <a:ea typeface="+mn-ea"/>
              <a:cs typeface="+mn-cs"/>
            </a:rPr>
            <a:t>Flt Ops Training</a:t>
          </a:r>
        </a:p>
      </xdr:txBody>
    </xdr:sp>
    <xdr:clientData/>
  </xdr:twoCellAnchor>
  <xdr:twoCellAnchor>
    <xdr:from>
      <xdr:col>12</xdr:col>
      <xdr:colOff>139700</xdr:colOff>
      <xdr:row>12</xdr:row>
      <xdr:rowOff>133350</xdr:rowOff>
    </xdr:from>
    <xdr:to>
      <xdr:col>14</xdr:col>
      <xdr:colOff>273050</xdr:colOff>
      <xdr:row>17</xdr:row>
      <xdr:rowOff>127000</xdr:rowOff>
    </xdr:to>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12439650" y="4108450"/>
          <a:ext cx="1250950" cy="8191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Initial Compliance assessment undertaken by DASA </a:t>
          </a:r>
        </a:p>
      </xdr:txBody>
    </xdr:sp>
    <xdr:clientData/>
  </xdr:twoCellAnchor>
  <xdr:twoCellAnchor>
    <xdr:from>
      <xdr:col>13</xdr:col>
      <xdr:colOff>120650</xdr:colOff>
      <xdr:row>18</xdr:row>
      <xdr:rowOff>25400</xdr:rowOff>
    </xdr:from>
    <xdr:to>
      <xdr:col>13</xdr:col>
      <xdr:colOff>266700</xdr:colOff>
      <xdr:row>26</xdr:row>
      <xdr:rowOff>31749</xdr:rowOff>
    </xdr:to>
    <xdr:sp macro="" textlink="">
      <xdr:nvSpPr>
        <xdr:cNvPr id="55" name="Arrow: Down 54">
          <a:extLst>
            <a:ext uri="{FF2B5EF4-FFF2-40B4-BE49-F238E27FC236}">
              <a16:creationId xmlns:a16="http://schemas.microsoft.com/office/drawing/2014/main" id="{00000000-0008-0000-0000-000037000000}"/>
            </a:ext>
          </a:extLst>
        </xdr:cNvPr>
        <xdr:cNvSpPr/>
      </xdr:nvSpPr>
      <xdr:spPr>
        <a:xfrm>
          <a:off x="12979400" y="4991100"/>
          <a:ext cx="146050" cy="1327149"/>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38100</xdr:colOff>
      <xdr:row>42</xdr:row>
      <xdr:rowOff>136525</xdr:rowOff>
    </xdr:from>
    <xdr:to>
      <xdr:col>12</xdr:col>
      <xdr:colOff>203200</xdr:colOff>
      <xdr:row>45</xdr:row>
      <xdr:rowOff>50800</xdr:rowOff>
    </xdr:to>
    <xdr:sp macro="" textlink="">
      <xdr:nvSpPr>
        <xdr:cNvPr id="56" name="Arrow: Down 55">
          <a:extLst>
            <a:ext uri="{FF2B5EF4-FFF2-40B4-BE49-F238E27FC236}">
              <a16:creationId xmlns:a16="http://schemas.microsoft.com/office/drawing/2014/main" id="{00000000-0008-0000-0000-000038000000}"/>
            </a:ext>
          </a:extLst>
        </xdr:cNvPr>
        <xdr:cNvSpPr/>
      </xdr:nvSpPr>
      <xdr:spPr>
        <a:xfrm rot="10800000">
          <a:off x="11439525" y="10309225"/>
          <a:ext cx="165100"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5019675</xdr:colOff>
      <xdr:row>48</xdr:row>
      <xdr:rowOff>53975</xdr:rowOff>
    </xdr:from>
    <xdr:to>
      <xdr:col>3</xdr:col>
      <xdr:colOff>63588</xdr:colOff>
      <xdr:row>56</xdr:row>
      <xdr:rowOff>123896</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
        <a:stretch>
          <a:fillRect/>
        </a:stretch>
      </xdr:blipFill>
      <xdr:spPr>
        <a:xfrm>
          <a:off x="5019675" y="11198225"/>
          <a:ext cx="1644738" cy="1365321"/>
        </a:xfrm>
        <a:prstGeom prst="rect">
          <a:avLst/>
        </a:prstGeom>
      </xdr:spPr>
    </xdr:pic>
    <xdr:clientData/>
  </xdr:twoCellAnchor>
  <xdr:twoCellAnchor editAs="oneCell">
    <xdr:from>
      <xdr:col>15</xdr:col>
      <xdr:colOff>50800</xdr:colOff>
      <xdr:row>47</xdr:row>
      <xdr:rowOff>152400</xdr:rowOff>
    </xdr:from>
    <xdr:to>
      <xdr:col>18</xdr:col>
      <xdr:colOff>171542</xdr:colOff>
      <xdr:row>53</xdr:row>
      <xdr:rowOff>85772</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stretch>
          <a:fillRect/>
        </a:stretch>
      </xdr:blipFill>
      <xdr:spPr>
        <a:xfrm>
          <a:off x="13052425" y="11134725"/>
          <a:ext cx="1720942" cy="904922"/>
        </a:xfrm>
        <a:prstGeom prst="rect">
          <a:avLst/>
        </a:prstGeom>
      </xdr:spPr>
    </xdr:pic>
    <xdr:clientData/>
  </xdr:twoCellAnchor>
  <xdr:twoCellAnchor editAs="oneCell">
    <xdr:from>
      <xdr:col>10</xdr:col>
      <xdr:colOff>368300</xdr:colOff>
      <xdr:row>48</xdr:row>
      <xdr:rowOff>63500</xdr:rowOff>
    </xdr:from>
    <xdr:to>
      <xdr:col>13</xdr:col>
      <xdr:colOff>406489</xdr:colOff>
      <xdr:row>56</xdr:row>
      <xdr:rowOff>19116</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9"/>
        <a:stretch>
          <a:fillRect/>
        </a:stretch>
      </xdr:blipFill>
      <xdr:spPr>
        <a:xfrm>
          <a:off x="10702925" y="11207750"/>
          <a:ext cx="1638389" cy="1251016"/>
        </a:xfrm>
        <a:prstGeom prst="rect">
          <a:avLst/>
        </a:prstGeom>
      </xdr:spPr>
    </xdr:pic>
    <xdr:clientData/>
  </xdr:twoCellAnchor>
  <xdr:twoCellAnchor editAs="oneCell">
    <xdr:from>
      <xdr:col>25</xdr:col>
      <xdr:colOff>130175</xdr:colOff>
      <xdr:row>47</xdr:row>
      <xdr:rowOff>79375</xdr:rowOff>
    </xdr:from>
    <xdr:to>
      <xdr:col>28</xdr:col>
      <xdr:colOff>444603</xdr:colOff>
      <xdr:row>53</xdr:row>
      <xdr:rowOff>158805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0"/>
        <a:stretch>
          <a:fillRect/>
        </a:stretch>
      </xdr:blipFill>
      <xdr:spPr>
        <a:xfrm>
          <a:off x="18465800" y="11061700"/>
          <a:ext cx="1914628" cy="1050980"/>
        </a:xfrm>
        <a:prstGeom prst="rect">
          <a:avLst/>
        </a:prstGeom>
      </xdr:spPr>
    </xdr:pic>
    <xdr:clientData/>
  </xdr:twoCellAnchor>
  <xdr:twoCellAnchor>
    <xdr:from>
      <xdr:col>0</xdr:col>
      <xdr:colOff>66673</xdr:colOff>
      <xdr:row>0</xdr:row>
      <xdr:rowOff>47625</xdr:rowOff>
    </xdr:from>
    <xdr:to>
      <xdr:col>0</xdr:col>
      <xdr:colOff>3128095</xdr:colOff>
      <xdr:row>0</xdr:row>
      <xdr:rowOff>788361</xdr:rowOff>
    </xdr:to>
    <xdr:pic>
      <xdr:nvPicPr>
        <xdr:cNvPr id="43" name="Picture 42" descr="AH6089629">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2</xdr:row>
      <xdr:rowOff>57150</xdr:rowOff>
    </xdr:from>
    <xdr:to>
      <xdr:col>0</xdr:col>
      <xdr:colOff>5457825</xdr:colOff>
      <xdr:row>2</xdr:row>
      <xdr:rowOff>200171</xdr:rowOff>
    </xdr:to>
    <xdr:pic>
      <xdr:nvPicPr>
        <xdr:cNvPr id="45" name="Picture 44" descr="Top Banner Thin Grey and Orange line 29-7-16">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4808" t="-43869" r="5190" b="-13498"/>
        <a:stretch>
          <a:fillRect/>
        </a:stretch>
      </xdr:blipFill>
      <xdr:spPr bwMode="auto">
        <a:xfrm>
          <a:off x="38100" y="2238375"/>
          <a:ext cx="5419725" cy="14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36</xdr:row>
      <xdr:rowOff>84820</xdr:rowOff>
    </xdr:from>
    <xdr:to>
      <xdr:col>6</xdr:col>
      <xdr:colOff>257174</xdr:colOff>
      <xdr:row>40</xdr:row>
      <xdr:rowOff>123826</xdr:rowOff>
    </xdr:to>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6629400" y="9285970"/>
          <a:ext cx="1828799" cy="686706"/>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Coloured Cells are normally protected - You just enter information in white cells</a:t>
          </a:r>
        </a:p>
      </xdr:txBody>
    </xdr:sp>
    <xdr:clientData/>
  </xdr:twoCellAnchor>
  <xdr:twoCellAnchor>
    <xdr:from>
      <xdr:col>6</xdr:col>
      <xdr:colOff>120650</xdr:colOff>
      <xdr:row>12</xdr:row>
      <xdr:rowOff>95250</xdr:rowOff>
    </xdr:from>
    <xdr:to>
      <xdr:col>9</xdr:col>
      <xdr:colOff>174625</xdr:colOff>
      <xdr:row>17</xdr:row>
      <xdr:rowOff>88900</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8321675" y="5410200"/>
          <a:ext cx="1654175" cy="80327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Some entries automatically sum requirements from below or other parts of spreadsheet</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183207</xdr:colOff>
      <xdr:row>128</xdr:row>
      <xdr:rowOff>0</xdr:rowOff>
    </xdr:from>
    <xdr:ext cx="691515" cy="687070"/>
    <xdr:sp macro="" textlink="">
      <xdr:nvSpPr>
        <xdr:cNvPr id="2" name="Shape 2">
          <a:extLst>
            <a:ext uri="{FF2B5EF4-FFF2-40B4-BE49-F238E27FC236}">
              <a16:creationId xmlns:a16="http://schemas.microsoft.com/office/drawing/2014/main" id="{00000000-0008-0000-0900-000002000000}"/>
            </a:ext>
          </a:extLst>
        </xdr:cNvPr>
        <xdr:cNvSpPr/>
      </xdr:nvSpPr>
      <xdr:spPr>
        <a:xfrm>
          <a:off x="22298140" y="9590358"/>
          <a:ext cx="691515" cy="687070"/>
        </a:xfrm>
        <a:custGeom>
          <a:avLst/>
          <a:gdLst/>
          <a:ahLst/>
          <a:cxnLst/>
          <a:rect l="0" t="0" r="0" b="0"/>
          <a:pathLst>
            <a:path w="691515" h="687070">
              <a:moveTo>
                <a:pt x="124636" y="541500"/>
              </a:moveTo>
              <a:lnTo>
                <a:pt x="64463" y="580625"/>
              </a:lnTo>
              <a:lnTo>
                <a:pt x="26142" y="618430"/>
              </a:lnTo>
              <a:lnTo>
                <a:pt x="5908" y="651218"/>
              </a:lnTo>
              <a:lnTo>
                <a:pt x="0" y="675291"/>
              </a:lnTo>
              <a:lnTo>
                <a:pt x="4434" y="684203"/>
              </a:lnTo>
              <a:lnTo>
                <a:pt x="8402" y="686555"/>
              </a:lnTo>
              <a:lnTo>
                <a:pt x="54839" y="686555"/>
              </a:lnTo>
              <a:lnTo>
                <a:pt x="56772" y="685150"/>
              </a:lnTo>
              <a:lnTo>
                <a:pt x="13379" y="685150"/>
              </a:lnTo>
              <a:lnTo>
                <a:pt x="19474" y="659536"/>
              </a:lnTo>
              <a:lnTo>
                <a:pt x="42073" y="623359"/>
              </a:lnTo>
              <a:lnTo>
                <a:pt x="78140" y="582166"/>
              </a:lnTo>
              <a:lnTo>
                <a:pt x="124636" y="541500"/>
              </a:lnTo>
              <a:close/>
            </a:path>
            <a:path w="691515" h="687070">
              <a:moveTo>
                <a:pt x="295748" y="0"/>
              </a:moveTo>
              <a:lnTo>
                <a:pt x="281907" y="9242"/>
              </a:lnTo>
              <a:lnTo>
                <a:pt x="274799" y="30631"/>
              </a:lnTo>
              <a:lnTo>
                <a:pt x="272180" y="54660"/>
              </a:lnTo>
              <a:lnTo>
                <a:pt x="271806" y="71824"/>
              </a:lnTo>
              <a:lnTo>
                <a:pt x="272312" y="87349"/>
              </a:lnTo>
              <a:lnTo>
                <a:pt x="278848" y="140128"/>
              </a:lnTo>
              <a:lnTo>
                <a:pt x="286364" y="178153"/>
              </a:lnTo>
              <a:lnTo>
                <a:pt x="295748" y="216177"/>
              </a:lnTo>
              <a:lnTo>
                <a:pt x="292088" y="233541"/>
              </a:lnTo>
              <a:lnTo>
                <a:pt x="265590" y="305793"/>
              </a:lnTo>
              <a:lnTo>
                <a:pt x="244605" y="354976"/>
              </a:lnTo>
              <a:lnTo>
                <a:pt x="219698" y="409058"/>
              </a:lnTo>
              <a:lnTo>
                <a:pt x="191796" y="465187"/>
              </a:lnTo>
              <a:lnTo>
                <a:pt x="161825" y="520509"/>
              </a:lnTo>
              <a:lnTo>
                <a:pt x="130713" y="572171"/>
              </a:lnTo>
              <a:lnTo>
                <a:pt x="99385" y="617319"/>
              </a:lnTo>
              <a:lnTo>
                <a:pt x="68769" y="653100"/>
              </a:lnTo>
              <a:lnTo>
                <a:pt x="13379" y="685150"/>
              </a:lnTo>
              <a:lnTo>
                <a:pt x="56772" y="685150"/>
              </a:lnTo>
              <a:lnTo>
                <a:pt x="80190" y="668120"/>
              </a:lnTo>
              <a:lnTo>
                <a:pt x="112412" y="633312"/>
              </a:lnTo>
              <a:lnTo>
                <a:pt x="149712" y="582166"/>
              </a:lnTo>
              <a:lnTo>
                <a:pt x="192236" y="513334"/>
              </a:lnTo>
              <a:lnTo>
                <a:pt x="198852" y="511221"/>
              </a:lnTo>
              <a:lnTo>
                <a:pt x="192236" y="511221"/>
              </a:lnTo>
              <a:lnTo>
                <a:pt x="227591" y="447687"/>
              </a:lnTo>
              <a:lnTo>
                <a:pt x="254906" y="394226"/>
              </a:lnTo>
              <a:lnTo>
                <a:pt x="275415" y="349528"/>
              </a:lnTo>
              <a:lnTo>
                <a:pt x="290349" y="312283"/>
              </a:lnTo>
              <a:lnTo>
                <a:pt x="300941" y="281179"/>
              </a:lnTo>
              <a:lnTo>
                <a:pt x="308423" y="254906"/>
              </a:lnTo>
              <a:lnTo>
                <a:pt x="333140" y="254906"/>
              </a:lnTo>
              <a:lnTo>
                <a:pt x="317577" y="214065"/>
              </a:lnTo>
              <a:lnTo>
                <a:pt x="322664" y="178153"/>
              </a:lnTo>
              <a:lnTo>
                <a:pt x="308423" y="178153"/>
              </a:lnTo>
              <a:lnTo>
                <a:pt x="300325" y="147257"/>
              </a:lnTo>
              <a:lnTo>
                <a:pt x="294868" y="117419"/>
              </a:lnTo>
              <a:lnTo>
                <a:pt x="291787" y="89428"/>
              </a:lnTo>
              <a:lnTo>
                <a:pt x="290819" y="64078"/>
              </a:lnTo>
              <a:lnTo>
                <a:pt x="291050" y="53439"/>
              </a:lnTo>
              <a:lnTo>
                <a:pt x="292667" y="35472"/>
              </a:lnTo>
              <a:lnTo>
                <a:pt x="297057" y="16844"/>
              </a:lnTo>
              <a:lnTo>
                <a:pt x="305606" y="4224"/>
              </a:lnTo>
              <a:lnTo>
                <a:pt x="322757" y="4224"/>
              </a:lnTo>
              <a:lnTo>
                <a:pt x="313704" y="704"/>
              </a:lnTo>
              <a:lnTo>
                <a:pt x="295748" y="0"/>
              </a:lnTo>
              <a:close/>
            </a:path>
            <a:path w="691515" h="687070">
              <a:moveTo>
                <a:pt x="684445" y="509813"/>
              </a:moveTo>
              <a:lnTo>
                <a:pt x="664729" y="509813"/>
              </a:lnTo>
              <a:lnTo>
                <a:pt x="656986" y="516852"/>
              </a:lnTo>
              <a:lnTo>
                <a:pt x="656986" y="535870"/>
              </a:lnTo>
              <a:lnTo>
                <a:pt x="664729" y="542909"/>
              </a:lnTo>
              <a:lnTo>
                <a:pt x="684445" y="542909"/>
              </a:lnTo>
              <a:lnTo>
                <a:pt x="687966" y="539388"/>
              </a:lnTo>
              <a:lnTo>
                <a:pt x="666841" y="539388"/>
              </a:lnTo>
              <a:lnTo>
                <a:pt x="660504" y="533755"/>
              </a:lnTo>
              <a:lnTo>
                <a:pt x="660504" y="518967"/>
              </a:lnTo>
              <a:lnTo>
                <a:pt x="666841" y="513334"/>
              </a:lnTo>
              <a:lnTo>
                <a:pt x="687966" y="513334"/>
              </a:lnTo>
              <a:lnTo>
                <a:pt x="684445" y="509813"/>
              </a:lnTo>
              <a:close/>
            </a:path>
            <a:path w="691515" h="687070">
              <a:moveTo>
                <a:pt x="687966" y="513334"/>
              </a:moveTo>
              <a:lnTo>
                <a:pt x="682333" y="513334"/>
              </a:lnTo>
              <a:lnTo>
                <a:pt x="687262" y="518967"/>
              </a:lnTo>
              <a:lnTo>
                <a:pt x="687262" y="533755"/>
              </a:lnTo>
              <a:lnTo>
                <a:pt x="682333" y="539388"/>
              </a:lnTo>
              <a:lnTo>
                <a:pt x="687966" y="539388"/>
              </a:lnTo>
              <a:lnTo>
                <a:pt x="691485" y="535870"/>
              </a:lnTo>
              <a:lnTo>
                <a:pt x="691485" y="516852"/>
              </a:lnTo>
              <a:lnTo>
                <a:pt x="687966" y="513334"/>
              </a:lnTo>
              <a:close/>
            </a:path>
            <a:path w="691515" h="687070">
              <a:moveTo>
                <a:pt x="678812" y="515446"/>
              </a:moveTo>
              <a:lnTo>
                <a:pt x="667545" y="515446"/>
              </a:lnTo>
              <a:lnTo>
                <a:pt x="667545" y="535867"/>
              </a:lnTo>
              <a:lnTo>
                <a:pt x="671066" y="535867"/>
              </a:lnTo>
              <a:lnTo>
                <a:pt x="671066" y="528121"/>
              </a:lnTo>
              <a:lnTo>
                <a:pt x="679986" y="528121"/>
              </a:lnTo>
              <a:lnTo>
                <a:pt x="679516" y="527417"/>
              </a:lnTo>
              <a:lnTo>
                <a:pt x="677404" y="526713"/>
              </a:lnTo>
              <a:lnTo>
                <a:pt x="681629" y="525305"/>
              </a:lnTo>
              <a:lnTo>
                <a:pt x="671066" y="525305"/>
              </a:lnTo>
              <a:lnTo>
                <a:pt x="671066" y="519671"/>
              </a:lnTo>
              <a:lnTo>
                <a:pt x="681159" y="519671"/>
              </a:lnTo>
              <a:lnTo>
                <a:pt x="680925" y="518263"/>
              </a:lnTo>
              <a:lnTo>
                <a:pt x="678812" y="515446"/>
              </a:lnTo>
              <a:close/>
            </a:path>
            <a:path w="691515" h="687070">
              <a:moveTo>
                <a:pt x="679986" y="528121"/>
              </a:moveTo>
              <a:lnTo>
                <a:pt x="675291" y="528121"/>
              </a:lnTo>
              <a:lnTo>
                <a:pt x="676700" y="530234"/>
              </a:lnTo>
              <a:lnTo>
                <a:pt x="677404" y="532346"/>
              </a:lnTo>
              <a:lnTo>
                <a:pt x="678108" y="535867"/>
              </a:lnTo>
              <a:lnTo>
                <a:pt x="681629" y="535867"/>
              </a:lnTo>
              <a:lnTo>
                <a:pt x="680925" y="532346"/>
              </a:lnTo>
              <a:lnTo>
                <a:pt x="680925" y="529530"/>
              </a:lnTo>
              <a:lnTo>
                <a:pt x="679986" y="528121"/>
              </a:lnTo>
              <a:close/>
            </a:path>
            <a:path w="691515" h="687070">
              <a:moveTo>
                <a:pt x="681159" y="519671"/>
              </a:moveTo>
              <a:lnTo>
                <a:pt x="675995" y="519671"/>
              </a:lnTo>
              <a:lnTo>
                <a:pt x="677404" y="520376"/>
              </a:lnTo>
              <a:lnTo>
                <a:pt x="677404" y="524601"/>
              </a:lnTo>
              <a:lnTo>
                <a:pt x="675291" y="525305"/>
              </a:lnTo>
              <a:lnTo>
                <a:pt x="681629" y="525305"/>
              </a:lnTo>
              <a:lnTo>
                <a:pt x="681629" y="522488"/>
              </a:lnTo>
              <a:lnTo>
                <a:pt x="681159" y="519671"/>
              </a:lnTo>
              <a:close/>
            </a:path>
            <a:path w="691515" h="687070">
              <a:moveTo>
                <a:pt x="333140" y="254906"/>
              </a:moveTo>
              <a:lnTo>
                <a:pt x="308423" y="254906"/>
              </a:lnTo>
              <a:lnTo>
                <a:pt x="338578" y="318072"/>
              </a:lnTo>
              <a:lnTo>
                <a:pt x="370186" y="364947"/>
              </a:lnTo>
              <a:lnTo>
                <a:pt x="401152" y="398336"/>
              </a:lnTo>
              <a:lnTo>
                <a:pt x="429381" y="421044"/>
              </a:lnTo>
              <a:lnTo>
                <a:pt x="452776" y="435876"/>
              </a:lnTo>
              <a:lnTo>
                <a:pt x="402426" y="445605"/>
              </a:lnTo>
              <a:lnTo>
                <a:pt x="350115" y="457936"/>
              </a:lnTo>
              <a:lnTo>
                <a:pt x="296925" y="472938"/>
              </a:lnTo>
              <a:lnTo>
                <a:pt x="243938" y="490677"/>
              </a:lnTo>
              <a:lnTo>
                <a:pt x="192236" y="511221"/>
              </a:lnTo>
              <a:lnTo>
                <a:pt x="198852" y="511221"/>
              </a:lnTo>
              <a:lnTo>
                <a:pt x="235372" y="499560"/>
              </a:lnTo>
              <a:lnTo>
                <a:pt x="281717" y="487176"/>
              </a:lnTo>
              <a:lnTo>
                <a:pt x="330252" y="476277"/>
              </a:lnTo>
              <a:lnTo>
                <a:pt x="379960" y="466964"/>
              </a:lnTo>
              <a:lnTo>
                <a:pt x="429825" y="459332"/>
              </a:lnTo>
              <a:lnTo>
                <a:pt x="478830" y="453480"/>
              </a:lnTo>
              <a:lnTo>
                <a:pt x="531704" y="453480"/>
              </a:lnTo>
              <a:lnTo>
                <a:pt x="520376" y="448551"/>
              </a:lnTo>
              <a:lnTo>
                <a:pt x="568138" y="446361"/>
              </a:lnTo>
              <a:lnTo>
                <a:pt x="677124" y="446361"/>
              </a:lnTo>
              <a:lnTo>
                <a:pt x="658831" y="436492"/>
              </a:lnTo>
              <a:lnTo>
                <a:pt x="632567" y="430947"/>
              </a:lnTo>
              <a:lnTo>
                <a:pt x="489392" y="430947"/>
              </a:lnTo>
              <a:lnTo>
                <a:pt x="473054" y="421595"/>
              </a:lnTo>
              <a:lnTo>
                <a:pt x="426018" y="390105"/>
              </a:lnTo>
              <a:lnTo>
                <a:pt x="391052" y="354578"/>
              </a:lnTo>
              <a:lnTo>
                <a:pt x="361235" y="311855"/>
              </a:lnTo>
              <a:lnTo>
                <a:pt x="336699" y="264247"/>
              </a:lnTo>
              <a:lnTo>
                <a:pt x="333140" y="254906"/>
              </a:lnTo>
              <a:close/>
            </a:path>
            <a:path w="691515" h="687070">
              <a:moveTo>
                <a:pt x="531704" y="453480"/>
              </a:moveTo>
              <a:lnTo>
                <a:pt x="478830" y="453480"/>
              </a:lnTo>
              <a:lnTo>
                <a:pt x="525041" y="474363"/>
              </a:lnTo>
              <a:lnTo>
                <a:pt x="570723" y="490097"/>
              </a:lnTo>
              <a:lnTo>
                <a:pt x="612709" y="500021"/>
              </a:lnTo>
              <a:lnTo>
                <a:pt x="647829" y="503476"/>
              </a:lnTo>
              <a:lnTo>
                <a:pt x="662363" y="502529"/>
              </a:lnTo>
              <a:lnTo>
                <a:pt x="673267" y="499603"/>
              </a:lnTo>
              <a:lnTo>
                <a:pt x="680606" y="494564"/>
              </a:lnTo>
              <a:lnTo>
                <a:pt x="681847" y="492209"/>
              </a:lnTo>
              <a:lnTo>
                <a:pt x="662616" y="492209"/>
              </a:lnTo>
              <a:lnTo>
                <a:pt x="634747" y="489051"/>
              </a:lnTo>
              <a:lnTo>
                <a:pt x="600210" y="480150"/>
              </a:lnTo>
              <a:lnTo>
                <a:pt x="561316" y="466364"/>
              </a:lnTo>
              <a:lnTo>
                <a:pt x="531704" y="453480"/>
              </a:lnTo>
              <a:close/>
            </a:path>
            <a:path w="691515" h="687070">
              <a:moveTo>
                <a:pt x="684445" y="487280"/>
              </a:moveTo>
              <a:lnTo>
                <a:pt x="679516" y="489392"/>
              </a:lnTo>
              <a:lnTo>
                <a:pt x="671770" y="492209"/>
              </a:lnTo>
              <a:lnTo>
                <a:pt x="681847" y="492209"/>
              </a:lnTo>
              <a:lnTo>
                <a:pt x="684445" y="487280"/>
              </a:lnTo>
              <a:close/>
            </a:path>
            <a:path w="691515" h="687070">
              <a:moveTo>
                <a:pt x="677124" y="446361"/>
              </a:moveTo>
              <a:lnTo>
                <a:pt x="568138" y="446361"/>
              </a:lnTo>
              <a:lnTo>
                <a:pt x="623623" y="447935"/>
              </a:lnTo>
              <a:lnTo>
                <a:pt x="669207" y="457562"/>
              </a:lnTo>
              <a:lnTo>
                <a:pt x="687262" y="479534"/>
              </a:lnTo>
              <a:lnTo>
                <a:pt x="689375" y="474605"/>
              </a:lnTo>
              <a:lnTo>
                <a:pt x="691485" y="472495"/>
              </a:lnTo>
              <a:lnTo>
                <a:pt x="691485" y="467558"/>
              </a:lnTo>
              <a:lnTo>
                <a:pt x="682916" y="449486"/>
              </a:lnTo>
              <a:lnTo>
                <a:pt x="677124" y="446361"/>
              </a:lnTo>
              <a:close/>
            </a:path>
            <a:path w="691515" h="687070">
              <a:moveTo>
                <a:pt x="573892" y="426018"/>
              </a:moveTo>
              <a:lnTo>
                <a:pt x="555045" y="426491"/>
              </a:lnTo>
              <a:lnTo>
                <a:pt x="534547" y="427690"/>
              </a:lnTo>
              <a:lnTo>
                <a:pt x="489392" y="430947"/>
              </a:lnTo>
              <a:lnTo>
                <a:pt x="632567" y="430947"/>
              </a:lnTo>
              <a:lnTo>
                <a:pt x="621676" y="428647"/>
              </a:lnTo>
              <a:lnTo>
                <a:pt x="573892" y="426018"/>
              </a:lnTo>
              <a:close/>
            </a:path>
            <a:path w="691515" h="687070">
              <a:moveTo>
                <a:pt x="329548" y="57741"/>
              </a:moveTo>
              <a:lnTo>
                <a:pt x="325752" y="78536"/>
              </a:lnTo>
              <a:lnTo>
                <a:pt x="321362" y="105272"/>
              </a:lnTo>
              <a:lnTo>
                <a:pt x="315783" y="138345"/>
              </a:lnTo>
              <a:lnTo>
                <a:pt x="308423" y="178153"/>
              </a:lnTo>
              <a:lnTo>
                <a:pt x="322664" y="178153"/>
              </a:lnTo>
              <a:lnTo>
                <a:pt x="323309" y="173598"/>
              </a:lnTo>
              <a:lnTo>
                <a:pt x="326467" y="134847"/>
              </a:lnTo>
              <a:lnTo>
                <a:pt x="328172" y="96624"/>
              </a:lnTo>
              <a:lnTo>
                <a:pt x="329548" y="57741"/>
              </a:lnTo>
              <a:close/>
            </a:path>
            <a:path w="691515" h="687070">
              <a:moveTo>
                <a:pt x="322757" y="4224"/>
              </a:moveTo>
              <a:lnTo>
                <a:pt x="305606" y="4224"/>
              </a:lnTo>
              <a:lnTo>
                <a:pt x="313209" y="9022"/>
              </a:lnTo>
              <a:lnTo>
                <a:pt x="320481" y="16723"/>
              </a:lnTo>
              <a:lnTo>
                <a:pt x="326302" y="28386"/>
              </a:lnTo>
              <a:lnTo>
                <a:pt x="329548" y="45066"/>
              </a:lnTo>
              <a:lnTo>
                <a:pt x="332188" y="19012"/>
              </a:lnTo>
              <a:lnTo>
                <a:pt x="326379" y="5633"/>
              </a:lnTo>
              <a:lnTo>
                <a:pt x="322757" y="4224"/>
              </a:lnTo>
              <a:close/>
            </a:path>
          </a:pathLst>
        </a:custGeom>
        <a:solidFill>
          <a:srgbClr val="FFD8D8">
            <a:alpha val="50000"/>
          </a:srgbClr>
        </a:solidFill>
      </xdr:spPr>
    </xdr:sp>
    <xdr:clientData/>
  </xdr:oneCellAnchor>
  <xdr:twoCellAnchor>
    <xdr:from>
      <xdr:col>1</xdr:col>
      <xdr:colOff>66673</xdr:colOff>
      <xdr:row>0</xdr:row>
      <xdr:rowOff>47625</xdr:rowOff>
    </xdr:from>
    <xdr:to>
      <xdr:col>1</xdr:col>
      <xdr:colOff>3128095</xdr:colOff>
      <xdr:row>0</xdr:row>
      <xdr:rowOff>788361</xdr:rowOff>
    </xdr:to>
    <xdr:pic>
      <xdr:nvPicPr>
        <xdr:cNvPr id="31" name="Picture 30" descr="AH6089629">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28571</xdr:colOff>
      <xdr:row>2</xdr:row>
      <xdr:rowOff>28572</xdr:rowOff>
    </xdr:from>
    <xdr:to>
      <xdr:col>2</xdr:col>
      <xdr:colOff>1952765</xdr:colOff>
      <xdr:row>3</xdr:row>
      <xdr:rowOff>7368</xdr:rowOff>
    </xdr:to>
    <xdr:pic>
      <xdr:nvPicPr>
        <xdr:cNvPr id="32" name="Picture 31" descr="Top Banner Thin Grey and Orange line 29-7-16">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1" y="1527172"/>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12</xdr:col>
      <xdr:colOff>90073</xdr:colOff>
      <xdr:row>296</xdr:row>
      <xdr:rowOff>768091</xdr:rowOff>
    </xdr:from>
    <xdr:ext cx="691515" cy="687070"/>
    <xdr:sp macro="" textlink="">
      <xdr:nvSpPr>
        <xdr:cNvPr id="2" name="Shape 2">
          <a:extLst>
            <a:ext uri="{FF2B5EF4-FFF2-40B4-BE49-F238E27FC236}">
              <a16:creationId xmlns:a16="http://schemas.microsoft.com/office/drawing/2014/main" id="{00000000-0008-0000-0A00-000002000000}"/>
            </a:ext>
          </a:extLst>
        </xdr:cNvPr>
        <xdr:cNvSpPr/>
      </xdr:nvSpPr>
      <xdr:spPr>
        <a:xfrm>
          <a:off x="9519823" y="99580441"/>
          <a:ext cx="691515" cy="687070"/>
        </a:xfrm>
        <a:custGeom>
          <a:avLst/>
          <a:gdLst/>
          <a:ahLst/>
          <a:cxnLst/>
          <a:rect l="0" t="0" r="0" b="0"/>
          <a:pathLst>
            <a:path w="691515" h="687070">
              <a:moveTo>
                <a:pt x="124636" y="541500"/>
              </a:moveTo>
              <a:lnTo>
                <a:pt x="64463" y="580625"/>
              </a:lnTo>
              <a:lnTo>
                <a:pt x="26142" y="618430"/>
              </a:lnTo>
              <a:lnTo>
                <a:pt x="5908" y="651218"/>
              </a:lnTo>
              <a:lnTo>
                <a:pt x="0" y="675291"/>
              </a:lnTo>
              <a:lnTo>
                <a:pt x="4434" y="684203"/>
              </a:lnTo>
              <a:lnTo>
                <a:pt x="8402" y="686555"/>
              </a:lnTo>
              <a:lnTo>
                <a:pt x="54839" y="686555"/>
              </a:lnTo>
              <a:lnTo>
                <a:pt x="56772" y="685150"/>
              </a:lnTo>
              <a:lnTo>
                <a:pt x="13379" y="685150"/>
              </a:lnTo>
              <a:lnTo>
                <a:pt x="19474" y="659536"/>
              </a:lnTo>
              <a:lnTo>
                <a:pt x="42073" y="623359"/>
              </a:lnTo>
              <a:lnTo>
                <a:pt x="78140" y="582166"/>
              </a:lnTo>
              <a:lnTo>
                <a:pt x="124636" y="541500"/>
              </a:lnTo>
              <a:close/>
            </a:path>
            <a:path w="691515" h="687070">
              <a:moveTo>
                <a:pt x="295748" y="0"/>
              </a:moveTo>
              <a:lnTo>
                <a:pt x="281907" y="9242"/>
              </a:lnTo>
              <a:lnTo>
                <a:pt x="274799" y="30631"/>
              </a:lnTo>
              <a:lnTo>
                <a:pt x="272180" y="54660"/>
              </a:lnTo>
              <a:lnTo>
                <a:pt x="271806" y="71824"/>
              </a:lnTo>
              <a:lnTo>
                <a:pt x="272312" y="87349"/>
              </a:lnTo>
              <a:lnTo>
                <a:pt x="278848" y="140128"/>
              </a:lnTo>
              <a:lnTo>
                <a:pt x="286364" y="178153"/>
              </a:lnTo>
              <a:lnTo>
                <a:pt x="295748" y="216177"/>
              </a:lnTo>
              <a:lnTo>
                <a:pt x="292088" y="233541"/>
              </a:lnTo>
              <a:lnTo>
                <a:pt x="265590" y="305793"/>
              </a:lnTo>
              <a:lnTo>
                <a:pt x="244605" y="354976"/>
              </a:lnTo>
              <a:lnTo>
                <a:pt x="219698" y="409058"/>
              </a:lnTo>
              <a:lnTo>
                <a:pt x="191796" y="465187"/>
              </a:lnTo>
              <a:lnTo>
                <a:pt x="161825" y="520509"/>
              </a:lnTo>
              <a:lnTo>
                <a:pt x="130713" y="572171"/>
              </a:lnTo>
              <a:lnTo>
                <a:pt x="99385" y="617319"/>
              </a:lnTo>
              <a:lnTo>
                <a:pt x="68769" y="653100"/>
              </a:lnTo>
              <a:lnTo>
                <a:pt x="13379" y="685150"/>
              </a:lnTo>
              <a:lnTo>
                <a:pt x="56772" y="685150"/>
              </a:lnTo>
              <a:lnTo>
                <a:pt x="80190" y="668120"/>
              </a:lnTo>
              <a:lnTo>
                <a:pt x="112412" y="633312"/>
              </a:lnTo>
              <a:lnTo>
                <a:pt x="149712" y="582166"/>
              </a:lnTo>
              <a:lnTo>
                <a:pt x="192236" y="513334"/>
              </a:lnTo>
              <a:lnTo>
                <a:pt x="198852" y="511221"/>
              </a:lnTo>
              <a:lnTo>
                <a:pt x="192236" y="511221"/>
              </a:lnTo>
              <a:lnTo>
                <a:pt x="227591" y="447687"/>
              </a:lnTo>
              <a:lnTo>
                <a:pt x="254906" y="394226"/>
              </a:lnTo>
              <a:lnTo>
                <a:pt x="275415" y="349528"/>
              </a:lnTo>
              <a:lnTo>
                <a:pt x="290349" y="312283"/>
              </a:lnTo>
              <a:lnTo>
                <a:pt x="300941" y="281179"/>
              </a:lnTo>
              <a:lnTo>
                <a:pt x="308423" y="254906"/>
              </a:lnTo>
              <a:lnTo>
                <a:pt x="333140" y="254906"/>
              </a:lnTo>
              <a:lnTo>
                <a:pt x="317577" y="214065"/>
              </a:lnTo>
              <a:lnTo>
                <a:pt x="322664" y="178153"/>
              </a:lnTo>
              <a:lnTo>
                <a:pt x="308423" y="178153"/>
              </a:lnTo>
              <a:lnTo>
                <a:pt x="300325" y="147257"/>
              </a:lnTo>
              <a:lnTo>
                <a:pt x="294868" y="117419"/>
              </a:lnTo>
              <a:lnTo>
                <a:pt x="291787" y="89428"/>
              </a:lnTo>
              <a:lnTo>
                <a:pt x="290819" y="64078"/>
              </a:lnTo>
              <a:lnTo>
                <a:pt x="291050" y="53439"/>
              </a:lnTo>
              <a:lnTo>
                <a:pt x="292667" y="35472"/>
              </a:lnTo>
              <a:lnTo>
                <a:pt x="297057" y="16844"/>
              </a:lnTo>
              <a:lnTo>
                <a:pt x="305606" y="4224"/>
              </a:lnTo>
              <a:lnTo>
                <a:pt x="322757" y="4224"/>
              </a:lnTo>
              <a:lnTo>
                <a:pt x="313704" y="704"/>
              </a:lnTo>
              <a:lnTo>
                <a:pt x="295748" y="0"/>
              </a:lnTo>
              <a:close/>
            </a:path>
            <a:path w="691515" h="687070">
              <a:moveTo>
                <a:pt x="684445" y="509813"/>
              </a:moveTo>
              <a:lnTo>
                <a:pt x="664729" y="509813"/>
              </a:lnTo>
              <a:lnTo>
                <a:pt x="656986" y="516852"/>
              </a:lnTo>
              <a:lnTo>
                <a:pt x="656986" y="535870"/>
              </a:lnTo>
              <a:lnTo>
                <a:pt x="664729" y="542909"/>
              </a:lnTo>
              <a:lnTo>
                <a:pt x="684445" y="542909"/>
              </a:lnTo>
              <a:lnTo>
                <a:pt x="687966" y="539388"/>
              </a:lnTo>
              <a:lnTo>
                <a:pt x="666841" y="539388"/>
              </a:lnTo>
              <a:lnTo>
                <a:pt x="660504" y="533755"/>
              </a:lnTo>
              <a:lnTo>
                <a:pt x="660504" y="518967"/>
              </a:lnTo>
              <a:lnTo>
                <a:pt x="666841" y="513334"/>
              </a:lnTo>
              <a:lnTo>
                <a:pt x="687966" y="513334"/>
              </a:lnTo>
              <a:lnTo>
                <a:pt x="684445" y="509813"/>
              </a:lnTo>
              <a:close/>
            </a:path>
            <a:path w="691515" h="687070">
              <a:moveTo>
                <a:pt x="687966" y="513334"/>
              </a:moveTo>
              <a:lnTo>
                <a:pt x="682333" y="513334"/>
              </a:lnTo>
              <a:lnTo>
                <a:pt x="687262" y="518967"/>
              </a:lnTo>
              <a:lnTo>
                <a:pt x="687262" y="533755"/>
              </a:lnTo>
              <a:lnTo>
                <a:pt x="682333" y="539388"/>
              </a:lnTo>
              <a:lnTo>
                <a:pt x="687966" y="539388"/>
              </a:lnTo>
              <a:lnTo>
                <a:pt x="691485" y="535870"/>
              </a:lnTo>
              <a:lnTo>
                <a:pt x="691485" y="516852"/>
              </a:lnTo>
              <a:lnTo>
                <a:pt x="687966" y="513334"/>
              </a:lnTo>
              <a:close/>
            </a:path>
            <a:path w="691515" h="687070">
              <a:moveTo>
                <a:pt x="678812" y="515446"/>
              </a:moveTo>
              <a:lnTo>
                <a:pt x="667545" y="515446"/>
              </a:lnTo>
              <a:lnTo>
                <a:pt x="667545" y="535867"/>
              </a:lnTo>
              <a:lnTo>
                <a:pt x="671066" y="535867"/>
              </a:lnTo>
              <a:lnTo>
                <a:pt x="671066" y="528121"/>
              </a:lnTo>
              <a:lnTo>
                <a:pt x="679986" y="528121"/>
              </a:lnTo>
              <a:lnTo>
                <a:pt x="679516" y="527417"/>
              </a:lnTo>
              <a:lnTo>
                <a:pt x="677404" y="526713"/>
              </a:lnTo>
              <a:lnTo>
                <a:pt x="681629" y="525305"/>
              </a:lnTo>
              <a:lnTo>
                <a:pt x="671066" y="525305"/>
              </a:lnTo>
              <a:lnTo>
                <a:pt x="671066" y="519671"/>
              </a:lnTo>
              <a:lnTo>
                <a:pt x="681159" y="519671"/>
              </a:lnTo>
              <a:lnTo>
                <a:pt x="680925" y="518263"/>
              </a:lnTo>
              <a:lnTo>
                <a:pt x="678812" y="515446"/>
              </a:lnTo>
              <a:close/>
            </a:path>
            <a:path w="691515" h="687070">
              <a:moveTo>
                <a:pt x="679986" y="528121"/>
              </a:moveTo>
              <a:lnTo>
                <a:pt x="675291" y="528121"/>
              </a:lnTo>
              <a:lnTo>
                <a:pt x="676700" y="530234"/>
              </a:lnTo>
              <a:lnTo>
                <a:pt x="677404" y="532346"/>
              </a:lnTo>
              <a:lnTo>
                <a:pt x="678108" y="535867"/>
              </a:lnTo>
              <a:lnTo>
                <a:pt x="681629" y="535867"/>
              </a:lnTo>
              <a:lnTo>
                <a:pt x="680925" y="532346"/>
              </a:lnTo>
              <a:lnTo>
                <a:pt x="680925" y="529530"/>
              </a:lnTo>
              <a:lnTo>
                <a:pt x="679986" y="528121"/>
              </a:lnTo>
              <a:close/>
            </a:path>
            <a:path w="691515" h="687070">
              <a:moveTo>
                <a:pt x="681159" y="519671"/>
              </a:moveTo>
              <a:lnTo>
                <a:pt x="675995" y="519671"/>
              </a:lnTo>
              <a:lnTo>
                <a:pt x="677404" y="520376"/>
              </a:lnTo>
              <a:lnTo>
                <a:pt x="677404" y="524601"/>
              </a:lnTo>
              <a:lnTo>
                <a:pt x="675291" y="525305"/>
              </a:lnTo>
              <a:lnTo>
                <a:pt x="681629" y="525305"/>
              </a:lnTo>
              <a:lnTo>
                <a:pt x="681629" y="522488"/>
              </a:lnTo>
              <a:lnTo>
                <a:pt x="681159" y="519671"/>
              </a:lnTo>
              <a:close/>
            </a:path>
            <a:path w="691515" h="687070">
              <a:moveTo>
                <a:pt x="333140" y="254906"/>
              </a:moveTo>
              <a:lnTo>
                <a:pt x="308423" y="254906"/>
              </a:lnTo>
              <a:lnTo>
                <a:pt x="338578" y="318072"/>
              </a:lnTo>
              <a:lnTo>
                <a:pt x="370186" y="364947"/>
              </a:lnTo>
              <a:lnTo>
                <a:pt x="401152" y="398336"/>
              </a:lnTo>
              <a:lnTo>
                <a:pt x="429381" y="421044"/>
              </a:lnTo>
              <a:lnTo>
                <a:pt x="452776" y="435876"/>
              </a:lnTo>
              <a:lnTo>
                <a:pt x="402426" y="445605"/>
              </a:lnTo>
              <a:lnTo>
                <a:pt x="350115" y="457936"/>
              </a:lnTo>
              <a:lnTo>
                <a:pt x="296925" y="472938"/>
              </a:lnTo>
              <a:lnTo>
                <a:pt x="243938" y="490677"/>
              </a:lnTo>
              <a:lnTo>
                <a:pt x="192236" y="511221"/>
              </a:lnTo>
              <a:lnTo>
                <a:pt x="198852" y="511221"/>
              </a:lnTo>
              <a:lnTo>
                <a:pt x="235372" y="499560"/>
              </a:lnTo>
              <a:lnTo>
                <a:pt x="281717" y="487176"/>
              </a:lnTo>
              <a:lnTo>
                <a:pt x="330252" y="476277"/>
              </a:lnTo>
              <a:lnTo>
                <a:pt x="379960" y="466964"/>
              </a:lnTo>
              <a:lnTo>
                <a:pt x="429825" y="459332"/>
              </a:lnTo>
              <a:lnTo>
                <a:pt x="478830" y="453480"/>
              </a:lnTo>
              <a:lnTo>
                <a:pt x="531704" y="453480"/>
              </a:lnTo>
              <a:lnTo>
                <a:pt x="520376" y="448551"/>
              </a:lnTo>
              <a:lnTo>
                <a:pt x="568138" y="446361"/>
              </a:lnTo>
              <a:lnTo>
                <a:pt x="677124" y="446361"/>
              </a:lnTo>
              <a:lnTo>
                <a:pt x="658831" y="436492"/>
              </a:lnTo>
              <a:lnTo>
                <a:pt x="632567" y="430947"/>
              </a:lnTo>
              <a:lnTo>
                <a:pt x="489392" y="430947"/>
              </a:lnTo>
              <a:lnTo>
                <a:pt x="473054" y="421595"/>
              </a:lnTo>
              <a:lnTo>
                <a:pt x="426018" y="390105"/>
              </a:lnTo>
              <a:lnTo>
                <a:pt x="391052" y="354578"/>
              </a:lnTo>
              <a:lnTo>
                <a:pt x="361235" y="311855"/>
              </a:lnTo>
              <a:lnTo>
                <a:pt x="336699" y="264247"/>
              </a:lnTo>
              <a:lnTo>
                <a:pt x="333140" y="254906"/>
              </a:lnTo>
              <a:close/>
            </a:path>
            <a:path w="691515" h="687070">
              <a:moveTo>
                <a:pt x="531704" y="453480"/>
              </a:moveTo>
              <a:lnTo>
                <a:pt x="478830" y="453480"/>
              </a:lnTo>
              <a:lnTo>
                <a:pt x="525041" y="474363"/>
              </a:lnTo>
              <a:lnTo>
                <a:pt x="570723" y="490097"/>
              </a:lnTo>
              <a:lnTo>
                <a:pt x="612709" y="500021"/>
              </a:lnTo>
              <a:lnTo>
                <a:pt x="647829" y="503476"/>
              </a:lnTo>
              <a:lnTo>
                <a:pt x="662363" y="502529"/>
              </a:lnTo>
              <a:lnTo>
                <a:pt x="673267" y="499603"/>
              </a:lnTo>
              <a:lnTo>
                <a:pt x="680606" y="494564"/>
              </a:lnTo>
              <a:lnTo>
                <a:pt x="681847" y="492209"/>
              </a:lnTo>
              <a:lnTo>
                <a:pt x="662616" y="492209"/>
              </a:lnTo>
              <a:lnTo>
                <a:pt x="634747" y="489051"/>
              </a:lnTo>
              <a:lnTo>
                <a:pt x="600210" y="480150"/>
              </a:lnTo>
              <a:lnTo>
                <a:pt x="561316" y="466364"/>
              </a:lnTo>
              <a:lnTo>
                <a:pt x="531704" y="453480"/>
              </a:lnTo>
              <a:close/>
            </a:path>
            <a:path w="691515" h="687070">
              <a:moveTo>
                <a:pt x="684445" y="487280"/>
              </a:moveTo>
              <a:lnTo>
                <a:pt x="679516" y="489392"/>
              </a:lnTo>
              <a:lnTo>
                <a:pt x="671770" y="492209"/>
              </a:lnTo>
              <a:lnTo>
                <a:pt x="681847" y="492209"/>
              </a:lnTo>
              <a:lnTo>
                <a:pt x="684445" y="487280"/>
              </a:lnTo>
              <a:close/>
            </a:path>
            <a:path w="691515" h="687070">
              <a:moveTo>
                <a:pt x="677124" y="446361"/>
              </a:moveTo>
              <a:lnTo>
                <a:pt x="568138" y="446361"/>
              </a:lnTo>
              <a:lnTo>
                <a:pt x="623623" y="447935"/>
              </a:lnTo>
              <a:lnTo>
                <a:pt x="669207" y="457562"/>
              </a:lnTo>
              <a:lnTo>
                <a:pt x="687262" y="479534"/>
              </a:lnTo>
              <a:lnTo>
                <a:pt x="689375" y="474605"/>
              </a:lnTo>
              <a:lnTo>
                <a:pt x="691485" y="472495"/>
              </a:lnTo>
              <a:lnTo>
                <a:pt x="691485" y="467558"/>
              </a:lnTo>
              <a:lnTo>
                <a:pt x="682916" y="449486"/>
              </a:lnTo>
              <a:lnTo>
                <a:pt x="677124" y="446361"/>
              </a:lnTo>
              <a:close/>
            </a:path>
            <a:path w="691515" h="687070">
              <a:moveTo>
                <a:pt x="573892" y="426018"/>
              </a:moveTo>
              <a:lnTo>
                <a:pt x="555045" y="426491"/>
              </a:lnTo>
              <a:lnTo>
                <a:pt x="534547" y="427690"/>
              </a:lnTo>
              <a:lnTo>
                <a:pt x="489392" y="430947"/>
              </a:lnTo>
              <a:lnTo>
                <a:pt x="632567" y="430947"/>
              </a:lnTo>
              <a:lnTo>
                <a:pt x="621676" y="428647"/>
              </a:lnTo>
              <a:lnTo>
                <a:pt x="573892" y="426018"/>
              </a:lnTo>
              <a:close/>
            </a:path>
            <a:path w="691515" h="687070">
              <a:moveTo>
                <a:pt x="329548" y="57741"/>
              </a:moveTo>
              <a:lnTo>
                <a:pt x="325752" y="78536"/>
              </a:lnTo>
              <a:lnTo>
                <a:pt x="321362" y="105272"/>
              </a:lnTo>
              <a:lnTo>
                <a:pt x="315783" y="138345"/>
              </a:lnTo>
              <a:lnTo>
                <a:pt x="308423" y="178153"/>
              </a:lnTo>
              <a:lnTo>
                <a:pt x="322664" y="178153"/>
              </a:lnTo>
              <a:lnTo>
                <a:pt x="323309" y="173598"/>
              </a:lnTo>
              <a:lnTo>
                <a:pt x="326467" y="134847"/>
              </a:lnTo>
              <a:lnTo>
                <a:pt x="328172" y="96624"/>
              </a:lnTo>
              <a:lnTo>
                <a:pt x="329548" y="57741"/>
              </a:lnTo>
              <a:close/>
            </a:path>
            <a:path w="691515" h="687070">
              <a:moveTo>
                <a:pt x="322757" y="4224"/>
              </a:moveTo>
              <a:lnTo>
                <a:pt x="305606" y="4224"/>
              </a:lnTo>
              <a:lnTo>
                <a:pt x="313209" y="9022"/>
              </a:lnTo>
              <a:lnTo>
                <a:pt x="320481" y="16723"/>
              </a:lnTo>
              <a:lnTo>
                <a:pt x="326302" y="28386"/>
              </a:lnTo>
              <a:lnTo>
                <a:pt x="329548" y="45066"/>
              </a:lnTo>
              <a:lnTo>
                <a:pt x="332188" y="19012"/>
              </a:lnTo>
              <a:lnTo>
                <a:pt x="326379" y="5633"/>
              </a:lnTo>
              <a:lnTo>
                <a:pt x="322757" y="4224"/>
              </a:lnTo>
              <a:close/>
            </a:path>
          </a:pathLst>
        </a:custGeom>
        <a:solidFill>
          <a:srgbClr val="FFD8D8">
            <a:alpha val="50000"/>
          </a:srgbClr>
        </a:solidFill>
      </xdr:spPr>
    </xdr:sp>
    <xdr:clientData/>
  </xdr:oneCellAnchor>
  <xdr:twoCellAnchor>
    <xdr:from>
      <xdr:col>1</xdr:col>
      <xdr:colOff>178433</xdr:colOff>
      <xdr:row>0</xdr:row>
      <xdr:rowOff>57785</xdr:rowOff>
    </xdr:from>
    <xdr:to>
      <xdr:col>2</xdr:col>
      <xdr:colOff>1461855</xdr:colOff>
      <xdr:row>0</xdr:row>
      <xdr:rowOff>798521</xdr:rowOff>
    </xdr:to>
    <xdr:pic>
      <xdr:nvPicPr>
        <xdr:cNvPr id="23" name="Picture 22" descr="AH6089629">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433" y="57785"/>
          <a:ext cx="342718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3</xdr:col>
      <xdr:colOff>136666</xdr:colOff>
      <xdr:row>3</xdr:row>
      <xdr:rowOff>7368</xdr:rowOff>
    </xdr:to>
    <xdr:pic>
      <xdr:nvPicPr>
        <xdr:cNvPr id="25" name="Picture 24" descr="Top Banner Thin Grey and Orange line 29-7-16">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2378072"/>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26" name="Picture 25" descr="Top Banner Thin Grey and Orange line 29-7-16">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90073</xdr:colOff>
      <xdr:row>156</xdr:row>
      <xdr:rowOff>768091</xdr:rowOff>
    </xdr:from>
    <xdr:ext cx="691515" cy="687070"/>
    <xdr:sp macro="" textlink="">
      <xdr:nvSpPr>
        <xdr:cNvPr id="2" name="Shape 2">
          <a:extLst>
            <a:ext uri="{FF2B5EF4-FFF2-40B4-BE49-F238E27FC236}">
              <a16:creationId xmlns:a16="http://schemas.microsoft.com/office/drawing/2014/main" id="{00000000-0008-0000-0B00-000002000000}"/>
            </a:ext>
          </a:extLst>
        </xdr:cNvPr>
        <xdr:cNvSpPr/>
      </xdr:nvSpPr>
      <xdr:spPr>
        <a:xfrm>
          <a:off x="9519823" y="94462341"/>
          <a:ext cx="691515" cy="687070"/>
        </a:xfrm>
        <a:custGeom>
          <a:avLst/>
          <a:gdLst/>
          <a:ahLst/>
          <a:cxnLst/>
          <a:rect l="0" t="0" r="0" b="0"/>
          <a:pathLst>
            <a:path w="691515" h="687070">
              <a:moveTo>
                <a:pt x="124636" y="541500"/>
              </a:moveTo>
              <a:lnTo>
                <a:pt x="64463" y="580625"/>
              </a:lnTo>
              <a:lnTo>
                <a:pt x="26142" y="618430"/>
              </a:lnTo>
              <a:lnTo>
                <a:pt x="5908" y="651218"/>
              </a:lnTo>
              <a:lnTo>
                <a:pt x="0" y="675291"/>
              </a:lnTo>
              <a:lnTo>
                <a:pt x="4434" y="684203"/>
              </a:lnTo>
              <a:lnTo>
                <a:pt x="8402" y="686555"/>
              </a:lnTo>
              <a:lnTo>
                <a:pt x="54839" y="686555"/>
              </a:lnTo>
              <a:lnTo>
                <a:pt x="56772" y="685150"/>
              </a:lnTo>
              <a:lnTo>
                <a:pt x="13379" y="685150"/>
              </a:lnTo>
              <a:lnTo>
                <a:pt x="19474" y="659536"/>
              </a:lnTo>
              <a:lnTo>
                <a:pt x="42073" y="623359"/>
              </a:lnTo>
              <a:lnTo>
                <a:pt x="78140" y="582166"/>
              </a:lnTo>
              <a:lnTo>
                <a:pt x="124636" y="541500"/>
              </a:lnTo>
              <a:close/>
            </a:path>
            <a:path w="691515" h="687070">
              <a:moveTo>
                <a:pt x="295748" y="0"/>
              </a:moveTo>
              <a:lnTo>
                <a:pt x="281907" y="9242"/>
              </a:lnTo>
              <a:lnTo>
                <a:pt x="274799" y="30631"/>
              </a:lnTo>
              <a:lnTo>
                <a:pt x="272180" y="54660"/>
              </a:lnTo>
              <a:lnTo>
                <a:pt x="271806" y="71824"/>
              </a:lnTo>
              <a:lnTo>
                <a:pt x="272312" y="87349"/>
              </a:lnTo>
              <a:lnTo>
                <a:pt x="278848" y="140128"/>
              </a:lnTo>
              <a:lnTo>
                <a:pt x="286364" y="178153"/>
              </a:lnTo>
              <a:lnTo>
                <a:pt x="295748" y="216177"/>
              </a:lnTo>
              <a:lnTo>
                <a:pt x="292088" y="233541"/>
              </a:lnTo>
              <a:lnTo>
                <a:pt x="265590" y="305793"/>
              </a:lnTo>
              <a:lnTo>
                <a:pt x="244605" y="354976"/>
              </a:lnTo>
              <a:lnTo>
                <a:pt x="219698" y="409058"/>
              </a:lnTo>
              <a:lnTo>
                <a:pt x="191796" y="465187"/>
              </a:lnTo>
              <a:lnTo>
                <a:pt x="161825" y="520509"/>
              </a:lnTo>
              <a:lnTo>
                <a:pt x="130713" y="572171"/>
              </a:lnTo>
              <a:lnTo>
                <a:pt x="99385" y="617319"/>
              </a:lnTo>
              <a:lnTo>
                <a:pt x="68769" y="653100"/>
              </a:lnTo>
              <a:lnTo>
                <a:pt x="13379" y="685150"/>
              </a:lnTo>
              <a:lnTo>
                <a:pt x="56772" y="685150"/>
              </a:lnTo>
              <a:lnTo>
                <a:pt x="80190" y="668120"/>
              </a:lnTo>
              <a:lnTo>
                <a:pt x="112412" y="633312"/>
              </a:lnTo>
              <a:lnTo>
                <a:pt x="149712" y="582166"/>
              </a:lnTo>
              <a:lnTo>
                <a:pt x="192236" y="513334"/>
              </a:lnTo>
              <a:lnTo>
                <a:pt x="198852" y="511221"/>
              </a:lnTo>
              <a:lnTo>
                <a:pt x="192236" y="511221"/>
              </a:lnTo>
              <a:lnTo>
                <a:pt x="227591" y="447687"/>
              </a:lnTo>
              <a:lnTo>
                <a:pt x="254906" y="394226"/>
              </a:lnTo>
              <a:lnTo>
                <a:pt x="275415" y="349528"/>
              </a:lnTo>
              <a:lnTo>
                <a:pt x="290349" y="312283"/>
              </a:lnTo>
              <a:lnTo>
                <a:pt x="300941" y="281179"/>
              </a:lnTo>
              <a:lnTo>
                <a:pt x="308423" y="254906"/>
              </a:lnTo>
              <a:lnTo>
                <a:pt x="333140" y="254906"/>
              </a:lnTo>
              <a:lnTo>
                <a:pt x="317577" y="214065"/>
              </a:lnTo>
              <a:lnTo>
                <a:pt x="322664" y="178153"/>
              </a:lnTo>
              <a:lnTo>
                <a:pt x="308423" y="178153"/>
              </a:lnTo>
              <a:lnTo>
                <a:pt x="300325" y="147257"/>
              </a:lnTo>
              <a:lnTo>
                <a:pt x="294868" y="117419"/>
              </a:lnTo>
              <a:lnTo>
                <a:pt x="291787" y="89428"/>
              </a:lnTo>
              <a:lnTo>
                <a:pt x="290819" y="64078"/>
              </a:lnTo>
              <a:lnTo>
                <a:pt x="291050" y="53439"/>
              </a:lnTo>
              <a:lnTo>
                <a:pt x="292667" y="35472"/>
              </a:lnTo>
              <a:lnTo>
                <a:pt x="297057" y="16844"/>
              </a:lnTo>
              <a:lnTo>
                <a:pt x="305606" y="4224"/>
              </a:lnTo>
              <a:lnTo>
                <a:pt x="322757" y="4224"/>
              </a:lnTo>
              <a:lnTo>
                <a:pt x="313704" y="704"/>
              </a:lnTo>
              <a:lnTo>
                <a:pt x="295748" y="0"/>
              </a:lnTo>
              <a:close/>
            </a:path>
            <a:path w="691515" h="687070">
              <a:moveTo>
                <a:pt x="684445" y="509813"/>
              </a:moveTo>
              <a:lnTo>
                <a:pt x="664729" y="509813"/>
              </a:lnTo>
              <a:lnTo>
                <a:pt x="656986" y="516852"/>
              </a:lnTo>
              <a:lnTo>
                <a:pt x="656986" y="535870"/>
              </a:lnTo>
              <a:lnTo>
                <a:pt x="664729" y="542909"/>
              </a:lnTo>
              <a:lnTo>
                <a:pt x="684445" y="542909"/>
              </a:lnTo>
              <a:lnTo>
                <a:pt x="687966" y="539388"/>
              </a:lnTo>
              <a:lnTo>
                <a:pt x="666841" y="539388"/>
              </a:lnTo>
              <a:lnTo>
                <a:pt x="660504" y="533755"/>
              </a:lnTo>
              <a:lnTo>
                <a:pt x="660504" y="518967"/>
              </a:lnTo>
              <a:lnTo>
                <a:pt x="666841" y="513334"/>
              </a:lnTo>
              <a:lnTo>
                <a:pt x="687966" y="513334"/>
              </a:lnTo>
              <a:lnTo>
                <a:pt x="684445" y="509813"/>
              </a:lnTo>
              <a:close/>
            </a:path>
            <a:path w="691515" h="687070">
              <a:moveTo>
                <a:pt x="687966" y="513334"/>
              </a:moveTo>
              <a:lnTo>
                <a:pt x="682333" y="513334"/>
              </a:lnTo>
              <a:lnTo>
                <a:pt x="687262" y="518967"/>
              </a:lnTo>
              <a:lnTo>
                <a:pt x="687262" y="533755"/>
              </a:lnTo>
              <a:lnTo>
                <a:pt x="682333" y="539388"/>
              </a:lnTo>
              <a:lnTo>
                <a:pt x="687966" y="539388"/>
              </a:lnTo>
              <a:lnTo>
                <a:pt x="691485" y="535870"/>
              </a:lnTo>
              <a:lnTo>
                <a:pt x="691485" y="516852"/>
              </a:lnTo>
              <a:lnTo>
                <a:pt x="687966" y="513334"/>
              </a:lnTo>
              <a:close/>
            </a:path>
            <a:path w="691515" h="687070">
              <a:moveTo>
                <a:pt x="678812" y="515446"/>
              </a:moveTo>
              <a:lnTo>
                <a:pt x="667545" y="515446"/>
              </a:lnTo>
              <a:lnTo>
                <a:pt x="667545" y="535867"/>
              </a:lnTo>
              <a:lnTo>
                <a:pt x="671066" y="535867"/>
              </a:lnTo>
              <a:lnTo>
                <a:pt x="671066" y="528121"/>
              </a:lnTo>
              <a:lnTo>
                <a:pt x="679986" y="528121"/>
              </a:lnTo>
              <a:lnTo>
                <a:pt x="679516" y="527417"/>
              </a:lnTo>
              <a:lnTo>
                <a:pt x="677404" y="526713"/>
              </a:lnTo>
              <a:lnTo>
                <a:pt x="681629" y="525305"/>
              </a:lnTo>
              <a:lnTo>
                <a:pt x="671066" y="525305"/>
              </a:lnTo>
              <a:lnTo>
                <a:pt x="671066" y="519671"/>
              </a:lnTo>
              <a:lnTo>
                <a:pt x="681159" y="519671"/>
              </a:lnTo>
              <a:lnTo>
                <a:pt x="680925" y="518263"/>
              </a:lnTo>
              <a:lnTo>
                <a:pt x="678812" y="515446"/>
              </a:lnTo>
              <a:close/>
            </a:path>
            <a:path w="691515" h="687070">
              <a:moveTo>
                <a:pt x="679986" y="528121"/>
              </a:moveTo>
              <a:lnTo>
                <a:pt x="675291" y="528121"/>
              </a:lnTo>
              <a:lnTo>
                <a:pt x="676700" y="530234"/>
              </a:lnTo>
              <a:lnTo>
                <a:pt x="677404" y="532346"/>
              </a:lnTo>
              <a:lnTo>
                <a:pt x="678108" y="535867"/>
              </a:lnTo>
              <a:lnTo>
                <a:pt x="681629" y="535867"/>
              </a:lnTo>
              <a:lnTo>
                <a:pt x="680925" y="532346"/>
              </a:lnTo>
              <a:lnTo>
                <a:pt x="680925" y="529530"/>
              </a:lnTo>
              <a:lnTo>
                <a:pt x="679986" y="528121"/>
              </a:lnTo>
              <a:close/>
            </a:path>
            <a:path w="691515" h="687070">
              <a:moveTo>
                <a:pt x="681159" y="519671"/>
              </a:moveTo>
              <a:lnTo>
                <a:pt x="675995" y="519671"/>
              </a:lnTo>
              <a:lnTo>
                <a:pt x="677404" y="520376"/>
              </a:lnTo>
              <a:lnTo>
                <a:pt x="677404" y="524601"/>
              </a:lnTo>
              <a:lnTo>
                <a:pt x="675291" y="525305"/>
              </a:lnTo>
              <a:lnTo>
                <a:pt x="681629" y="525305"/>
              </a:lnTo>
              <a:lnTo>
                <a:pt x="681629" y="522488"/>
              </a:lnTo>
              <a:lnTo>
                <a:pt x="681159" y="519671"/>
              </a:lnTo>
              <a:close/>
            </a:path>
            <a:path w="691515" h="687070">
              <a:moveTo>
                <a:pt x="333140" y="254906"/>
              </a:moveTo>
              <a:lnTo>
                <a:pt x="308423" y="254906"/>
              </a:lnTo>
              <a:lnTo>
                <a:pt x="338578" y="318072"/>
              </a:lnTo>
              <a:lnTo>
                <a:pt x="370186" y="364947"/>
              </a:lnTo>
              <a:lnTo>
                <a:pt x="401152" y="398336"/>
              </a:lnTo>
              <a:lnTo>
                <a:pt x="429381" y="421044"/>
              </a:lnTo>
              <a:lnTo>
                <a:pt x="452776" y="435876"/>
              </a:lnTo>
              <a:lnTo>
                <a:pt x="402426" y="445605"/>
              </a:lnTo>
              <a:lnTo>
                <a:pt x="350115" y="457936"/>
              </a:lnTo>
              <a:lnTo>
                <a:pt x="296925" y="472938"/>
              </a:lnTo>
              <a:lnTo>
                <a:pt x="243938" y="490677"/>
              </a:lnTo>
              <a:lnTo>
                <a:pt x="192236" y="511221"/>
              </a:lnTo>
              <a:lnTo>
                <a:pt x="198852" y="511221"/>
              </a:lnTo>
              <a:lnTo>
                <a:pt x="235372" y="499560"/>
              </a:lnTo>
              <a:lnTo>
                <a:pt x="281717" y="487176"/>
              </a:lnTo>
              <a:lnTo>
                <a:pt x="330252" y="476277"/>
              </a:lnTo>
              <a:lnTo>
                <a:pt x="379960" y="466964"/>
              </a:lnTo>
              <a:lnTo>
                <a:pt x="429825" y="459332"/>
              </a:lnTo>
              <a:lnTo>
                <a:pt x="478830" y="453480"/>
              </a:lnTo>
              <a:lnTo>
                <a:pt x="531704" y="453480"/>
              </a:lnTo>
              <a:lnTo>
                <a:pt x="520376" y="448551"/>
              </a:lnTo>
              <a:lnTo>
                <a:pt x="568138" y="446361"/>
              </a:lnTo>
              <a:lnTo>
                <a:pt x="677124" y="446361"/>
              </a:lnTo>
              <a:lnTo>
                <a:pt x="658831" y="436492"/>
              </a:lnTo>
              <a:lnTo>
                <a:pt x="632567" y="430947"/>
              </a:lnTo>
              <a:lnTo>
                <a:pt x="489392" y="430947"/>
              </a:lnTo>
              <a:lnTo>
                <a:pt x="473054" y="421595"/>
              </a:lnTo>
              <a:lnTo>
                <a:pt x="426018" y="390105"/>
              </a:lnTo>
              <a:lnTo>
                <a:pt x="391052" y="354578"/>
              </a:lnTo>
              <a:lnTo>
                <a:pt x="361235" y="311855"/>
              </a:lnTo>
              <a:lnTo>
                <a:pt x="336699" y="264247"/>
              </a:lnTo>
              <a:lnTo>
                <a:pt x="333140" y="254906"/>
              </a:lnTo>
              <a:close/>
            </a:path>
            <a:path w="691515" h="687070">
              <a:moveTo>
                <a:pt x="531704" y="453480"/>
              </a:moveTo>
              <a:lnTo>
                <a:pt x="478830" y="453480"/>
              </a:lnTo>
              <a:lnTo>
                <a:pt x="525041" y="474363"/>
              </a:lnTo>
              <a:lnTo>
                <a:pt x="570723" y="490097"/>
              </a:lnTo>
              <a:lnTo>
                <a:pt x="612709" y="500021"/>
              </a:lnTo>
              <a:lnTo>
                <a:pt x="647829" y="503476"/>
              </a:lnTo>
              <a:lnTo>
                <a:pt x="662363" y="502529"/>
              </a:lnTo>
              <a:lnTo>
                <a:pt x="673267" y="499603"/>
              </a:lnTo>
              <a:lnTo>
                <a:pt x="680606" y="494564"/>
              </a:lnTo>
              <a:lnTo>
                <a:pt x="681847" y="492209"/>
              </a:lnTo>
              <a:lnTo>
                <a:pt x="662616" y="492209"/>
              </a:lnTo>
              <a:lnTo>
                <a:pt x="634747" y="489051"/>
              </a:lnTo>
              <a:lnTo>
                <a:pt x="600210" y="480150"/>
              </a:lnTo>
              <a:lnTo>
                <a:pt x="561316" y="466364"/>
              </a:lnTo>
              <a:lnTo>
                <a:pt x="531704" y="453480"/>
              </a:lnTo>
              <a:close/>
            </a:path>
            <a:path w="691515" h="687070">
              <a:moveTo>
                <a:pt x="684445" y="487280"/>
              </a:moveTo>
              <a:lnTo>
                <a:pt x="679516" y="489392"/>
              </a:lnTo>
              <a:lnTo>
                <a:pt x="671770" y="492209"/>
              </a:lnTo>
              <a:lnTo>
                <a:pt x="681847" y="492209"/>
              </a:lnTo>
              <a:lnTo>
                <a:pt x="684445" y="487280"/>
              </a:lnTo>
              <a:close/>
            </a:path>
            <a:path w="691515" h="687070">
              <a:moveTo>
                <a:pt x="677124" y="446361"/>
              </a:moveTo>
              <a:lnTo>
                <a:pt x="568138" y="446361"/>
              </a:lnTo>
              <a:lnTo>
                <a:pt x="623623" y="447935"/>
              </a:lnTo>
              <a:lnTo>
                <a:pt x="669207" y="457562"/>
              </a:lnTo>
              <a:lnTo>
                <a:pt x="687262" y="479534"/>
              </a:lnTo>
              <a:lnTo>
                <a:pt x="689375" y="474605"/>
              </a:lnTo>
              <a:lnTo>
                <a:pt x="691485" y="472495"/>
              </a:lnTo>
              <a:lnTo>
                <a:pt x="691485" y="467558"/>
              </a:lnTo>
              <a:lnTo>
                <a:pt x="682916" y="449486"/>
              </a:lnTo>
              <a:lnTo>
                <a:pt x="677124" y="446361"/>
              </a:lnTo>
              <a:close/>
            </a:path>
            <a:path w="691515" h="687070">
              <a:moveTo>
                <a:pt x="573892" y="426018"/>
              </a:moveTo>
              <a:lnTo>
                <a:pt x="555045" y="426491"/>
              </a:lnTo>
              <a:lnTo>
                <a:pt x="534547" y="427690"/>
              </a:lnTo>
              <a:lnTo>
                <a:pt x="489392" y="430947"/>
              </a:lnTo>
              <a:lnTo>
                <a:pt x="632567" y="430947"/>
              </a:lnTo>
              <a:lnTo>
                <a:pt x="621676" y="428647"/>
              </a:lnTo>
              <a:lnTo>
                <a:pt x="573892" y="426018"/>
              </a:lnTo>
              <a:close/>
            </a:path>
            <a:path w="691515" h="687070">
              <a:moveTo>
                <a:pt x="329548" y="57741"/>
              </a:moveTo>
              <a:lnTo>
                <a:pt x="325752" y="78536"/>
              </a:lnTo>
              <a:lnTo>
                <a:pt x="321362" y="105272"/>
              </a:lnTo>
              <a:lnTo>
                <a:pt x="315783" y="138345"/>
              </a:lnTo>
              <a:lnTo>
                <a:pt x="308423" y="178153"/>
              </a:lnTo>
              <a:lnTo>
                <a:pt x="322664" y="178153"/>
              </a:lnTo>
              <a:lnTo>
                <a:pt x="323309" y="173598"/>
              </a:lnTo>
              <a:lnTo>
                <a:pt x="326467" y="134847"/>
              </a:lnTo>
              <a:lnTo>
                <a:pt x="328172" y="96624"/>
              </a:lnTo>
              <a:lnTo>
                <a:pt x="329548" y="57741"/>
              </a:lnTo>
              <a:close/>
            </a:path>
            <a:path w="691515" h="687070">
              <a:moveTo>
                <a:pt x="322757" y="4224"/>
              </a:moveTo>
              <a:lnTo>
                <a:pt x="305606" y="4224"/>
              </a:lnTo>
              <a:lnTo>
                <a:pt x="313209" y="9022"/>
              </a:lnTo>
              <a:lnTo>
                <a:pt x="320481" y="16723"/>
              </a:lnTo>
              <a:lnTo>
                <a:pt x="326302" y="28386"/>
              </a:lnTo>
              <a:lnTo>
                <a:pt x="329548" y="45066"/>
              </a:lnTo>
              <a:lnTo>
                <a:pt x="332188" y="19012"/>
              </a:lnTo>
              <a:lnTo>
                <a:pt x="326379" y="5633"/>
              </a:lnTo>
              <a:lnTo>
                <a:pt x="322757" y="4224"/>
              </a:lnTo>
              <a:close/>
            </a:path>
          </a:pathLst>
        </a:custGeom>
        <a:solidFill>
          <a:srgbClr val="FFD8D8">
            <a:alpha val="50000"/>
          </a:srgbClr>
        </a:solidFill>
      </xdr:spPr>
    </xdr:sp>
    <xdr:clientData/>
  </xdr:oneCellAnchor>
  <xdr:twoCellAnchor>
    <xdr:from>
      <xdr:col>1</xdr:col>
      <xdr:colOff>66673</xdr:colOff>
      <xdr:row>0</xdr:row>
      <xdr:rowOff>47625</xdr:rowOff>
    </xdr:from>
    <xdr:to>
      <xdr:col>2</xdr:col>
      <xdr:colOff>1184995</xdr:colOff>
      <xdr:row>0</xdr:row>
      <xdr:rowOff>788361</xdr:rowOff>
    </xdr:to>
    <xdr:pic>
      <xdr:nvPicPr>
        <xdr:cNvPr id="19" name="Picture 18" descr="AH6089629">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28571</xdr:colOff>
      <xdr:row>2</xdr:row>
      <xdr:rowOff>28572</xdr:rowOff>
    </xdr:from>
    <xdr:to>
      <xdr:col>3</xdr:col>
      <xdr:colOff>9665</xdr:colOff>
      <xdr:row>3</xdr:row>
      <xdr:rowOff>7368</xdr:rowOff>
    </xdr:to>
    <xdr:pic>
      <xdr:nvPicPr>
        <xdr:cNvPr id="20" name="Picture 19" descr="Top Banner Thin Grey and Orange line 29-7-16">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1" y="2378072"/>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21" name="Picture 20" descr="Top Banner Thin Grey and Orange line 29-7-16">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15</xdr:col>
      <xdr:colOff>90073</xdr:colOff>
      <xdr:row>183</xdr:row>
      <xdr:rowOff>768091</xdr:rowOff>
    </xdr:from>
    <xdr:ext cx="691515" cy="687070"/>
    <xdr:sp macro="" textlink="">
      <xdr:nvSpPr>
        <xdr:cNvPr id="2" name="Shape 2">
          <a:extLst>
            <a:ext uri="{FF2B5EF4-FFF2-40B4-BE49-F238E27FC236}">
              <a16:creationId xmlns:a16="http://schemas.microsoft.com/office/drawing/2014/main" id="{00000000-0008-0000-0C00-000002000000}"/>
            </a:ext>
          </a:extLst>
        </xdr:cNvPr>
        <xdr:cNvSpPr/>
      </xdr:nvSpPr>
      <xdr:spPr>
        <a:xfrm>
          <a:off x="9519823" y="75831441"/>
          <a:ext cx="691515" cy="687070"/>
        </a:xfrm>
        <a:custGeom>
          <a:avLst/>
          <a:gdLst/>
          <a:ahLst/>
          <a:cxnLst/>
          <a:rect l="0" t="0" r="0" b="0"/>
          <a:pathLst>
            <a:path w="691515" h="687070">
              <a:moveTo>
                <a:pt x="124636" y="541500"/>
              </a:moveTo>
              <a:lnTo>
                <a:pt x="64463" y="580625"/>
              </a:lnTo>
              <a:lnTo>
                <a:pt x="26142" y="618430"/>
              </a:lnTo>
              <a:lnTo>
                <a:pt x="5908" y="651218"/>
              </a:lnTo>
              <a:lnTo>
                <a:pt x="0" y="675291"/>
              </a:lnTo>
              <a:lnTo>
                <a:pt x="4434" y="684203"/>
              </a:lnTo>
              <a:lnTo>
                <a:pt x="8402" y="686555"/>
              </a:lnTo>
              <a:lnTo>
                <a:pt x="54839" y="686555"/>
              </a:lnTo>
              <a:lnTo>
                <a:pt x="56772" y="685150"/>
              </a:lnTo>
              <a:lnTo>
                <a:pt x="13379" y="685150"/>
              </a:lnTo>
              <a:lnTo>
                <a:pt x="19474" y="659536"/>
              </a:lnTo>
              <a:lnTo>
                <a:pt x="42073" y="623359"/>
              </a:lnTo>
              <a:lnTo>
                <a:pt x="78140" y="582166"/>
              </a:lnTo>
              <a:lnTo>
                <a:pt x="124636" y="541500"/>
              </a:lnTo>
              <a:close/>
            </a:path>
            <a:path w="691515" h="687070">
              <a:moveTo>
                <a:pt x="295748" y="0"/>
              </a:moveTo>
              <a:lnTo>
                <a:pt x="281907" y="9242"/>
              </a:lnTo>
              <a:lnTo>
                <a:pt x="274799" y="30631"/>
              </a:lnTo>
              <a:lnTo>
                <a:pt x="272180" y="54660"/>
              </a:lnTo>
              <a:lnTo>
                <a:pt x="271806" y="71824"/>
              </a:lnTo>
              <a:lnTo>
                <a:pt x="272312" y="87349"/>
              </a:lnTo>
              <a:lnTo>
                <a:pt x="278848" y="140128"/>
              </a:lnTo>
              <a:lnTo>
                <a:pt x="286364" y="178153"/>
              </a:lnTo>
              <a:lnTo>
                <a:pt x="295748" y="216177"/>
              </a:lnTo>
              <a:lnTo>
                <a:pt x="292088" y="233541"/>
              </a:lnTo>
              <a:lnTo>
                <a:pt x="265590" y="305793"/>
              </a:lnTo>
              <a:lnTo>
                <a:pt x="244605" y="354976"/>
              </a:lnTo>
              <a:lnTo>
                <a:pt x="219698" y="409058"/>
              </a:lnTo>
              <a:lnTo>
                <a:pt x="191796" y="465187"/>
              </a:lnTo>
              <a:lnTo>
                <a:pt x="161825" y="520509"/>
              </a:lnTo>
              <a:lnTo>
                <a:pt x="130713" y="572171"/>
              </a:lnTo>
              <a:lnTo>
                <a:pt x="99385" y="617319"/>
              </a:lnTo>
              <a:lnTo>
                <a:pt x="68769" y="653100"/>
              </a:lnTo>
              <a:lnTo>
                <a:pt x="13379" y="685150"/>
              </a:lnTo>
              <a:lnTo>
                <a:pt x="56772" y="685150"/>
              </a:lnTo>
              <a:lnTo>
                <a:pt x="80190" y="668120"/>
              </a:lnTo>
              <a:lnTo>
                <a:pt x="112412" y="633312"/>
              </a:lnTo>
              <a:lnTo>
                <a:pt x="149712" y="582166"/>
              </a:lnTo>
              <a:lnTo>
                <a:pt x="192236" y="513334"/>
              </a:lnTo>
              <a:lnTo>
                <a:pt x="198852" y="511221"/>
              </a:lnTo>
              <a:lnTo>
                <a:pt x="192236" y="511221"/>
              </a:lnTo>
              <a:lnTo>
                <a:pt x="227591" y="447687"/>
              </a:lnTo>
              <a:lnTo>
                <a:pt x="254906" y="394226"/>
              </a:lnTo>
              <a:lnTo>
                <a:pt x="275415" y="349528"/>
              </a:lnTo>
              <a:lnTo>
                <a:pt x="290349" y="312283"/>
              </a:lnTo>
              <a:lnTo>
                <a:pt x="300941" y="281179"/>
              </a:lnTo>
              <a:lnTo>
                <a:pt x="308423" y="254906"/>
              </a:lnTo>
              <a:lnTo>
                <a:pt x="333140" y="254906"/>
              </a:lnTo>
              <a:lnTo>
                <a:pt x="317577" y="214065"/>
              </a:lnTo>
              <a:lnTo>
                <a:pt x="322664" y="178153"/>
              </a:lnTo>
              <a:lnTo>
                <a:pt x="308423" y="178153"/>
              </a:lnTo>
              <a:lnTo>
                <a:pt x="300325" y="147257"/>
              </a:lnTo>
              <a:lnTo>
                <a:pt x="294868" y="117419"/>
              </a:lnTo>
              <a:lnTo>
                <a:pt x="291787" y="89428"/>
              </a:lnTo>
              <a:lnTo>
                <a:pt x="290819" y="64078"/>
              </a:lnTo>
              <a:lnTo>
                <a:pt x="291050" y="53439"/>
              </a:lnTo>
              <a:lnTo>
                <a:pt x="292667" y="35472"/>
              </a:lnTo>
              <a:lnTo>
                <a:pt x="297057" y="16844"/>
              </a:lnTo>
              <a:lnTo>
                <a:pt x="305606" y="4224"/>
              </a:lnTo>
              <a:lnTo>
                <a:pt x="322757" y="4224"/>
              </a:lnTo>
              <a:lnTo>
                <a:pt x="313704" y="704"/>
              </a:lnTo>
              <a:lnTo>
                <a:pt x="295748" y="0"/>
              </a:lnTo>
              <a:close/>
            </a:path>
            <a:path w="691515" h="687070">
              <a:moveTo>
                <a:pt x="684445" y="509813"/>
              </a:moveTo>
              <a:lnTo>
                <a:pt x="664729" y="509813"/>
              </a:lnTo>
              <a:lnTo>
                <a:pt x="656986" y="516852"/>
              </a:lnTo>
              <a:lnTo>
                <a:pt x="656986" y="535870"/>
              </a:lnTo>
              <a:lnTo>
                <a:pt x="664729" y="542909"/>
              </a:lnTo>
              <a:lnTo>
                <a:pt x="684445" y="542909"/>
              </a:lnTo>
              <a:lnTo>
                <a:pt x="687966" y="539388"/>
              </a:lnTo>
              <a:lnTo>
                <a:pt x="666841" y="539388"/>
              </a:lnTo>
              <a:lnTo>
                <a:pt x="660504" y="533755"/>
              </a:lnTo>
              <a:lnTo>
                <a:pt x="660504" y="518967"/>
              </a:lnTo>
              <a:lnTo>
                <a:pt x="666841" y="513334"/>
              </a:lnTo>
              <a:lnTo>
                <a:pt x="687966" y="513334"/>
              </a:lnTo>
              <a:lnTo>
                <a:pt x="684445" y="509813"/>
              </a:lnTo>
              <a:close/>
            </a:path>
            <a:path w="691515" h="687070">
              <a:moveTo>
                <a:pt x="687966" y="513334"/>
              </a:moveTo>
              <a:lnTo>
                <a:pt x="682333" y="513334"/>
              </a:lnTo>
              <a:lnTo>
                <a:pt x="687262" y="518967"/>
              </a:lnTo>
              <a:lnTo>
                <a:pt x="687262" y="533755"/>
              </a:lnTo>
              <a:lnTo>
                <a:pt x="682333" y="539388"/>
              </a:lnTo>
              <a:lnTo>
                <a:pt x="687966" y="539388"/>
              </a:lnTo>
              <a:lnTo>
                <a:pt x="691485" y="535870"/>
              </a:lnTo>
              <a:lnTo>
                <a:pt x="691485" y="516852"/>
              </a:lnTo>
              <a:lnTo>
                <a:pt x="687966" y="513334"/>
              </a:lnTo>
              <a:close/>
            </a:path>
            <a:path w="691515" h="687070">
              <a:moveTo>
                <a:pt x="678812" y="515446"/>
              </a:moveTo>
              <a:lnTo>
                <a:pt x="667545" y="515446"/>
              </a:lnTo>
              <a:lnTo>
                <a:pt x="667545" y="535867"/>
              </a:lnTo>
              <a:lnTo>
                <a:pt x="671066" y="535867"/>
              </a:lnTo>
              <a:lnTo>
                <a:pt x="671066" y="528121"/>
              </a:lnTo>
              <a:lnTo>
                <a:pt x="679986" y="528121"/>
              </a:lnTo>
              <a:lnTo>
                <a:pt x="679516" y="527417"/>
              </a:lnTo>
              <a:lnTo>
                <a:pt x="677404" y="526713"/>
              </a:lnTo>
              <a:lnTo>
                <a:pt x="681629" y="525305"/>
              </a:lnTo>
              <a:lnTo>
                <a:pt x="671066" y="525305"/>
              </a:lnTo>
              <a:lnTo>
                <a:pt x="671066" y="519671"/>
              </a:lnTo>
              <a:lnTo>
                <a:pt x="681159" y="519671"/>
              </a:lnTo>
              <a:lnTo>
                <a:pt x="680925" y="518263"/>
              </a:lnTo>
              <a:lnTo>
                <a:pt x="678812" y="515446"/>
              </a:lnTo>
              <a:close/>
            </a:path>
            <a:path w="691515" h="687070">
              <a:moveTo>
                <a:pt x="679986" y="528121"/>
              </a:moveTo>
              <a:lnTo>
                <a:pt x="675291" y="528121"/>
              </a:lnTo>
              <a:lnTo>
                <a:pt x="676700" y="530234"/>
              </a:lnTo>
              <a:lnTo>
                <a:pt x="677404" y="532346"/>
              </a:lnTo>
              <a:lnTo>
                <a:pt x="678108" y="535867"/>
              </a:lnTo>
              <a:lnTo>
                <a:pt x="681629" y="535867"/>
              </a:lnTo>
              <a:lnTo>
                <a:pt x="680925" y="532346"/>
              </a:lnTo>
              <a:lnTo>
                <a:pt x="680925" y="529530"/>
              </a:lnTo>
              <a:lnTo>
                <a:pt x="679986" y="528121"/>
              </a:lnTo>
              <a:close/>
            </a:path>
            <a:path w="691515" h="687070">
              <a:moveTo>
                <a:pt x="681159" y="519671"/>
              </a:moveTo>
              <a:lnTo>
                <a:pt x="675995" y="519671"/>
              </a:lnTo>
              <a:lnTo>
                <a:pt x="677404" y="520376"/>
              </a:lnTo>
              <a:lnTo>
                <a:pt x="677404" y="524601"/>
              </a:lnTo>
              <a:lnTo>
                <a:pt x="675291" y="525305"/>
              </a:lnTo>
              <a:lnTo>
                <a:pt x="681629" y="525305"/>
              </a:lnTo>
              <a:lnTo>
                <a:pt x="681629" y="522488"/>
              </a:lnTo>
              <a:lnTo>
                <a:pt x="681159" y="519671"/>
              </a:lnTo>
              <a:close/>
            </a:path>
            <a:path w="691515" h="687070">
              <a:moveTo>
                <a:pt x="333140" y="254906"/>
              </a:moveTo>
              <a:lnTo>
                <a:pt x="308423" y="254906"/>
              </a:lnTo>
              <a:lnTo>
                <a:pt x="338578" y="318072"/>
              </a:lnTo>
              <a:lnTo>
                <a:pt x="370186" y="364947"/>
              </a:lnTo>
              <a:lnTo>
                <a:pt x="401152" y="398336"/>
              </a:lnTo>
              <a:lnTo>
                <a:pt x="429381" y="421044"/>
              </a:lnTo>
              <a:lnTo>
                <a:pt x="452776" y="435876"/>
              </a:lnTo>
              <a:lnTo>
                <a:pt x="402426" y="445605"/>
              </a:lnTo>
              <a:lnTo>
                <a:pt x="350115" y="457936"/>
              </a:lnTo>
              <a:lnTo>
                <a:pt x="296925" y="472938"/>
              </a:lnTo>
              <a:lnTo>
                <a:pt x="243938" y="490677"/>
              </a:lnTo>
              <a:lnTo>
                <a:pt x="192236" y="511221"/>
              </a:lnTo>
              <a:lnTo>
                <a:pt x="198852" y="511221"/>
              </a:lnTo>
              <a:lnTo>
                <a:pt x="235372" y="499560"/>
              </a:lnTo>
              <a:lnTo>
                <a:pt x="281717" y="487176"/>
              </a:lnTo>
              <a:lnTo>
                <a:pt x="330252" y="476277"/>
              </a:lnTo>
              <a:lnTo>
                <a:pt x="379960" y="466964"/>
              </a:lnTo>
              <a:lnTo>
                <a:pt x="429825" y="459332"/>
              </a:lnTo>
              <a:lnTo>
                <a:pt x="478830" y="453480"/>
              </a:lnTo>
              <a:lnTo>
                <a:pt x="531704" y="453480"/>
              </a:lnTo>
              <a:lnTo>
                <a:pt x="520376" y="448551"/>
              </a:lnTo>
              <a:lnTo>
                <a:pt x="568138" y="446361"/>
              </a:lnTo>
              <a:lnTo>
                <a:pt x="677124" y="446361"/>
              </a:lnTo>
              <a:lnTo>
                <a:pt x="658831" y="436492"/>
              </a:lnTo>
              <a:lnTo>
                <a:pt x="632567" y="430947"/>
              </a:lnTo>
              <a:lnTo>
                <a:pt x="489392" y="430947"/>
              </a:lnTo>
              <a:lnTo>
                <a:pt x="473054" y="421595"/>
              </a:lnTo>
              <a:lnTo>
                <a:pt x="426018" y="390105"/>
              </a:lnTo>
              <a:lnTo>
                <a:pt x="391052" y="354578"/>
              </a:lnTo>
              <a:lnTo>
                <a:pt x="361235" y="311855"/>
              </a:lnTo>
              <a:lnTo>
                <a:pt x="336699" y="264247"/>
              </a:lnTo>
              <a:lnTo>
                <a:pt x="333140" y="254906"/>
              </a:lnTo>
              <a:close/>
            </a:path>
            <a:path w="691515" h="687070">
              <a:moveTo>
                <a:pt x="531704" y="453480"/>
              </a:moveTo>
              <a:lnTo>
                <a:pt x="478830" y="453480"/>
              </a:lnTo>
              <a:lnTo>
                <a:pt x="525041" y="474363"/>
              </a:lnTo>
              <a:lnTo>
                <a:pt x="570723" y="490097"/>
              </a:lnTo>
              <a:lnTo>
                <a:pt x="612709" y="500021"/>
              </a:lnTo>
              <a:lnTo>
                <a:pt x="647829" y="503476"/>
              </a:lnTo>
              <a:lnTo>
                <a:pt x="662363" y="502529"/>
              </a:lnTo>
              <a:lnTo>
                <a:pt x="673267" y="499603"/>
              </a:lnTo>
              <a:lnTo>
                <a:pt x="680606" y="494564"/>
              </a:lnTo>
              <a:lnTo>
                <a:pt x="681847" y="492209"/>
              </a:lnTo>
              <a:lnTo>
                <a:pt x="662616" y="492209"/>
              </a:lnTo>
              <a:lnTo>
                <a:pt x="634747" y="489051"/>
              </a:lnTo>
              <a:lnTo>
                <a:pt x="600210" y="480150"/>
              </a:lnTo>
              <a:lnTo>
                <a:pt x="561316" y="466364"/>
              </a:lnTo>
              <a:lnTo>
                <a:pt x="531704" y="453480"/>
              </a:lnTo>
              <a:close/>
            </a:path>
            <a:path w="691515" h="687070">
              <a:moveTo>
                <a:pt x="684445" y="487280"/>
              </a:moveTo>
              <a:lnTo>
                <a:pt x="679516" y="489392"/>
              </a:lnTo>
              <a:lnTo>
                <a:pt x="671770" y="492209"/>
              </a:lnTo>
              <a:lnTo>
                <a:pt x="681847" y="492209"/>
              </a:lnTo>
              <a:lnTo>
                <a:pt x="684445" y="487280"/>
              </a:lnTo>
              <a:close/>
            </a:path>
            <a:path w="691515" h="687070">
              <a:moveTo>
                <a:pt x="677124" y="446361"/>
              </a:moveTo>
              <a:lnTo>
                <a:pt x="568138" y="446361"/>
              </a:lnTo>
              <a:lnTo>
                <a:pt x="623623" y="447935"/>
              </a:lnTo>
              <a:lnTo>
                <a:pt x="669207" y="457562"/>
              </a:lnTo>
              <a:lnTo>
                <a:pt x="687262" y="479534"/>
              </a:lnTo>
              <a:lnTo>
                <a:pt x="689375" y="474605"/>
              </a:lnTo>
              <a:lnTo>
                <a:pt x="691485" y="472495"/>
              </a:lnTo>
              <a:lnTo>
                <a:pt x="691485" y="467558"/>
              </a:lnTo>
              <a:lnTo>
                <a:pt x="682916" y="449486"/>
              </a:lnTo>
              <a:lnTo>
                <a:pt x="677124" y="446361"/>
              </a:lnTo>
              <a:close/>
            </a:path>
            <a:path w="691515" h="687070">
              <a:moveTo>
                <a:pt x="573892" y="426018"/>
              </a:moveTo>
              <a:lnTo>
                <a:pt x="555045" y="426491"/>
              </a:lnTo>
              <a:lnTo>
                <a:pt x="534547" y="427690"/>
              </a:lnTo>
              <a:lnTo>
                <a:pt x="489392" y="430947"/>
              </a:lnTo>
              <a:lnTo>
                <a:pt x="632567" y="430947"/>
              </a:lnTo>
              <a:lnTo>
                <a:pt x="621676" y="428647"/>
              </a:lnTo>
              <a:lnTo>
                <a:pt x="573892" y="426018"/>
              </a:lnTo>
              <a:close/>
            </a:path>
            <a:path w="691515" h="687070">
              <a:moveTo>
                <a:pt x="329548" y="57741"/>
              </a:moveTo>
              <a:lnTo>
                <a:pt x="325752" y="78536"/>
              </a:lnTo>
              <a:lnTo>
                <a:pt x="321362" y="105272"/>
              </a:lnTo>
              <a:lnTo>
                <a:pt x="315783" y="138345"/>
              </a:lnTo>
              <a:lnTo>
                <a:pt x="308423" y="178153"/>
              </a:lnTo>
              <a:lnTo>
                <a:pt x="322664" y="178153"/>
              </a:lnTo>
              <a:lnTo>
                <a:pt x="323309" y="173598"/>
              </a:lnTo>
              <a:lnTo>
                <a:pt x="326467" y="134847"/>
              </a:lnTo>
              <a:lnTo>
                <a:pt x="328172" y="96624"/>
              </a:lnTo>
              <a:lnTo>
                <a:pt x="329548" y="57741"/>
              </a:lnTo>
              <a:close/>
            </a:path>
            <a:path w="691515" h="687070">
              <a:moveTo>
                <a:pt x="322757" y="4224"/>
              </a:moveTo>
              <a:lnTo>
                <a:pt x="305606" y="4224"/>
              </a:lnTo>
              <a:lnTo>
                <a:pt x="313209" y="9022"/>
              </a:lnTo>
              <a:lnTo>
                <a:pt x="320481" y="16723"/>
              </a:lnTo>
              <a:lnTo>
                <a:pt x="326302" y="28386"/>
              </a:lnTo>
              <a:lnTo>
                <a:pt x="329548" y="45066"/>
              </a:lnTo>
              <a:lnTo>
                <a:pt x="332188" y="19012"/>
              </a:lnTo>
              <a:lnTo>
                <a:pt x="326379" y="5633"/>
              </a:lnTo>
              <a:lnTo>
                <a:pt x="322757" y="4224"/>
              </a:lnTo>
              <a:close/>
            </a:path>
          </a:pathLst>
        </a:custGeom>
        <a:solidFill>
          <a:srgbClr val="FFD8D8">
            <a:alpha val="50000"/>
          </a:srgbClr>
        </a:solidFill>
      </xdr:spPr>
    </xdr:sp>
    <xdr:clientData/>
  </xdr:oneCellAnchor>
  <xdr:twoCellAnchor>
    <xdr:from>
      <xdr:col>1</xdr:col>
      <xdr:colOff>66673</xdr:colOff>
      <xdr:row>0</xdr:row>
      <xdr:rowOff>47625</xdr:rowOff>
    </xdr:from>
    <xdr:to>
      <xdr:col>2</xdr:col>
      <xdr:colOff>1451695</xdr:colOff>
      <xdr:row>0</xdr:row>
      <xdr:rowOff>788361</xdr:rowOff>
    </xdr:to>
    <xdr:pic>
      <xdr:nvPicPr>
        <xdr:cNvPr id="24" name="Picture 23" descr="AH6089629">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28571</xdr:colOff>
      <xdr:row>2</xdr:row>
      <xdr:rowOff>28572</xdr:rowOff>
    </xdr:from>
    <xdr:to>
      <xdr:col>3</xdr:col>
      <xdr:colOff>276365</xdr:colOff>
      <xdr:row>3</xdr:row>
      <xdr:rowOff>7368</xdr:rowOff>
    </xdr:to>
    <xdr:pic>
      <xdr:nvPicPr>
        <xdr:cNvPr id="28" name="Picture 27" descr="Top Banner Thin Grey and Orange line 29-7-16">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1" y="2378072"/>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30" name="Picture 29" descr="Top Banner Thin Grey and Orange line 29-7-16">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2019300</xdr:colOff>
      <xdr:row>3</xdr:row>
      <xdr:rowOff>88900</xdr:rowOff>
    </xdr:from>
    <xdr:to>
      <xdr:col>3</xdr:col>
      <xdr:colOff>0</xdr:colOff>
      <xdr:row>3</xdr:row>
      <xdr:rowOff>311150</xdr:rowOff>
    </xdr:to>
    <xdr:sp macro="" textlink="">
      <xdr:nvSpPr>
        <xdr:cNvPr id="20770" name="CheckBox1" hidden="1">
          <a:extLst>
            <a:ext uri="{63B3BB69-23CF-44E3-9099-C40C66FF867C}">
              <a14:compatExt xmlns:a14="http://schemas.microsoft.com/office/drawing/2010/main" spid="_x0000_s20770"/>
            </a:ext>
            <a:ext uri="{FF2B5EF4-FFF2-40B4-BE49-F238E27FC236}">
              <a16:creationId xmlns:a16="http://schemas.microsoft.com/office/drawing/2014/main" id="{00000000-0008-0000-0D00-0000225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66673</xdr:colOff>
      <xdr:row>0</xdr:row>
      <xdr:rowOff>47625</xdr:rowOff>
    </xdr:from>
    <xdr:to>
      <xdr:col>2</xdr:col>
      <xdr:colOff>1883495</xdr:colOff>
      <xdr:row>0</xdr:row>
      <xdr:rowOff>788361</xdr:rowOff>
    </xdr:to>
    <xdr:pic>
      <xdr:nvPicPr>
        <xdr:cNvPr id="27" name="Picture 26" descr="AH6089629">
          <a:extLst>
            <a:ext uri="{FF2B5EF4-FFF2-40B4-BE49-F238E27FC236}">
              <a16:creationId xmlns:a16="http://schemas.microsoft.com/office/drawing/2014/main" id="{00000000-0008-0000-0D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2</xdr:row>
      <xdr:rowOff>28574</xdr:rowOff>
    </xdr:from>
    <xdr:to>
      <xdr:col>3</xdr:col>
      <xdr:colOff>47768</xdr:colOff>
      <xdr:row>2</xdr:row>
      <xdr:rowOff>172470</xdr:rowOff>
    </xdr:to>
    <xdr:pic>
      <xdr:nvPicPr>
        <xdr:cNvPr id="28" name="Picture 27" descr="Top Banner Thin Grey and Orange line 29-7-16">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4" y="3571874"/>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29" name="Picture 28" descr="Top Banner Thin Grey and Orange line 29-7-16">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66673</xdr:colOff>
      <xdr:row>0</xdr:row>
      <xdr:rowOff>47625</xdr:rowOff>
    </xdr:from>
    <xdr:to>
      <xdr:col>2</xdr:col>
      <xdr:colOff>626195</xdr:colOff>
      <xdr:row>0</xdr:row>
      <xdr:rowOff>788361</xdr:rowOff>
    </xdr:to>
    <xdr:pic>
      <xdr:nvPicPr>
        <xdr:cNvPr id="15" name="Picture 14" descr="AH6089629">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xdr:row>
      <xdr:rowOff>28574</xdr:rowOff>
    </xdr:from>
    <xdr:to>
      <xdr:col>3</xdr:col>
      <xdr:colOff>441469</xdr:colOff>
      <xdr:row>2</xdr:row>
      <xdr:rowOff>172470</xdr:rowOff>
    </xdr:to>
    <xdr:pic>
      <xdr:nvPicPr>
        <xdr:cNvPr id="16" name="Picture 15" descr="Top Banner Thin Grey and Orange line 29-7-16">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5" y="1946274"/>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20" name="Picture 19" descr="Top Banner Thin Grey and Orange line 29-7-16">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15</xdr:col>
      <xdr:colOff>90073</xdr:colOff>
      <xdr:row>106</xdr:row>
      <xdr:rowOff>0</xdr:rowOff>
    </xdr:from>
    <xdr:ext cx="691515" cy="687070"/>
    <xdr:sp macro="" textlink="">
      <xdr:nvSpPr>
        <xdr:cNvPr id="56" name="Shape 2">
          <a:extLst>
            <a:ext uri="{FF2B5EF4-FFF2-40B4-BE49-F238E27FC236}">
              <a16:creationId xmlns:a16="http://schemas.microsoft.com/office/drawing/2014/main" id="{00000000-0008-0000-0F00-000038000000}"/>
            </a:ext>
          </a:extLst>
        </xdr:cNvPr>
        <xdr:cNvSpPr/>
      </xdr:nvSpPr>
      <xdr:spPr>
        <a:xfrm>
          <a:off x="24283573" y="96729550"/>
          <a:ext cx="691515" cy="687070"/>
        </a:xfrm>
        <a:custGeom>
          <a:avLst/>
          <a:gdLst/>
          <a:ahLst/>
          <a:cxnLst/>
          <a:rect l="0" t="0" r="0" b="0"/>
          <a:pathLst>
            <a:path w="691515" h="687070">
              <a:moveTo>
                <a:pt x="124636" y="541500"/>
              </a:moveTo>
              <a:lnTo>
                <a:pt x="64463" y="580625"/>
              </a:lnTo>
              <a:lnTo>
                <a:pt x="26142" y="618430"/>
              </a:lnTo>
              <a:lnTo>
                <a:pt x="5908" y="651218"/>
              </a:lnTo>
              <a:lnTo>
                <a:pt x="0" y="675291"/>
              </a:lnTo>
              <a:lnTo>
                <a:pt x="4434" y="684203"/>
              </a:lnTo>
              <a:lnTo>
                <a:pt x="8402" y="686555"/>
              </a:lnTo>
              <a:lnTo>
                <a:pt x="54839" y="686555"/>
              </a:lnTo>
              <a:lnTo>
                <a:pt x="56772" y="685150"/>
              </a:lnTo>
              <a:lnTo>
                <a:pt x="13379" y="685150"/>
              </a:lnTo>
              <a:lnTo>
                <a:pt x="19474" y="659536"/>
              </a:lnTo>
              <a:lnTo>
                <a:pt x="42073" y="623359"/>
              </a:lnTo>
              <a:lnTo>
                <a:pt x="78140" y="582166"/>
              </a:lnTo>
              <a:lnTo>
                <a:pt x="124636" y="541500"/>
              </a:lnTo>
              <a:close/>
            </a:path>
            <a:path w="691515" h="687070">
              <a:moveTo>
                <a:pt x="295748" y="0"/>
              </a:moveTo>
              <a:lnTo>
                <a:pt x="281907" y="9242"/>
              </a:lnTo>
              <a:lnTo>
                <a:pt x="274799" y="30631"/>
              </a:lnTo>
              <a:lnTo>
                <a:pt x="272180" y="54660"/>
              </a:lnTo>
              <a:lnTo>
                <a:pt x="271806" y="71824"/>
              </a:lnTo>
              <a:lnTo>
                <a:pt x="272312" y="87349"/>
              </a:lnTo>
              <a:lnTo>
                <a:pt x="278848" y="140128"/>
              </a:lnTo>
              <a:lnTo>
                <a:pt x="286364" y="178153"/>
              </a:lnTo>
              <a:lnTo>
                <a:pt x="295748" y="216177"/>
              </a:lnTo>
              <a:lnTo>
                <a:pt x="292088" y="233541"/>
              </a:lnTo>
              <a:lnTo>
                <a:pt x="265590" y="305793"/>
              </a:lnTo>
              <a:lnTo>
                <a:pt x="244605" y="354976"/>
              </a:lnTo>
              <a:lnTo>
                <a:pt x="219698" y="409058"/>
              </a:lnTo>
              <a:lnTo>
                <a:pt x="191796" y="465187"/>
              </a:lnTo>
              <a:lnTo>
                <a:pt x="161825" y="520509"/>
              </a:lnTo>
              <a:lnTo>
                <a:pt x="130713" y="572171"/>
              </a:lnTo>
              <a:lnTo>
                <a:pt x="99385" y="617319"/>
              </a:lnTo>
              <a:lnTo>
                <a:pt x="68769" y="653100"/>
              </a:lnTo>
              <a:lnTo>
                <a:pt x="13379" y="685150"/>
              </a:lnTo>
              <a:lnTo>
                <a:pt x="56772" y="685150"/>
              </a:lnTo>
              <a:lnTo>
                <a:pt x="80190" y="668120"/>
              </a:lnTo>
              <a:lnTo>
                <a:pt x="112412" y="633312"/>
              </a:lnTo>
              <a:lnTo>
                <a:pt x="149712" y="582166"/>
              </a:lnTo>
              <a:lnTo>
                <a:pt x="192236" y="513334"/>
              </a:lnTo>
              <a:lnTo>
                <a:pt x="198852" y="511221"/>
              </a:lnTo>
              <a:lnTo>
                <a:pt x="192236" y="511221"/>
              </a:lnTo>
              <a:lnTo>
                <a:pt x="227591" y="447687"/>
              </a:lnTo>
              <a:lnTo>
                <a:pt x="254906" y="394226"/>
              </a:lnTo>
              <a:lnTo>
                <a:pt x="275415" y="349528"/>
              </a:lnTo>
              <a:lnTo>
                <a:pt x="290349" y="312283"/>
              </a:lnTo>
              <a:lnTo>
                <a:pt x="300941" y="281179"/>
              </a:lnTo>
              <a:lnTo>
                <a:pt x="308423" y="254906"/>
              </a:lnTo>
              <a:lnTo>
                <a:pt x="333140" y="254906"/>
              </a:lnTo>
              <a:lnTo>
                <a:pt x="317577" y="214065"/>
              </a:lnTo>
              <a:lnTo>
                <a:pt x="322664" y="178153"/>
              </a:lnTo>
              <a:lnTo>
                <a:pt x="308423" y="178153"/>
              </a:lnTo>
              <a:lnTo>
                <a:pt x="300325" y="147257"/>
              </a:lnTo>
              <a:lnTo>
                <a:pt x="294868" y="117419"/>
              </a:lnTo>
              <a:lnTo>
                <a:pt x="291787" y="89428"/>
              </a:lnTo>
              <a:lnTo>
                <a:pt x="290819" y="64078"/>
              </a:lnTo>
              <a:lnTo>
                <a:pt x="291050" y="53439"/>
              </a:lnTo>
              <a:lnTo>
                <a:pt x="292667" y="35472"/>
              </a:lnTo>
              <a:lnTo>
                <a:pt x="297057" y="16844"/>
              </a:lnTo>
              <a:lnTo>
                <a:pt x="305606" y="4224"/>
              </a:lnTo>
              <a:lnTo>
                <a:pt x="322757" y="4224"/>
              </a:lnTo>
              <a:lnTo>
                <a:pt x="313704" y="704"/>
              </a:lnTo>
              <a:lnTo>
                <a:pt x="295748" y="0"/>
              </a:lnTo>
              <a:close/>
            </a:path>
            <a:path w="691515" h="687070">
              <a:moveTo>
                <a:pt x="684445" y="509813"/>
              </a:moveTo>
              <a:lnTo>
                <a:pt x="664729" y="509813"/>
              </a:lnTo>
              <a:lnTo>
                <a:pt x="656986" y="516852"/>
              </a:lnTo>
              <a:lnTo>
                <a:pt x="656986" y="535870"/>
              </a:lnTo>
              <a:lnTo>
                <a:pt x="664729" y="542909"/>
              </a:lnTo>
              <a:lnTo>
                <a:pt x="684445" y="542909"/>
              </a:lnTo>
              <a:lnTo>
                <a:pt x="687966" y="539388"/>
              </a:lnTo>
              <a:lnTo>
                <a:pt x="666841" y="539388"/>
              </a:lnTo>
              <a:lnTo>
                <a:pt x="660504" y="533755"/>
              </a:lnTo>
              <a:lnTo>
                <a:pt x="660504" y="518967"/>
              </a:lnTo>
              <a:lnTo>
                <a:pt x="666841" y="513334"/>
              </a:lnTo>
              <a:lnTo>
                <a:pt x="687966" y="513334"/>
              </a:lnTo>
              <a:lnTo>
                <a:pt x="684445" y="509813"/>
              </a:lnTo>
              <a:close/>
            </a:path>
            <a:path w="691515" h="687070">
              <a:moveTo>
                <a:pt x="687966" y="513334"/>
              </a:moveTo>
              <a:lnTo>
                <a:pt x="682333" y="513334"/>
              </a:lnTo>
              <a:lnTo>
                <a:pt x="687262" y="518967"/>
              </a:lnTo>
              <a:lnTo>
                <a:pt x="687262" y="533755"/>
              </a:lnTo>
              <a:lnTo>
                <a:pt x="682333" y="539388"/>
              </a:lnTo>
              <a:lnTo>
                <a:pt x="687966" y="539388"/>
              </a:lnTo>
              <a:lnTo>
                <a:pt x="691485" y="535870"/>
              </a:lnTo>
              <a:lnTo>
                <a:pt x="691485" y="516852"/>
              </a:lnTo>
              <a:lnTo>
                <a:pt x="687966" y="513334"/>
              </a:lnTo>
              <a:close/>
            </a:path>
            <a:path w="691515" h="687070">
              <a:moveTo>
                <a:pt x="678812" y="515446"/>
              </a:moveTo>
              <a:lnTo>
                <a:pt x="667545" y="515446"/>
              </a:lnTo>
              <a:lnTo>
                <a:pt x="667545" y="535867"/>
              </a:lnTo>
              <a:lnTo>
                <a:pt x="671066" y="535867"/>
              </a:lnTo>
              <a:lnTo>
                <a:pt x="671066" y="528121"/>
              </a:lnTo>
              <a:lnTo>
                <a:pt x="679986" y="528121"/>
              </a:lnTo>
              <a:lnTo>
                <a:pt x="679516" y="527417"/>
              </a:lnTo>
              <a:lnTo>
                <a:pt x="677404" y="526713"/>
              </a:lnTo>
              <a:lnTo>
                <a:pt x="681629" y="525305"/>
              </a:lnTo>
              <a:lnTo>
                <a:pt x="671066" y="525305"/>
              </a:lnTo>
              <a:lnTo>
                <a:pt x="671066" y="519671"/>
              </a:lnTo>
              <a:lnTo>
                <a:pt x="681159" y="519671"/>
              </a:lnTo>
              <a:lnTo>
                <a:pt x="680925" y="518263"/>
              </a:lnTo>
              <a:lnTo>
                <a:pt x="678812" y="515446"/>
              </a:lnTo>
              <a:close/>
            </a:path>
            <a:path w="691515" h="687070">
              <a:moveTo>
                <a:pt x="679986" y="528121"/>
              </a:moveTo>
              <a:lnTo>
                <a:pt x="675291" y="528121"/>
              </a:lnTo>
              <a:lnTo>
                <a:pt x="676700" y="530234"/>
              </a:lnTo>
              <a:lnTo>
                <a:pt x="677404" y="532346"/>
              </a:lnTo>
              <a:lnTo>
                <a:pt x="678108" y="535867"/>
              </a:lnTo>
              <a:lnTo>
                <a:pt x="681629" y="535867"/>
              </a:lnTo>
              <a:lnTo>
                <a:pt x="680925" y="532346"/>
              </a:lnTo>
              <a:lnTo>
                <a:pt x="680925" y="529530"/>
              </a:lnTo>
              <a:lnTo>
                <a:pt x="679986" y="528121"/>
              </a:lnTo>
              <a:close/>
            </a:path>
            <a:path w="691515" h="687070">
              <a:moveTo>
                <a:pt x="681159" y="519671"/>
              </a:moveTo>
              <a:lnTo>
                <a:pt x="675995" y="519671"/>
              </a:lnTo>
              <a:lnTo>
                <a:pt x="677404" y="520376"/>
              </a:lnTo>
              <a:lnTo>
                <a:pt x="677404" y="524601"/>
              </a:lnTo>
              <a:lnTo>
                <a:pt x="675291" y="525305"/>
              </a:lnTo>
              <a:lnTo>
                <a:pt x="681629" y="525305"/>
              </a:lnTo>
              <a:lnTo>
                <a:pt x="681629" y="522488"/>
              </a:lnTo>
              <a:lnTo>
                <a:pt x="681159" y="519671"/>
              </a:lnTo>
              <a:close/>
            </a:path>
            <a:path w="691515" h="687070">
              <a:moveTo>
                <a:pt x="333140" y="254906"/>
              </a:moveTo>
              <a:lnTo>
                <a:pt x="308423" y="254906"/>
              </a:lnTo>
              <a:lnTo>
                <a:pt x="338578" y="318072"/>
              </a:lnTo>
              <a:lnTo>
                <a:pt x="370186" y="364947"/>
              </a:lnTo>
              <a:lnTo>
                <a:pt x="401152" y="398336"/>
              </a:lnTo>
              <a:lnTo>
                <a:pt x="429381" y="421044"/>
              </a:lnTo>
              <a:lnTo>
                <a:pt x="452776" y="435876"/>
              </a:lnTo>
              <a:lnTo>
                <a:pt x="402426" y="445605"/>
              </a:lnTo>
              <a:lnTo>
                <a:pt x="350115" y="457936"/>
              </a:lnTo>
              <a:lnTo>
                <a:pt x="296925" y="472938"/>
              </a:lnTo>
              <a:lnTo>
                <a:pt x="243938" y="490677"/>
              </a:lnTo>
              <a:lnTo>
                <a:pt x="192236" y="511221"/>
              </a:lnTo>
              <a:lnTo>
                <a:pt x="198852" y="511221"/>
              </a:lnTo>
              <a:lnTo>
                <a:pt x="235372" y="499560"/>
              </a:lnTo>
              <a:lnTo>
                <a:pt x="281717" y="487176"/>
              </a:lnTo>
              <a:lnTo>
                <a:pt x="330252" y="476277"/>
              </a:lnTo>
              <a:lnTo>
                <a:pt x="379960" y="466964"/>
              </a:lnTo>
              <a:lnTo>
                <a:pt x="429825" y="459332"/>
              </a:lnTo>
              <a:lnTo>
                <a:pt x="478830" y="453480"/>
              </a:lnTo>
              <a:lnTo>
                <a:pt x="531704" y="453480"/>
              </a:lnTo>
              <a:lnTo>
                <a:pt x="520376" y="448551"/>
              </a:lnTo>
              <a:lnTo>
                <a:pt x="568138" y="446361"/>
              </a:lnTo>
              <a:lnTo>
                <a:pt x="677124" y="446361"/>
              </a:lnTo>
              <a:lnTo>
                <a:pt x="658831" y="436492"/>
              </a:lnTo>
              <a:lnTo>
                <a:pt x="632567" y="430947"/>
              </a:lnTo>
              <a:lnTo>
                <a:pt x="489392" y="430947"/>
              </a:lnTo>
              <a:lnTo>
                <a:pt x="473054" y="421595"/>
              </a:lnTo>
              <a:lnTo>
                <a:pt x="426018" y="390105"/>
              </a:lnTo>
              <a:lnTo>
                <a:pt x="391052" y="354578"/>
              </a:lnTo>
              <a:lnTo>
                <a:pt x="361235" y="311855"/>
              </a:lnTo>
              <a:lnTo>
                <a:pt x="336699" y="264247"/>
              </a:lnTo>
              <a:lnTo>
                <a:pt x="333140" y="254906"/>
              </a:lnTo>
              <a:close/>
            </a:path>
            <a:path w="691515" h="687070">
              <a:moveTo>
                <a:pt x="531704" y="453480"/>
              </a:moveTo>
              <a:lnTo>
                <a:pt x="478830" y="453480"/>
              </a:lnTo>
              <a:lnTo>
                <a:pt x="525041" y="474363"/>
              </a:lnTo>
              <a:lnTo>
                <a:pt x="570723" y="490097"/>
              </a:lnTo>
              <a:lnTo>
                <a:pt x="612709" y="500021"/>
              </a:lnTo>
              <a:lnTo>
                <a:pt x="647829" y="503476"/>
              </a:lnTo>
              <a:lnTo>
                <a:pt x="662363" y="502529"/>
              </a:lnTo>
              <a:lnTo>
                <a:pt x="673267" y="499603"/>
              </a:lnTo>
              <a:lnTo>
                <a:pt x="680606" y="494564"/>
              </a:lnTo>
              <a:lnTo>
                <a:pt x="681847" y="492209"/>
              </a:lnTo>
              <a:lnTo>
                <a:pt x="662616" y="492209"/>
              </a:lnTo>
              <a:lnTo>
                <a:pt x="634747" y="489051"/>
              </a:lnTo>
              <a:lnTo>
                <a:pt x="600210" y="480150"/>
              </a:lnTo>
              <a:lnTo>
                <a:pt x="561316" y="466364"/>
              </a:lnTo>
              <a:lnTo>
                <a:pt x="531704" y="453480"/>
              </a:lnTo>
              <a:close/>
            </a:path>
            <a:path w="691515" h="687070">
              <a:moveTo>
                <a:pt x="684445" y="487280"/>
              </a:moveTo>
              <a:lnTo>
                <a:pt x="679516" y="489392"/>
              </a:lnTo>
              <a:lnTo>
                <a:pt x="671770" y="492209"/>
              </a:lnTo>
              <a:lnTo>
                <a:pt x="681847" y="492209"/>
              </a:lnTo>
              <a:lnTo>
                <a:pt x="684445" y="487280"/>
              </a:lnTo>
              <a:close/>
            </a:path>
            <a:path w="691515" h="687070">
              <a:moveTo>
                <a:pt x="677124" y="446361"/>
              </a:moveTo>
              <a:lnTo>
                <a:pt x="568138" y="446361"/>
              </a:lnTo>
              <a:lnTo>
                <a:pt x="623623" y="447935"/>
              </a:lnTo>
              <a:lnTo>
                <a:pt x="669207" y="457562"/>
              </a:lnTo>
              <a:lnTo>
                <a:pt x="687262" y="479534"/>
              </a:lnTo>
              <a:lnTo>
                <a:pt x="689375" y="474605"/>
              </a:lnTo>
              <a:lnTo>
                <a:pt x="691485" y="472495"/>
              </a:lnTo>
              <a:lnTo>
                <a:pt x="691485" y="467558"/>
              </a:lnTo>
              <a:lnTo>
                <a:pt x="682916" y="449486"/>
              </a:lnTo>
              <a:lnTo>
                <a:pt x="677124" y="446361"/>
              </a:lnTo>
              <a:close/>
            </a:path>
            <a:path w="691515" h="687070">
              <a:moveTo>
                <a:pt x="573892" y="426018"/>
              </a:moveTo>
              <a:lnTo>
                <a:pt x="555045" y="426491"/>
              </a:lnTo>
              <a:lnTo>
                <a:pt x="534547" y="427690"/>
              </a:lnTo>
              <a:lnTo>
                <a:pt x="489392" y="430947"/>
              </a:lnTo>
              <a:lnTo>
                <a:pt x="632567" y="430947"/>
              </a:lnTo>
              <a:lnTo>
                <a:pt x="621676" y="428647"/>
              </a:lnTo>
              <a:lnTo>
                <a:pt x="573892" y="426018"/>
              </a:lnTo>
              <a:close/>
            </a:path>
            <a:path w="691515" h="687070">
              <a:moveTo>
                <a:pt x="329548" y="57741"/>
              </a:moveTo>
              <a:lnTo>
                <a:pt x="325752" y="78536"/>
              </a:lnTo>
              <a:lnTo>
                <a:pt x="321362" y="105272"/>
              </a:lnTo>
              <a:lnTo>
                <a:pt x="315783" y="138345"/>
              </a:lnTo>
              <a:lnTo>
                <a:pt x="308423" y="178153"/>
              </a:lnTo>
              <a:lnTo>
                <a:pt x="322664" y="178153"/>
              </a:lnTo>
              <a:lnTo>
                <a:pt x="323309" y="173598"/>
              </a:lnTo>
              <a:lnTo>
                <a:pt x="326467" y="134847"/>
              </a:lnTo>
              <a:lnTo>
                <a:pt x="328172" y="96624"/>
              </a:lnTo>
              <a:lnTo>
                <a:pt x="329548" y="57741"/>
              </a:lnTo>
              <a:close/>
            </a:path>
            <a:path w="691515" h="687070">
              <a:moveTo>
                <a:pt x="322757" y="4224"/>
              </a:moveTo>
              <a:lnTo>
                <a:pt x="305606" y="4224"/>
              </a:lnTo>
              <a:lnTo>
                <a:pt x="313209" y="9022"/>
              </a:lnTo>
              <a:lnTo>
                <a:pt x="320481" y="16723"/>
              </a:lnTo>
              <a:lnTo>
                <a:pt x="326302" y="28386"/>
              </a:lnTo>
              <a:lnTo>
                <a:pt x="329548" y="45066"/>
              </a:lnTo>
              <a:lnTo>
                <a:pt x="332188" y="19012"/>
              </a:lnTo>
              <a:lnTo>
                <a:pt x="326379" y="5633"/>
              </a:lnTo>
              <a:lnTo>
                <a:pt x="322757" y="4224"/>
              </a:lnTo>
              <a:close/>
            </a:path>
          </a:pathLst>
        </a:custGeom>
        <a:solidFill>
          <a:srgbClr val="FFD8D8">
            <a:alpha val="50000"/>
          </a:srgbClr>
        </a:solidFill>
      </xdr:spPr>
    </xdr:sp>
    <xdr:clientData/>
  </xdr:oneCellAnchor>
  <xdr:twoCellAnchor>
    <xdr:from>
      <xdr:col>1</xdr:col>
      <xdr:colOff>66673</xdr:colOff>
      <xdr:row>0</xdr:row>
      <xdr:rowOff>47625</xdr:rowOff>
    </xdr:from>
    <xdr:to>
      <xdr:col>2</xdr:col>
      <xdr:colOff>168995</xdr:colOff>
      <xdr:row>0</xdr:row>
      <xdr:rowOff>788361</xdr:rowOff>
    </xdr:to>
    <xdr:pic>
      <xdr:nvPicPr>
        <xdr:cNvPr id="16" name="Picture 15" descr="AH6089629">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2</xdr:col>
      <xdr:colOff>2486166</xdr:colOff>
      <xdr:row>3</xdr:row>
      <xdr:rowOff>7368</xdr:rowOff>
    </xdr:to>
    <xdr:pic>
      <xdr:nvPicPr>
        <xdr:cNvPr id="17" name="Picture 16" descr="Top Banner Thin Grey and Orange line 29-7-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1920872"/>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18" name="Picture 17" descr="Top Banner Thin Grey and Orange line 29-7-16">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66673</xdr:colOff>
      <xdr:row>0</xdr:row>
      <xdr:rowOff>47625</xdr:rowOff>
    </xdr:from>
    <xdr:to>
      <xdr:col>2</xdr:col>
      <xdr:colOff>626195</xdr:colOff>
      <xdr:row>0</xdr:row>
      <xdr:rowOff>788361</xdr:rowOff>
    </xdr:to>
    <xdr:pic>
      <xdr:nvPicPr>
        <xdr:cNvPr id="13" name="Picture 12" descr="AH6089629">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xdr:row>
      <xdr:rowOff>28574</xdr:rowOff>
    </xdr:from>
    <xdr:to>
      <xdr:col>3</xdr:col>
      <xdr:colOff>441469</xdr:colOff>
      <xdr:row>2</xdr:row>
      <xdr:rowOff>172470</xdr:rowOff>
    </xdr:to>
    <xdr:pic>
      <xdr:nvPicPr>
        <xdr:cNvPr id="14" name="Picture 13" descr="Top Banner Thin Grey and Orange line 29-7-16">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5" y="2136774"/>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15" name="Picture 14" descr="Top Banner Thin Grey and Orange line 29-7-16">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xdr:colOff>
      <xdr:row>44</xdr:row>
      <xdr:rowOff>0</xdr:rowOff>
    </xdr:from>
    <xdr:to>
      <xdr:col>4</xdr:col>
      <xdr:colOff>8467</xdr:colOff>
      <xdr:row>45</xdr:row>
      <xdr:rowOff>0</xdr:rowOff>
    </xdr:to>
    <xdr:sp macro="" textlink="">
      <xdr:nvSpPr>
        <xdr:cNvPr id="23" name="Rectangle 22">
          <a:extLst>
            <a:ext uri="{FF2B5EF4-FFF2-40B4-BE49-F238E27FC236}">
              <a16:creationId xmlns:a16="http://schemas.microsoft.com/office/drawing/2014/main" id="{00000000-0008-0000-1100-000017000000}"/>
            </a:ext>
          </a:extLst>
        </xdr:cNvPr>
        <xdr:cNvSpPr/>
      </xdr:nvSpPr>
      <xdr:spPr>
        <a:xfrm>
          <a:off x="6134101" y="43688000"/>
          <a:ext cx="1729316" cy="17780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44</xdr:row>
      <xdr:rowOff>1777999</xdr:rowOff>
    </xdr:from>
    <xdr:to>
      <xdr:col>4</xdr:col>
      <xdr:colOff>0</xdr:colOff>
      <xdr:row>45</xdr:row>
      <xdr:rowOff>1786466</xdr:rowOff>
    </xdr:to>
    <xdr:sp macro="" textlink="">
      <xdr:nvSpPr>
        <xdr:cNvPr id="24" name="Rectangle 23">
          <a:extLst>
            <a:ext uri="{FF2B5EF4-FFF2-40B4-BE49-F238E27FC236}">
              <a16:creationId xmlns:a16="http://schemas.microsoft.com/office/drawing/2014/main" id="{00000000-0008-0000-1100-000018000000}"/>
            </a:ext>
          </a:extLst>
        </xdr:cNvPr>
        <xdr:cNvSpPr/>
      </xdr:nvSpPr>
      <xdr:spPr>
        <a:xfrm>
          <a:off x="6134100" y="45465999"/>
          <a:ext cx="1720850" cy="1786467"/>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66673</xdr:colOff>
      <xdr:row>0</xdr:row>
      <xdr:rowOff>47625</xdr:rowOff>
    </xdr:from>
    <xdr:to>
      <xdr:col>2</xdr:col>
      <xdr:colOff>626195</xdr:colOff>
      <xdr:row>0</xdr:row>
      <xdr:rowOff>788361</xdr:rowOff>
    </xdr:to>
    <xdr:pic>
      <xdr:nvPicPr>
        <xdr:cNvPr id="6" name="Picture 5" descr="AH6089629">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3</xdr:col>
      <xdr:colOff>441466</xdr:colOff>
      <xdr:row>3</xdr:row>
      <xdr:rowOff>7368</xdr:rowOff>
    </xdr:to>
    <xdr:pic>
      <xdr:nvPicPr>
        <xdr:cNvPr id="7" name="Picture 6" descr="Top Banner Thin Grey and Orange line 29-7-1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2759072"/>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8" name="Picture 7" descr="Top Banner Thin Grey and Orange line 29-7-16">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3175"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66663</xdr:colOff>
      <xdr:row>0</xdr:row>
      <xdr:rowOff>47612</xdr:rowOff>
    </xdr:from>
    <xdr:to>
      <xdr:col>2</xdr:col>
      <xdr:colOff>626185</xdr:colOff>
      <xdr:row>0</xdr:row>
      <xdr:rowOff>788348</xdr:rowOff>
    </xdr:to>
    <xdr:pic>
      <xdr:nvPicPr>
        <xdr:cNvPr id="30" name="Picture 29" descr="AH6089629">
          <a:extLst>
            <a:ext uri="{FF2B5EF4-FFF2-40B4-BE49-F238E27FC236}">
              <a16:creationId xmlns:a16="http://schemas.microsoft.com/office/drawing/2014/main" id="{00000000-0008-0000-1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63" y="47612"/>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xdr:row>
      <xdr:rowOff>28574</xdr:rowOff>
    </xdr:from>
    <xdr:to>
      <xdr:col>3</xdr:col>
      <xdr:colOff>441469</xdr:colOff>
      <xdr:row>2</xdr:row>
      <xdr:rowOff>172470</xdr:rowOff>
    </xdr:to>
    <xdr:pic>
      <xdr:nvPicPr>
        <xdr:cNvPr id="31" name="Picture 30" descr="Top Banner Thin Grey and Orange line 29-7-16">
          <a:extLst>
            <a:ext uri="{FF2B5EF4-FFF2-40B4-BE49-F238E27FC236}">
              <a16:creationId xmlns:a16="http://schemas.microsoft.com/office/drawing/2014/main" id="{00000000-0008-0000-12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561975" y="2212974"/>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97154</xdr:colOff>
      <xdr:row>0</xdr:row>
      <xdr:rowOff>78105</xdr:rowOff>
    </xdr:from>
    <xdr:to>
      <xdr:col>4</xdr:col>
      <xdr:colOff>30480</xdr:colOff>
      <xdr:row>0</xdr:row>
      <xdr:rowOff>818841</xdr:rowOff>
    </xdr:to>
    <xdr:pic>
      <xdr:nvPicPr>
        <xdr:cNvPr id="4" name="Picture 3" descr="AH608962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4" y="78105"/>
          <a:ext cx="3240406"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2</xdr:row>
      <xdr:rowOff>28574</xdr:rowOff>
    </xdr:from>
    <xdr:to>
      <xdr:col>6</xdr:col>
      <xdr:colOff>235094</xdr:colOff>
      <xdr:row>2</xdr:row>
      <xdr:rowOff>172470</xdr:rowOff>
    </xdr:to>
    <xdr:pic>
      <xdr:nvPicPr>
        <xdr:cNvPr id="5" name="Picture 4" descr="Top Banner Thin Grey and Orange line 29-7-16">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5" y="2247899"/>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66663</xdr:colOff>
      <xdr:row>0</xdr:row>
      <xdr:rowOff>47612</xdr:rowOff>
    </xdr:from>
    <xdr:to>
      <xdr:col>2</xdr:col>
      <xdr:colOff>626185</xdr:colOff>
      <xdr:row>0</xdr:row>
      <xdr:rowOff>788348</xdr:rowOff>
    </xdr:to>
    <xdr:pic>
      <xdr:nvPicPr>
        <xdr:cNvPr id="2" name="Picture 1" descr="AH6089629">
          <a:extLst>
            <a:ext uri="{FF2B5EF4-FFF2-40B4-BE49-F238E27FC236}">
              <a16:creationId xmlns:a16="http://schemas.microsoft.com/office/drawing/2014/main" id="{AD564D4B-0410-4EFC-BEFB-D2B319209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6743" y="47612"/>
          <a:ext cx="356180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xdr:row>
      <xdr:rowOff>28574</xdr:rowOff>
    </xdr:from>
    <xdr:to>
      <xdr:col>3</xdr:col>
      <xdr:colOff>441469</xdr:colOff>
      <xdr:row>2</xdr:row>
      <xdr:rowOff>172470</xdr:rowOff>
    </xdr:to>
    <xdr:pic>
      <xdr:nvPicPr>
        <xdr:cNvPr id="3" name="Picture 2" descr="Top Banner Thin Grey and Orange line 29-7-16">
          <a:extLst>
            <a:ext uri="{FF2B5EF4-FFF2-40B4-BE49-F238E27FC236}">
              <a16:creationId xmlns:a16="http://schemas.microsoft.com/office/drawing/2014/main" id="{3253F316-BF5D-4062-8F51-0C87A5C0A1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668655" y="2207894"/>
          <a:ext cx="641745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xdr:colOff>
      <xdr:row>44</xdr:row>
      <xdr:rowOff>0</xdr:rowOff>
    </xdr:from>
    <xdr:to>
      <xdr:col>4</xdr:col>
      <xdr:colOff>8467</xdr:colOff>
      <xdr:row>45</xdr:row>
      <xdr:rowOff>0</xdr:rowOff>
    </xdr:to>
    <xdr:sp macro="" textlink="">
      <xdr:nvSpPr>
        <xdr:cNvPr id="2" name="Rectangle 1">
          <a:extLst>
            <a:ext uri="{FF2B5EF4-FFF2-40B4-BE49-F238E27FC236}">
              <a16:creationId xmlns:a16="http://schemas.microsoft.com/office/drawing/2014/main" id="{00000000-0008-0000-1100-000017000000}"/>
            </a:ext>
          </a:extLst>
        </xdr:cNvPr>
        <xdr:cNvSpPr/>
      </xdr:nvSpPr>
      <xdr:spPr>
        <a:xfrm>
          <a:off x="5562601" y="22250400"/>
          <a:ext cx="1841499" cy="17780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44</xdr:row>
      <xdr:rowOff>1777999</xdr:rowOff>
    </xdr:from>
    <xdr:to>
      <xdr:col>4</xdr:col>
      <xdr:colOff>0</xdr:colOff>
      <xdr:row>45</xdr:row>
      <xdr:rowOff>1786466</xdr:rowOff>
    </xdr:to>
    <xdr:sp macro="" textlink="">
      <xdr:nvSpPr>
        <xdr:cNvPr id="3" name="Rectangle 2">
          <a:extLst>
            <a:ext uri="{FF2B5EF4-FFF2-40B4-BE49-F238E27FC236}">
              <a16:creationId xmlns:a16="http://schemas.microsoft.com/office/drawing/2014/main" id="{00000000-0008-0000-1100-000018000000}"/>
            </a:ext>
          </a:extLst>
        </xdr:cNvPr>
        <xdr:cNvSpPr/>
      </xdr:nvSpPr>
      <xdr:spPr>
        <a:xfrm>
          <a:off x="5562600" y="24028399"/>
          <a:ext cx="1841500" cy="173567"/>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66673</xdr:colOff>
      <xdr:row>0</xdr:row>
      <xdr:rowOff>47625</xdr:rowOff>
    </xdr:from>
    <xdr:to>
      <xdr:col>2</xdr:col>
      <xdr:colOff>626195</xdr:colOff>
      <xdr:row>0</xdr:row>
      <xdr:rowOff>788361</xdr:rowOff>
    </xdr:to>
    <xdr:pic>
      <xdr:nvPicPr>
        <xdr:cNvPr id="4" name="Picture 3" descr="AH6089629">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3408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3</xdr:col>
      <xdr:colOff>441466</xdr:colOff>
      <xdr:row>3</xdr:row>
      <xdr:rowOff>7368</xdr:rowOff>
    </xdr:to>
    <xdr:pic>
      <xdr:nvPicPr>
        <xdr:cNvPr id="5" name="Picture 4" descr="Top Banner Thin Grey and Orange line 29-7-1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2168522"/>
          <a:ext cx="59754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6" name="Picture 5" descr="Top Banner Thin Grey and Orange line 29-7-16">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2197100"/>
          <a:ext cx="4959400" cy="10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xdr:colOff>
      <xdr:row>44</xdr:row>
      <xdr:rowOff>0</xdr:rowOff>
    </xdr:from>
    <xdr:to>
      <xdr:col>4</xdr:col>
      <xdr:colOff>8467</xdr:colOff>
      <xdr:row>45</xdr:row>
      <xdr:rowOff>0</xdr:rowOff>
    </xdr:to>
    <xdr:sp macro="" textlink="">
      <xdr:nvSpPr>
        <xdr:cNvPr id="2" name="Rectangle 1">
          <a:extLst>
            <a:ext uri="{FF2B5EF4-FFF2-40B4-BE49-F238E27FC236}">
              <a16:creationId xmlns:a16="http://schemas.microsoft.com/office/drawing/2014/main" id="{00000000-0008-0000-1100-000017000000}"/>
            </a:ext>
          </a:extLst>
        </xdr:cNvPr>
        <xdr:cNvSpPr/>
      </xdr:nvSpPr>
      <xdr:spPr>
        <a:xfrm>
          <a:off x="5562601" y="22250400"/>
          <a:ext cx="1841499" cy="17780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44</xdr:row>
      <xdr:rowOff>1777999</xdr:rowOff>
    </xdr:from>
    <xdr:to>
      <xdr:col>4</xdr:col>
      <xdr:colOff>0</xdr:colOff>
      <xdr:row>45</xdr:row>
      <xdr:rowOff>1786466</xdr:rowOff>
    </xdr:to>
    <xdr:sp macro="" textlink="">
      <xdr:nvSpPr>
        <xdr:cNvPr id="3" name="Rectangle 2">
          <a:extLst>
            <a:ext uri="{FF2B5EF4-FFF2-40B4-BE49-F238E27FC236}">
              <a16:creationId xmlns:a16="http://schemas.microsoft.com/office/drawing/2014/main" id="{00000000-0008-0000-1100-000018000000}"/>
            </a:ext>
          </a:extLst>
        </xdr:cNvPr>
        <xdr:cNvSpPr/>
      </xdr:nvSpPr>
      <xdr:spPr>
        <a:xfrm>
          <a:off x="5562600" y="24028399"/>
          <a:ext cx="1841500" cy="173567"/>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66673</xdr:colOff>
      <xdr:row>0</xdr:row>
      <xdr:rowOff>47625</xdr:rowOff>
    </xdr:from>
    <xdr:to>
      <xdr:col>2</xdr:col>
      <xdr:colOff>626195</xdr:colOff>
      <xdr:row>0</xdr:row>
      <xdr:rowOff>788361</xdr:rowOff>
    </xdr:to>
    <xdr:pic>
      <xdr:nvPicPr>
        <xdr:cNvPr id="4" name="Picture 3" descr="AH6089629">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3408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3</xdr:col>
      <xdr:colOff>441466</xdr:colOff>
      <xdr:row>3</xdr:row>
      <xdr:rowOff>7368</xdr:rowOff>
    </xdr:to>
    <xdr:pic>
      <xdr:nvPicPr>
        <xdr:cNvPr id="5" name="Picture 4" descr="Top Banner Thin Grey and Orange line 29-7-1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2168522"/>
          <a:ext cx="59754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6" name="Picture 5" descr="Top Banner Thin Grey and Orange line 29-7-16">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2197100"/>
          <a:ext cx="4959400" cy="10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xdr:colOff>
      <xdr:row>44</xdr:row>
      <xdr:rowOff>0</xdr:rowOff>
    </xdr:from>
    <xdr:to>
      <xdr:col>4</xdr:col>
      <xdr:colOff>8467</xdr:colOff>
      <xdr:row>45</xdr:row>
      <xdr:rowOff>0</xdr:rowOff>
    </xdr:to>
    <xdr:sp macro="" textlink="">
      <xdr:nvSpPr>
        <xdr:cNvPr id="2" name="Rectangle 1">
          <a:extLst>
            <a:ext uri="{FF2B5EF4-FFF2-40B4-BE49-F238E27FC236}">
              <a16:creationId xmlns:a16="http://schemas.microsoft.com/office/drawing/2014/main" id="{00000000-0008-0000-1100-000017000000}"/>
            </a:ext>
          </a:extLst>
        </xdr:cNvPr>
        <xdr:cNvSpPr/>
      </xdr:nvSpPr>
      <xdr:spPr>
        <a:xfrm>
          <a:off x="5562601" y="22250400"/>
          <a:ext cx="1841499" cy="17780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44</xdr:row>
      <xdr:rowOff>1777999</xdr:rowOff>
    </xdr:from>
    <xdr:to>
      <xdr:col>4</xdr:col>
      <xdr:colOff>0</xdr:colOff>
      <xdr:row>45</xdr:row>
      <xdr:rowOff>1786466</xdr:rowOff>
    </xdr:to>
    <xdr:sp macro="" textlink="">
      <xdr:nvSpPr>
        <xdr:cNvPr id="3" name="Rectangle 2">
          <a:extLst>
            <a:ext uri="{FF2B5EF4-FFF2-40B4-BE49-F238E27FC236}">
              <a16:creationId xmlns:a16="http://schemas.microsoft.com/office/drawing/2014/main" id="{00000000-0008-0000-1100-000018000000}"/>
            </a:ext>
          </a:extLst>
        </xdr:cNvPr>
        <xdr:cNvSpPr/>
      </xdr:nvSpPr>
      <xdr:spPr>
        <a:xfrm>
          <a:off x="5562600" y="24028399"/>
          <a:ext cx="1841500" cy="173567"/>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66673</xdr:colOff>
      <xdr:row>0</xdr:row>
      <xdr:rowOff>47625</xdr:rowOff>
    </xdr:from>
    <xdr:to>
      <xdr:col>2</xdr:col>
      <xdr:colOff>626195</xdr:colOff>
      <xdr:row>0</xdr:row>
      <xdr:rowOff>788361</xdr:rowOff>
    </xdr:to>
    <xdr:pic>
      <xdr:nvPicPr>
        <xdr:cNvPr id="4" name="Picture 3" descr="AH6089629">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3408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3</xdr:col>
      <xdr:colOff>441466</xdr:colOff>
      <xdr:row>3</xdr:row>
      <xdr:rowOff>7368</xdr:rowOff>
    </xdr:to>
    <xdr:pic>
      <xdr:nvPicPr>
        <xdr:cNvPr id="5" name="Picture 4" descr="Top Banner Thin Grey and Orange line 29-7-1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2168522"/>
          <a:ext cx="59754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6" name="Picture 5" descr="Top Banner Thin Grey and Orange line 29-7-16">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2197100"/>
          <a:ext cx="4959400" cy="10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xdr:colOff>
      <xdr:row>44</xdr:row>
      <xdr:rowOff>0</xdr:rowOff>
    </xdr:from>
    <xdr:to>
      <xdr:col>4</xdr:col>
      <xdr:colOff>8467</xdr:colOff>
      <xdr:row>45</xdr:row>
      <xdr:rowOff>0</xdr:rowOff>
    </xdr:to>
    <xdr:sp macro="" textlink="">
      <xdr:nvSpPr>
        <xdr:cNvPr id="2" name="Rectangle 1">
          <a:extLst>
            <a:ext uri="{FF2B5EF4-FFF2-40B4-BE49-F238E27FC236}">
              <a16:creationId xmlns:a16="http://schemas.microsoft.com/office/drawing/2014/main" id="{00000000-0008-0000-1100-000017000000}"/>
            </a:ext>
          </a:extLst>
        </xdr:cNvPr>
        <xdr:cNvSpPr/>
      </xdr:nvSpPr>
      <xdr:spPr>
        <a:xfrm>
          <a:off x="5562601" y="22250400"/>
          <a:ext cx="1841499" cy="17780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44</xdr:row>
      <xdr:rowOff>1777999</xdr:rowOff>
    </xdr:from>
    <xdr:to>
      <xdr:col>4</xdr:col>
      <xdr:colOff>0</xdr:colOff>
      <xdr:row>45</xdr:row>
      <xdr:rowOff>1786466</xdr:rowOff>
    </xdr:to>
    <xdr:sp macro="" textlink="">
      <xdr:nvSpPr>
        <xdr:cNvPr id="3" name="Rectangle 2">
          <a:extLst>
            <a:ext uri="{FF2B5EF4-FFF2-40B4-BE49-F238E27FC236}">
              <a16:creationId xmlns:a16="http://schemas.microsoft.com/office/drawing/2014/main" id="{00000000-0008-0000-1100-000018000000}"/>
            </a:ext>
          </a:extLst>
        </xdr:cNvPr>
        <xdr:cNvSpPr/>
      </xdr:nvSpPr>
      <xdr:spPr>
        <a:xfrm>
          <a:off x="5562600" y="24028399"/>
          <a:ext cx="1841500" cy="173567"/>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66673</xdr:colOff>
      <xdr:row>0</xdr:row>
      <xdr:rowOff>47625</xdr:rowOff>
    </xdr:from>
    <xdr:to>
      <xdr:col>2</xdr:col>
      <xdr:colOff>626195</xdr:colOff>
      <xdr:row>0</xdr:row>
      <xdr:rowOff>788361</xdr:rowOff>
    </xdr:to>
    <xdr:pic>
      <xdr:nvPicPr>
        <xdr:cNvPr id="4" name="Picture 3" descr="AH6089629">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3408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28572</xdr:colOff>
      <xdr:row>2</xdr:row>
      <xdr:rowOff>28572</xdr:rowOff>
    </xdr:from>
    <xdr:to>
      <xdr:col>3</xdr:col>
      <xdr:colOff>441466</xdr:colOff>
      <xdr:row>3</xdr:row>
      <xdr:rowOff>7368</xdr:rowOff>
    </xdr:to>
    <xdr:pic>
      <xdr:nvPicPr>
        <xdr:cNvPr id="5" name="Picture 4" descr="Top Banner Thin Grey and Orange line 29-7-1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2" y="2168522"/>
          <a:ext cx="59754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6" name="Picture 5" descr="Top Banner Thin Grey and Orange line 29-7-16">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08" t="-43869" r="5190" b="-13498"/>
        <a:stretch>
          <a:fillRect/>
        </a:stretch>
      </xdr:blipFill>
      <xdr:spPr bwMode="auto">
        <a:xfrm>
          <a:off x="38099" y="2197100"/>
          <a:ext cx="4959400" cy="10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66673</xdr:colOff>
      <xdr:row>0</xdr:row>
      <xdr:rowOff>47625</xdr:rowOff>
    </xdr:from>
    <xdr:to>
      <xdr:col>1</xdr:col>
      <xdr:colOff>3128095</xdr:colOff>
      <xdr:row>0</xdr:row>
      <xdr:rowOff>788361</xdr:rowOff>
    </xdr:to>
    <xdr:pic>
      <xdr:nvPicPr>
        <xdr:cNvPr id="19" name="Picture 18" descr="AH6089629">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2</xdr:row>
      <xdr:rowOff>28574</xdr:rowOff>
    </xdr:from>
    <xdr:to>
      <xdr:col>2</xdr:col>
      <xdr:colOff>1952768</xdr:colOff>
      <xdr:row>2</xdr:row>
      <xdr:rowOff>172470</xdr:rowOff>
    </xdr:to>
    <xdr:pic>
      <xdr:nvPicPr>
        <xdr:cNvPr id="20" name="Picture 19" descr="Top Banner Thin Grey and Orange line 29-7-1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4" y="1374774"/>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114308</xdr:colOff>
      <xdr:row>0</xdr:row>
      <xdr:rowOff>73026</xdr:rowOff>
    </xdr:from>
    <xdr:to>
      <xdr:col>2</xdr:col>
      <xdr:colOff>686530</xdr:colOff>
      <xdr:row>0</xdr:row>
      <xdr:rowOff>813762</xdr:rowOff>
    </xdr:to>
    <xdr:pic>
      <xdr:nvPicPr>
        <xdr:cNvPr id="23" name="Picture 22" descr="AH6089629">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8" y="73026"/>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952499</xdr:rowOff>
    </xdr:from>
    <xdr:to>
      <xdr:col>2</xdr:col>
      <xdr:colOff>2927494</xdr:colOff>
      <xdr:row>2</xdr:row>
      <xdr:rowOff>143895</xdr:rowOff>
    </xdr:to>
    <xdr:pic>
      <xdr:nvPicPr>
        <xdr:cNvPr id="22" name="Picture 21" descr="Top Banner Thin Grey and Orange line 29-7-16">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0" y="1879599"/>
          <a:ext cx="5416694" cy="14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66673</xdr:colOff>
      <xdr:row>0</xdr:row>
      <xdr:rowOff>47625</xdr:rowOff>
    </xdr:from>
    <xdr:to>
      <xdr:col>2</xdr:col>
      <xdr:colOff>740495</xdr:colOff>
      <xdr:row>0</xdr:row>
      <xdr:rowOff>788361</xdr:rowOff>
    </xdr:to>
    <xdr:pic>
      <xdr:nvPicPr>
        <xdr:cNvPr id="29" name="Picture 28" descr="AH6089629">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28573</xdr:colOff>
      <xdr:row>2</xdr:row>
      <xdr:rowOff>28572</xdr:rowOff>
    </xdr:from>
    <xdr:to>
      <xdr:col>2</xdr:col>
      <xdr:colOff>2166938</xdr:colOff>
      <xdr:row>3</xdr:row>
      <xdr:rowOff>7368</xdr:rowOff>
    </xdr:to>
    <xdr:pic>
      <xdr:nvPicPr>
        <xdr:cNvPr id="30" name="Picture 29" descr="Top Banner Thin Grey and Orange line 29-7-16">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3" y="1895472"/>
          <a:ext cx="4529140" cy="140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66673</xdr:colOff>
      <xdr:row>0</xdr:row>
      <xdr:rowOff>47625</xdr:rowOff>
    </xdr:from>
    <xdr:to>
      <xdr:col>2</xdr:col>
      <xdr:colOff>765895</xdr:colOff>
      <xdr:row>0</xdr:row>
      <xdr:rowOff>788361</xdr:rowOff>
    </xdr:to>
    <xdr:pic>
      <xdr:nvPicPr>
        <xdr:cNvPr id="25" name="Picture 24" descr="AH6089629">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28571</xdr:colOff>
      <xdr:row>2</xdr:row>
      <xdr:rowOff>28570</xdr:rowOff>
    </xdr:from>
    <xdr:to>
      <xdr:col>2</xdr:col>
      <xdr:colOff>2378895</xdr:colOff>
      <xdr:row>2</xdr:row>
      <xdr:rowOff>153760</xdr:rowOff>
    </xdr:to>
    <xdr:pic>
      <xdr:nvPicPr>
        <xdr:cNvPr id="27" name="Picture 26" descr="Top Banner Thin Grey and Orange line 29-7-16">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1" y="1838320"/>
          <a:ext cx="4712524" cy="12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15</xdr:col>
      <xdr:colOff>90073</xdr:colOff>
      <xdr:row>215</xdr:row>
      <xdr:rowOff>0</xdr:rowOff>
    </xdr:from>
    <xdr:ext cx="691515" cy="687070"/>
    <xdr:sp macro="" textlink="">
      <xdr:nvSpPr>
        <xdr:cNvPr id="4" name="Shape 2">
          <a:extLst>
            <a:ext uri="{FF2B5EF4-FFF2-40B4-BE49-F238E27FC236}">
              <a16:creationId xmlns:a16="http://schemas.microsoft.com/office/drawing/2014/main" id="{00000000-0008-0000-0600-000004000000}"/>
            </a:ext>
          </a:extLst>
        </xdr:cNvPr>
        <xdr:cNvSpPr/>
      </xdr:nvSpPr>
      <xdr:spPr>
        <a:xfrm>
          <a:off x="20041773" y="65817491"/>
          <a:ext cx="691515" cy="687070"/>
        </a:xfrm>
        <a:custGeom>
          <a:avLst/>
          <a:gdLst/>
          <a:ahLst/>
          <a:cxnLst/>
          <a:rect l="0" t="0" r="0" b="0"/>
          <a:pathLst>
            <a:path w="691515" h="687070">
              <a:moveTo>
                <a:pt x="124636" y="541500"/>
              </a:moveTo>
              <a:lnTo>
                <a:pt x="64463" y="580625"/>
              </a:lnTo>
              <a:lnTo>
                <a:pt x="26142" y="618430"/>
              </a:lnTo>
              <a:lnTo>
                <a:pt x="5908" y="651218"/>
              </a:lnTo>
              <a:lnTo>
                <a:pt x="0" y="675291"/>
              </a:lnTo>
              <a:lnTo>
                <a:pt x="4434" y="684203"/>
              </a:lnTo>
              <a:lnTo>
                <a:pt x="8402" y="686555"/>
              </a:lnTo>
              <a:lnTo>
                <a:pt x="54839" y="686555"/>
              </a:lnTo>
              <a:lnTo>
                <a:pt x="56772" y="685150"/>
              </a:lnTo>
              <a:lnTo>
                <a:pt x="13379" y="685150"/>
              </a:lnTo>
              <a:lnTo>
                <a:pt x="19474" y="659536"/>
              </a:lnTo>
              <a:lnTo>
                <a:pt x="42073" y="623359"/>
              </a:lnTo>
              <a:lnTo>
                <a:pt x="78140" y="582166"/>
              </a:lnTo>
              <a:lnTo>
                <a:pt x="124636" y="541500"/>
              </a:lnTo>
              <a:close/>
            </a:path>
            <a:path w="691515" h="687070">
              <a:moveTo>
                <a:pt x="295748" y="0"/>
              </a:moveTo>
              <a:lnTo>
                <a:pt x="281907" y="9242"/>
              </a:lnTo>
              <a:lnTo>
                <a:pt x="274799" y="30631"/>
              </a:lnTo>
              <a:lnTo>
                <a:pt x="272180" y="54660"/>
              </a:lnTo>
              <a:lnTo>
                <a:pt x="271806" y="71824"/>
              </a:lnTo>
              <a:lnTo>
                <a:pt x="272312" y="87349"/>
              </a:lnTo>
              <a:lnTo>
                <a:pt x="278848" y="140128"/>
              </a:lnTo>
              <a:lnTo>
                <a:pt x="286364" y="178153"/>
              </a:lnTo>
              <a:lnTo>
                <a:pt x="295748" y="216177"/>
              </a:lnTo>
              <a:lnTo>
                <a:pt x="292088" y="233541"/>
              </a:lnTo>
              <a:lnTo>
                <a:pt x="265590" y="305793"/>
              </a:lnTo>
              <a:lnTo>
                <a:pt x="244605" y="354976"/>
              </a:lnTo>
              <a:lnTo>
                <a:pt x="219698" y="409058"/>
              </a:lnTo>
              <a:lnTo>
                <a:pt x="191796" y="465187"/>
              </a:lnTo>
              <a:lnTo>
                <a:pt x="161825" y="520509"/>
              </a:lnTo>
              <a:lnTo>
                <a:pt x="130713" y="572171"/>
              </a:lnTo>
              <a:lnTo>
                <a:pt x="99385" y="617319"/>
              </a:lnTo>
              <a:lnTo>
                <a:pt x="68769" y="653100"/>
              </a:lnTo>
              <a:lnTo>
                <a:pt x="13379" y="685150"/>
              </a:lnTo>
              <a:lnTo>
                <a:pt x="56772" y="685150"/>
              </a:lnTo>
              <a:lnTo>
                <a:pt x="80190" y="668120"/>
              </a:lnTo>
              <a:lnTo>
                <a:pt x="112412" y="633312"/>
              </a:lnTo>
              <a:lnTo>
                <a:pt x="149712" y="582166"/>
              </a:lnTo>
              <a:lnTo>
                <a:pt x="192236" y="513334"/>
              </a:lnTo>
              <a:lnTo>
                <a:pt x="198852" y="511221"/>
              </a:lnTo>
              <a:lnTo>
                <a:pt x="192236" y="511221"/>
              </a:lnTo>
              <a:lnTo>
                <a:pt x="227591" y="447687"/>
              </a:lnTo>
              <a:lnTo>
                <a:pt x="254906" y="394226"/>
              </a:lnTo>
              <a:lnTo>
                <a:pt x="275415" y="349528"/>
              </a:lnTo>
              <a:lnTo>
                <a:pt x="290349" y="312283"/>
              </a:lnTo>
              <a:lnTo>
                <a:pt x="300941" y="281179"/>
              </a:lnTo>
              <a:lnTo>
                <a:pt x="308423" y="254906"/>
              </a:lnTo>
              <a:lnTo>
                <a:pt x="333140" y="254906"/>
              </a:lnTo>
              <a:lnTo>
                <a:pt x="317577" y="214065"/>
              </a:lnTo>
              <a:lnTo>
                <a:pt x="322664" y="178153"/>
              </a:lnTo>
              <a:lnTo>
                <a:pt x="308423" y="178153"/>
              </a:lnTo>
              <a:lnTo>
                <a:pt x="300325" y="147257"/>
              </a:lnTo>
              <a:lnTo>
                <a:pt x="294868" y="117419"/>
              </a:lnTo>
              <a:lnTo>
                <a:pt x="291787" y="89428"/>
              </a:lnTo>
              <a:lnTo>
                <a:pt x="290819" y="64078"/>
              </a:lnTo>
              <a:lnTo>
                <a:pt x="291050" y="53439"/>
              </a:lnTo>
              <a:lnTo>
                <a:pt x="292667" y="35472"/>
              </a:lnTo>
              <a:lnTo>
                <a:pt x="297057" y="16844"/>
              </a:lnTo>
              <a:lnTo>
                <a:pt x="305606" y="4224"/>
              </a:lnTo>
              <a:lnTo>
                <a:pt x="322757" y="4224"/>
              </a:lnTo>
              <a:lnTo>
                <a:pt x="313704" y="704"/>
              </a:lnTo>
              <a:lnTo>
                <a:pt x="295748" y="0"/>
              </a:lnTo>
              <a:close/>
            </a:path>
            <a:path w="691515" h="687070">
              <a:moveTo>
                <a:pt x="684445" y="509813"/>
              </a:moveTo>
              <a:lnTo>
                <a:pt x="664729" y="509813"/>
              </a:lnTo>
              <a:lnTo>
                <a:pt x="656986" y="516852"/>
              </a:lnTo>
              <a:lnTo>
                <a:pt x="656986" y="535870"/>
              </a:lnTo>
              <a:lnTo>
                <a:pt x="664729" y="542909"/>
              </a:lnTo>
              <a:lnTo>
                <a:pt x="684445" y="542909"/>
              </a:lnTo>
              <a:lnTo>
                <a:pt x="687966" y="539388"/>
              </a:lnTo>
              <a:lnTo>
                <a:pt x="666841" y="539388"/>
              </a:lnTo>
              <a:lnTo>
                <a:pt x="660504" y="533755"/>
              </a:lnTo>
              <a:lnTo>
                <a:pt x="660504" y="518967"/>
              </a:lnTo>
              <a:lnTo>
                <a:pt x="666841" y="513334"/>
              </a:lnTo>
              <a:lnTo>
                <a:pt x="687966" y="513334"/>
              </a:lnTo>
              <a:lnTo>
                <a:pt x="684445" y="509813"/>
              </a:lnTo>
              <a:close/>
            </a:path>
            <a:path w="691515" h="687070">
              <a:moveTo>
                <a:pt x="687966" y="513334"/>
              </a:moveTo>
              <a:lnTo>
                <a:pt x="682333" y="513334"/>
              </a:lnTo>
              <a:lnTo>
                <a:pt x="687262" y="518967"/>
              </a:lnTo>
              <a:lnTo>
                <a:pt x="687262" y="533755"/>
              </a:lnTo>
              <a:lnTo>
                <a:pt x="682333" y="539388"/>
              </a:lnTo>
              <a:lnTo>
                <a:pt x="687966" y="539388"/>
              </a:lnTo>
              <a:lnTo>
                <a:pt x="691485" y="535870"/>
              </a:lnTo>
              <a:lnTo>
                <a:pt x="691485" y="516852"/>
              </a:lnTo>
              <a:lnTo>
                <a:pt x="687966" y="513334"/>
              </a:lnTo>
              <a:close/>
            </a:path>
            <a:path w="691515" h="687070">
              <a:moveTo>
                <a:pt x="678812" y="515446"/>
              </a:moveTo>
              <a:lnTo>
                <a:pt x="667545" y="515446"/>
              </a:lnTo>
              <a:lnTo>
                <a:pt x="667545" y="535867"/>
              </a:lnTo>
              <a:lnTo>
                <a:pt x="671066" y="535867"/>
              </a:lnTo>
              <a:lnTo>
                <a:pt x="671066" y="528121"/>
              </a:lnTo>
              <a:lnTo>
                <a:pt x="679986" y="528121"/>
              </a:lnTo>
              <a:lnTo>
                <a:pt x="679516" y="527417"/>
              </a:lnTo>
              <a:lnTo>
                <a:pt x="677404" y="526713"/>
              </a:lnTo>
              <a:lnTo>
                <a:pt x="681629" y="525305"/>
              </a:lnTo>
              <a:lnTo>
                <a:pt x="671066" y="525305"/>
              </a:lnTo>
              <a:lnTo>
                <a:pt x="671066" y="519671"/>
              </a:lnTo>
              <a:lnTo>
                <a:pt x="681159" y="519671"/>
              </a:lnTo>
              <a:lnTo>
                <a:pt x="680925" y="518263"/>
              </a:lnTo>
              <a:lnTo>
                <a:pt x="678812" y="515446"/>
              </a:lnTo>
              <a:close/>
            </a:path>
            <a:path w="691515" h="687070">
              <a:moveTo>
                <a:pt x="679986" y="528121"/>
              </a:moveTo>
              <a:lnTo>
                <a:pt x="675291" y="528121"/>
              </a:lnTo>
              <a:lnTo>
                <a:pt x="676700" y="530234"/>
              </a:lnTo>
              <a:lnTo>
                <a:pt x="677404" y="532346"/>
              </a:lnTo>
              <a:lnTo>
                <a:pt x="678108" y="535867"/>
              </a:lnTo>
              <a:lnTo>
                <a:pt x="681629" y="535867"/>
              </a:lnTo>
              <a:lnTo>
                <a:pt x="680925" y="532346"/>
              </a:lnTo>
              <a:lnTo>
                <a:pt x="680925" y="529530"/>
              </a:lnTo>
              <a:lnTo>
                <a:pt x="679986" y="528121"/>
              </a:lnTo>
              <a:close/>
            </a:path>
            <a:path w="691515" h="687070">
              <a:moveTo>
                <a:pt x="681159" y="519671"/>
              </a:moveTo>
              <a:lnTo>
                <a:pt x="675995" y="519671"/>
              </a:lnTo>
              <a:lnTo>
                <a:pt x="677404" y="520376"/>
              </a:lnTo>
              <a:lnTo>
                <a:pt x="677404" y="524601"/>
              </a:lnTo>
              <a:lnTo>
                <a:pt x="675291" y="525305"/>
              </a:lnTo>
              <a:lnTo>
                <a:pt x="681629" y="525305"/>
              </a:lnTo>
              <a:lnTo>
                <a:pt x="681629" y="522488"/>
              </a:lnTo>
              <a:lnTo>
                <a:pt x="681159" y="519671"/>
              </a:lnTo>
              <a:close/>
            </a:path>
            <a:path w="691515" h="687070">
              <a:moveTo>
                <a:pt x="333140" y="254906"/>
              </a:moveTo>
              <a:lnTo>
                <a:pt x="308423" y="254906"/>
              </a:lnTo>
              <a:lnTo>
                <a:pt x="338578" y="318072"/>
              </a:lnTo>
              <a:lnTo>
                <a:pt x="370186" y="364947"/>
              </a:lnTo>
              <a:lnTo>
                <a:pt x="401152" y="398336"/>
              </a:lnTo>
              <a:lnTo>
                <a:pt x="429381" y="421044"/>
              </a:lnTo>
              <a:lnTo>
                <a:pt x="452776" y="435876"/>
              </a:lnTo>
              <a:lnTo>
                <a:pt x="402426" y="445605"/>
              </a:lnTo>
              <a:lnTo>
                <a:pt x="350115" y="457936"/>
              </a:lnTo>
              <a:lnTo>
                <a:pt x="296925" y="472938"/>
              </a:lnTo>
              <a:lnTo>
                <a:pt x="243938" y="490677"/>
              </a:lnTo>
              <a:lnTo>
                <a:pt x="192236" y="511221"/>
              </a:lnTo>
              <a:lnTo>
                <a:pt x="198852" y="511221"/>
              </a:lnTo>
              <a:lnTo>
                <a:pt x="235372" y="499560"/>
              </a:lnTo>
              <a:lnTo>
                <a:pt x="281717" y="487176"/>
              </a:lnTo>
              <a:lnTo>
                <a:pt x="330252" y="476277"/>
              </a:lnTo>
              <a:lnTo>
                <a:pt x="379960" y="466964"/>
              </a:lnTo>
              <a:lnTo>
                <a:pt x="429825" y="459332"/>
              </a:lnTo>
              <a:lnTo>
                <a:pt x="478830" y="453480"/>
              </a:lnTo>
              <a:lnTo>
                <a:pt x="531704" y="453480"/>
              </a:lnTo>
              <a:lnTo>
                <a:pt x="520376" y="448551"/>
              </a:lnTo>
              <a:lnTo>
                <a:pt x="568138" y="446361"/>
              </a:lnTo>
              <a:lnTo>
                <a:pt x="677124" y="446361"/>
              </a:lnTo>
              <a:lnTo>
                <a:pt x="658831" y="436492"/>
              </a:lnTo>
              <a:lnTo>
                <a:pt x="632567" y="430947"/>
              </a:lnTo>
              <a:lnTo>
                <a:pt x="489392" y="430947"/>
              </a:lnTo>
              <a:lnTo>
                <a:pt x="473054" y="421595"/>
              </a:lnTo>
              <a:lnTo>
                <a:pt x="426018" y="390105"/>
              </a:lnTo>
              <a:lnTo>
                <a:pt x="391052" y="354578"/>
              </a:lnTo>
              <a:lnTo>
                <a:pt x="361235" y="311855"/>
              </a:lnTo>
              <a:lnTo>
                <a:pt x="336699" y="264247"/>
              </a:lnTo>
              <a:lnTo>
                <a:pt x="333140" y="254906"/>
              </a:lnTo>
              <a:close/>
            </a:path>
            <a:path w="691515" h="687070">
              <a:moveTo>
                <a:pt x="531704" y="453480"/>
              </a:moveTo>
              <a:lnTo>
                <a:pt x="478830" y="453480"/>
              </a:lnTo>
              <a:lnTo>
                <a:pt x="525041" y="474363"/>
              </a:lnTo>
              <a:lnTo>
                <a:pt x="570723" y="490097"/>
              </a:lnTo>
              <a:lnTo>
                <a:pt x="612709" y="500021"/>
              </a:lnTo>
              <a:lnTo>
                <a:pt x="647829" y="503476"/>
              </a:lnTo>
              <a:lnTo>
                <a:pt x="662363" y="502529"/>
              </a:lnTo>
              <a:lnTo>
                <a:pt x="673267" y="499603"/>
              </a:lnTo>
              <a:lnTo>
                <a:pt x="680606" y="494564"/>
              </a:lnTo>
              <a:lnTo>
                <a:pt x="681847" y="492209"/>
              </a:lnTo>
              <a:lnTo>
                <a:pt x="662616" y="492209"/>
              </a:lnTo>
              <a:lnTo>
                <a:pt x="634747" y="489051"/>
              </a:lnTo>
              <a:lnTo>
                <a:pt x="600210" y="480150"/>
              </a:lnTo>
              <a:lnTo>
                <a:pt x="561316" y="466364"/>
              </a:lnTo>
              <a:lnTo>
                <a:pt x="531704" y="453480"/>
              </a:lnTo>
              <a:close/>
            </a:path>
            <a:path w="691515" h="687070">
              <a:moveTo>
                <a:pt x="684445" y="487280"/>
              </a:moveTo>
              <a:lnTo>
                <a:pt x="679516" y="489392"/>
              </a:lnTo>
              <a:lnTo>
                <a:pt x="671770" y="492209"/>
              </a:lnTo>
              <a:lnTo>
                <a:pt x="681847" y="492209"/>
              </a:lnTo>
              <a:lnTo>
                <a:pt x="684445" y="487280"/>
              </a:lnTo>
              <a:close/>
            </a:path>
            <a:path w="691515" h="687070">
              <a:moveTo>
                <a:pt x="677124" y="446361"/>
              </a:moveTo>
              <a:lnTo>
                <a:pt x="568138" y="446361"/>
              </a:lnTo>
              <a:lnTo>
                <a:pt x="623623" y="447935"/>
              </a:lnTo>
              <a:lnTo>
                <a:pt x="669207" y="457562"/>
              </a:lnTo>
              <a:lnTo>
                <a:pt x="687262" y="479534"/>
              </a:lnTo>
              <a:lnTo>
                <a:pt x="689375" y="474605"/>
              </a:lnTo>
              <a:lnTo>
                <a:pt x="691485" y="472495"/>
              </a:lnTo>
              <a:lnTo>
                <a:pt x="691485" y="467558"/>
              </a:lnTo>
              <a:lnTo>
                <a:pt x="682916" y="449486"/>
              </a:lnTo>
              <a:lnTo>
                <a:pt x="677124" y="446361"/>
              </a:lnTo>
              <a:close/>
            </a:path>
            <a:path w="691515" h="687070">
              <a:moveTo>
                <a:pt x="573892" y="426018"/>
              </a:moveTo>
              <a:lnTo>
                <a:pt x="555045" y="426491"/>
              </a:lnTo>
              <a:lnTo>
                <a:pt x="534547" y="427690"/>
              </a:lnTo>
              <a:lnTo>
                <a:pt x="489392" y="430947"/>
              </a:lnTo>
              <a:lnTo>
                <a:pt x="632567" y="430947"/>
              </a:lnTo>
              <a:lnTo>
                <a:pt x="621676" y="428647"/>
              </a:lnTo>
              <a:lnTo>
                <a:pt x="573892" y="426018"/>
              </a:lnTo>
              <a:close/>
            </a:path>
            <a:path w="691515" h="687070">
              <a:moveTo>
                <a:pt x="329548" y="57741"/>
              </a:moveTo>
              <a:lnTo>
                <a:pt x="325752" y="78536"/>
              </a:lnTo>
              <a:lnTo>
                <a:pt x="321362" y="105272"/>
              </a:lnTo>
              <a:lnTo>
                <a:pt x="315783" y="138345"/>
              </a:lnTo>
              <a:lnTo>
                <a:pt x="308423" y="178153"/>
              </a:lnTo>
              <a:lnTo>
                <a:pt x="322664" y="178153"/>
              </a:lnTo>
              <a:lnTo>
                <a:pt x="323309" y="173598"/>
              </a:lnTo>
              <a:lnTo>
                <a:pt x="326467" y="134847"/>
              </a:lnTo>
              <a:lnTo>
                <a:pt x="328172" y="96624"/>
              </a:lnTo>
              <a:lnTo>
                <a:pt x="329548" y="57741"/>
              </a:lnTo>
              <a:close/>
            </a:path>
            <a:path w="691515" h="687070">
              <a:moveTo>
                <a:pt x="322757" y="4224"/>
              </a:moveTo>
              <a:lnTo>
                <a:pt x="305606" y="4224"/>
              </a:lnTo>
              <a:lnTo>
                <a:pt x="313209" y="9022"/>
              </a:lnTo>
              <a:lnTo>
                <a:pt x="320481" y="16723"/>
              </a:lnTo>
              <a:lnTo>
                <a:pt x="326302" y="28386"/>
              </a:lnTo>
              <a:lnTo>
                <a:pt x="329548" y="45066"/>
              </a:lnTo>
              <a:lnTo>
                <a:pt x="332188" y="19012"/>
              </a:lnTo>
              <a:lnTo>
                <a:pt x="326379" y="5633"/>
              </a:lnTo>
              <a:lnTo>
                <a:pt x="322757" y="4224"/>
              </a:lnTo>
              <a:close/>
            </a:path>
          </a:pathLst>
        </a:custGeom>
        <a:solidFill>
          <a:srgbClr val="FFD8D8">
            <a:alpha val="50000"/>
          </a:srgbClr>
        </a:solidFill>
      </xdr:spPr>
    </xdr:sp>
    <xdr:clientData/>
  </xdr:oneCellAnchor>
  <xdr:twoCellAnchor>
    <xdr:from>
      <xdr:col>1</xdr:col>
      <xdr:colOff>66673</xdr:colOff>
      <xdr:row>0</xdr:row>
      <xdr:rowOff>47625</xdr:rowOff>
    </xdr:from>
    <xdr:to>
      <xdr:col>1</xdr:col>
      <xdr:colOff>3128095</xdr:colOff>
      <xdr:row>0</xdr:row>
      <xdr:rowOff>788361</xdr:rowOff>
    </xdr:to>
    <xdr:pic>
      <xdr:nvPicPr>
        <xdr:cNvPr id="19" name="Picture 18" descr="AH6089629">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28578</xdr:colOff>
      <xdr:row>2</xdr:row>
      <xdr:rowOff>28579</xdr:rowOff>
    </xdr:from>
    <xdr:to>
      <xdr:col>2</xdr:col>
      <xdr:colOff>1194435</xdr:colOff>
      <xdr:row>2</xdr:row>
      <xdr:rowOff>152330</xdr:rowOff>
    </xdr:to>
    <xdr:pic>
      <xdr:nvPicPr>
        <xdr:cNvPr id="20" name="Picture 19" descr="Top Banner Thin Grey and Orange line 29-7-16">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8" y="1806579"/>
          <a:ext cx="4658357" cy="123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66673</xdr:colOff>
      <xdr:row>0</xdr:row>
      <xdr:rowOff>47625</xdr:rowOff>
    </xdr:from>
    <xdr:to>
      <xdr:col>2</xdr:col>
      <xdr:colOff>626195</xdr:colOff>
      <xdr:row>0</xdr:row>
      <xdr:rowOff>788361</xdr:rowOff>
    </xdr:to>
    <xdr:pic>
      <xdr:nvPicPr>
        <xdr:cNvPr id="20" name="Picture 19" descr="AH608962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28579</xdr:colOff>
      <xdr:row>2</xdr:row>
      <xdr:rowOff>28579</xdr:rowOff>
    </xdr:from>
    <xdr:to>
      <xdr:col>2</xdr:col>
      <xdr:colOff>2185036</xdr:colOff>
      <xdr:row>2</xdr:row>
      <xdr:rowOff>152330</xdr:rowOff>
    </xdr:to>
    <xdr:pic>
      <xdr:nvPicPr>
        <xdr:cNvPr id="22" name="Picture 21" descr="Top Banner Thin Grey and Orange line 29-7-16">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28579" y="1920879"/>
          <a:ext cx="4658357" cy="123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66673</xdr:colOff>
      <xdr:row>0</xdr:row>
      <xdr:rowOff>47625</xdr:rowOff>
    </xdr:from>
    <xdr:to>
      <xdr:col>2</xdr:col>
      <xdr:colOff>626195</xdr:colOff>
      <xdr:row>0</xdr:row>
      <xdr:rowOff>788361</xdr:rowOff>
    </xdr:to>
    <xdr:pic>
      <xdr:nvPicPr>
        <xdr:cNvPr id="5" name="Picture 4" descr="AH6089629">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3" y="47625"/>
          <a:ext cx="3061422" cy="740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xdr:row>
      <xdr:rowOff>57150</xdr:rowOff>
    </xdr:from>
    <xdr:to>
      <xdr:col>2</xdr:col>
      <xdr:colOff>2216199</xdr:colOff>
      <xdr:row>2</xdr:row>
      <xdr:rowOff>181483</xdr:rowOff>
    </xdr:to>
    <xdr:pic>
      <xdr:nvPicPr>
        <xdr:cNvPr id="6" name="Picture 5" descr="Top Banner Thin Grey and Orange line 29-7-16">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08" t="-43869" r="5190" b="-13498"/>
        <a:stretch>
          <a:fillRect/>
        </a:stretch>
      </xdr:blipFill>
      <xdr:spPr bwMode="auto">
        <a:xfrm>
          <a:off x="38099" y="1885950"/>
          <a:ext cx="4680000" cy="1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1" name="Table1" displayName="Table1" ref="C10:D13" totalsRowShown="0" headerRowDxfId="3" dataDxfId="2">
  <autoFilter ref="C10:D13"/>
  <tableColumns count="2">
    <tableColumn id="1" name="Applicability" dataDxfId="1"/>
    <tableColumn id="2" name="Required Equipment / TSO / ETSO"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26"/>
  <sheetViews>
    <sheetView topLeftCell="A13" workbookViewId="0">
      <selection activeCell="T10" sqref="T10"/>
    </sheetView>
  </sheetViews>
  <sheetFormatPr defaultRowHeight="13" x14ac:dyDescent="0.3"/>
  <cols>
    <col min="1" max="1" width="96.796875" customWidth="1"/>
  </cols>
  <sheetData>
    <row r="1" spans="1:1" ht="72" customHeight="1" x14ac:dyDescent="0.3"/>
    <row r="2" spans="1:1" ht="77.25" customHeight="1" x14ac:dyDescent="0.3">
      <c r="A2" s="1086" t="s">
        <v>1937</v>
      </c>
    </row>
    <row r="3" spans="1:1" ht="22.5" customHeight="1" x14ac:dyDescent="0.3"/>
    <row r="4" spans="1:1" ht="22.5" customHeight="1" x14ac:dyDescent="0.3"/>
    <row r="5" spans="1:1" s="5" customFormat="1" ht="15.5" x14ac:dyDescent="0.3">
      <c r="A5" s="23" t="s">
        <v>381</v>
      </c>
    </row>
    <row r="6" spans="1:1" s="1" customFormat="1" ht="77.5" x14ac:dyDescent="0.3">
      <c r="A6" s="22" t="s">
        <v>1865</v>
      </c>
    </row>
    <row r="7" spans="1:1" s="1" customFormat="1" x14ac:dyDescent="0.3">
      <c r="A7" s="21"/>
    </row>
    <row r="8" spans="1:1" s="1" customFormat="1" ht="46.5" x14ac:dyDescent="0.3">
      <c r="A8" s="22" t="s">
        <v>1867</v>
      </c>
    </row>
    <row r="9" spans="1:1" s="1" customFormat="1" x14ac:dyDescent="0.3"/>
    <row r="10" spans="1:1" s="1" customFormat="1" x14ac:dyDescent="0.3"/>
    <row r="11" spans="1:1" s="1" customFormat="1" ht="31" x14ac:dyDescent="0.3">
      <c r="A11" s="22" t="s">
        <v>1800</v>
      </c>
    </row>
    <row r="12" spans="1:1" s="1" customFormat="1" x14ac:dyDescent="0.3"/>
    <row r="13" spans="1:1" s="1" customFormat="1" x14ac:dyDescent="0.3"/>
    <row r="14" spans="1:1" s="1" customFormat="1" x14ac:dyDescent="0.3"/>
    <row r="15" spans="1:1" s="1" customFormat="1" x14ac:dyDescent="0.3"/>
    <row r="16" spans="1:1" s="1" customFormat="1" x14ac:dyDescent="0.3"/>
    <row r="17" spans="1:1" s="1" customFormat="1" x14ac:dyDescent="0.3"/>
    <row r="18" spans="1:1" s="1" customFormat="1" x14ac:dyDescent="0.3"/>
    <row r="19" spans="1:1" s="1" customFormat="1" x14ac:dyDescent="0.3"/>
    <row r="20" spans="1:1" s="1" customFormat="1" x14ac:dyDescent="0.3"/>
    <row r="21" spans="1:1" s="1" customFormat="1" x14ac:dyDescent="0.3"/>
    <row r="22" spans="1:1" s="1" customFormat="1" x14ac:dyDescent="0.3"/>
    <row r="23" spans="1:1" s="1" customFormat="1" x14ac:dyDescent="0.3"/>
    <row r="24" spans="1:1" s="1" customFormat="1" x14ac:dyDescent="0.3">
      <c r="A24"/>
    </row>
    <row r="25" spans="1:1" s="1" customFormat="1" x14ac:dyDescent="0.3"/>
    <row r="26" spans="1:1" s="1" customFormat="1" x14ac:dyDescent="0.3"/>
    <row r="27" spans="1:1" s="1" customFormat="1" x14ac:dyDescent="0.3"/>
    <row r="28" spans="1:1" s="1" customFormat="1" x14ac:dyDescent="0.3"/>
    <row r="29" spans="1:1" s="1" customFormat="1" x14ac:dyDescent="0.3"/>
    <row r="30" spans="1:1" s="1" customFormat="1" x14ac:dyDescent="0.3"/>
    <row r="31" spans="1:1" s="1" customFormat="1" x14ac:dyDescent="0.3"/>
    <row r="32" spans="1:1" s="1" customFormat="1" x14ac:dyDescent="0.3"/>
    <row r="33" s="1" customFormat="1" x14ac:dyDescent="0.3"/>
    <row r="34" s="1" customFormat="1" x14ac:dyDescent="0.3"/>
    <row r="35" s="1" customFormat="1" x14ac:dyDescent="0.3"/>
    <row r="36" s="1" customFormat="1" x14ac:dyDescent="0.3"/>
    <row r="37" s="1" customFormat="1" x14ac:dyDescent="0.3"/>
    <row r="57" spans="1:1" ht="15.5" x14ac:dyDescent="0.3">
      <c r="A57" s="23"/>
    </row>
    <row r="59" spans="1:1" ht="18" x14ac:dyDescent="0.3">
      <c r="A59" s="75" t="s">
        <v>1868</v>
      </c>
    </row>
    <row r="60" spans="1:1" ht="15.5" x14ac:dyDescent="0.3">
      <c r="A60" s="76" t="s">
        <v>1869</v>
      </c>
    </row>
    <row r="61" spans="1:1" ht="15.5" x14ac:dyDescent="0.3">
      <c r="A61" s="77" t="s">
        <v>844</v>
      </c>
    </row>
    <row r="62" spans="1:1" ht="15.5" x14ac:dyDescent="0.3">
      <c r="A62" s="77" t="s">
        <v>845</v>
      </c>
    </row>
    <row r="63" spans="1:1" ht="15.5" x14ac:dyDescent="0.3">
      <c r="A63" s="77" t="s">
        <v>846</v>
      </c>
    </row>
    <row r="64" spans="1:1" ht="15.5" x14ac:dyDescent="0.3">
      <c r="A64" s="77" t="s">
        <v>1877</v>
      </c>
    </row>
    <row r="65" spans="1:1" ht="15.5" x14ac:dyDescent="0.3">
      <c r="A65" s="77" t="s">
        <v>1878</v>
      </c>
    </row>
    <row r="66" spans="1:1" ht="15.5" x14ac:dyDescent="0.3">
      <c r="A66" s="77" t="s">
        <v>1879</v>
      </c>
    </row>
    <row r="67" spans="1:1" ht="15.5" x14ac:dyDescent="0.3">
      <c r="A67" s="77" t="s">
        <v>1880</v>
      </c>
    </row>
    <row r="68" spans="1:1" ht="15.5" x14ac:dyDescent="0.3">
      <c r="A68" s="77" t="s">
        <v>1881</v>
      </c>
    </row>
    <row r="69" spans="1:1" ht="15.5" x14ac:dyDescent="0.3">
      <c r="A69" s="77" t="s">
        <v>1882</v>
      </c>
    </row>
    <row r="70" spans="1:1" ht="15.5" x14ac:dyDescent="0.3">
      <c r="A70" s="77" t="s">
        <v>1883</v>
      </c>
    </row>
    <row r="71" spans="1:1" ht="15.5" x14ac:dyDescent="0.3">
      <c r="A71" s="77" t="s">
        <v>1884</v>
      </c>
    </row>
    <row r="72" spans="1:1" ht="15.5" x14ac:dyDescent="0.3">
      <c r="A72" s="77" t="s">
        <v>1927</v>
      </c>
    </row>
    <row r="101" spans="1:1" s="70" customFormat="1" ht="14.5" x14ac:dyDescent="0.3">
      <c r="A101" s="69"/>
    </row>
    <row r="102" spans="1:1" s="70" customFormat="1" ht="14.5" x14ac:dyDescent="0.3">
      <c r="A102" s="69"/>
    </row>
    <row r="103" spans="1:1" s="70" customFormat="1" ht="14.5" x14ac:dyDescent="0.3">
      <c r="A103" s="69"/>
    </row>
    <row r="104" spans="1:1" s="70" customFormat="1" ht="14.5" x14ac:dyDescent="0.3"/>
    <row r="124" spans="1:2" ht="14.5" x14ac:dyDescent="0.3">
      <c r="A124" s="2"/>
      <c r="B124" s="28"/>
    </row>
    <row r="125" spans="1:2" ht="14.5" x14ac:dyDescent="0.3">
      <c r="B125" s="169"/>
    </row>
    <row r="126" spans="1:2" ht="14.5" x14ac:dyDescent="0.3">
      <c r="A126" s="2"/>
      <c r="B126" s="56"/>
    </row>
  </sheetData>
  <sheetProtection algorithmName="SHA-256" hashValue="IuYS7IXpCoLIxEeSoT1qDja8qHaEA+T7Ck09cd0n1YM=" saltValue="sifeeaE/OhXWALhRCJSdog==" spinCount="100000" sheet="1" objects="1" scenarios="1" selectLockedCells="1" selectUnlockedCells="1"/>
  <conditionalFormatting sqref="B124">
    <cfRule type="expression" dxfId="9220" priority="10">
      <formula>IF(AND($E124=TRUE,$I124&lt;&gt;"",$L124&lt;&gt;""),TRUE,FALSE)</formula>
    </cfRule>
    <cfRule type="expression" dxfId="9219" priority="11">
      <formula>IF(AND($E124=TRUE,OR($I124="",$L124="")),TRUE,FALSE)</formula>
    </cfRule>
  </conditionalFormatting>
  <conditionalFormatting sqref="B124:B126">
    <cfRule type="expression" dxfId="9218" priority="2">
      <formula>IF(AND($E124=FALSE,OR($I124&lt;&gt;"",$L124&lt;&gt;"")),TRUE,FALSE)</formula>
    </cfRule>
  </conditionalFormatting>
  <conditionalFormatting sqref="B125">
    <cfRule type="expression" dxfId="9217" priority="7">
      <formula>IF(AND($E125=TRUE,OR($I125&lt;&gt;"",$L125="")),TRUE,FALSE)</formula>
    </cfRule>
    <cfRule type="expression" dxfId="9216" priority="8">
      <formula>IF(AND($E125=FALSE,$E$15=TRUE),TRUE,FALSE)</formula>
    </cfRule>
  </conditionalFormatting>
  <conditionalFormatting sqref="B125:B126">
    <cfRule type="expression" dxfId="9215" priority="3">
      <formula>IF(AND($E125=TRUE,OR($I125="",$J125="")),TRUE,FALSE)</formula>
    </cfRule>
  </conditionalFormatting>
  <conditionalFormatting sqref="B126">
    <cfRule type="expression" dxfId="9214" priority="1">
      <formula>IF(AND($E126=TRUE,$F$18&gt;1),TRUE,FALSE)</formula>
    </cfRule>
    <cfRule type="expression" dxfId="9213" priority="4">
      <formula>IF(AND($E126=TRUE,AND($I126&lt;&gt;"",$L126&lt;&gt;"")),TRUE,FALSE)</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F128"/>
  <sheetViews>
    <sheetView zoomScale="75" zoomScaleNormal="75" workbookViewId="0">
      <pane xSplit="3" ySplit="5" topLeftCell="D6" activePane="bottomRight" state="frozen"/>
      <selection activeCell="T10" sqref="T10"/>
      <selection pane="topRight" activeCell="T10" sqref="T10"/>
      <selection pane="bottomLeft" activeCell="T10" sqref="T10"/>
      <selection pane="bottomRight" activeCell="I10" sqref="I10"/>
    </sheetView>
  </sheetViews>
  <sheetFormatPr defaultColWidth="8.796875" defaultRowHeight="13" x14ac:dyDescent="0.3"/>
  <cols>
    <col min="1" max="1" width="11.796875" style="1384" hidden="1" customWidth="1"/>
    <col min="2" max="3" width="61" style="1384" customWidth="1"/>
    <col min="4" max="4" width="28.69921875" style="1384" customWidth="1"/>
    <col min="5" max="5" width="12.69921875" style="1384" hidden="1" customWidth="1"/>
    <col min="6" max="6" width="12" style="1384" hidden="1" customWidth="1"/>
    <col min="7" max="7" width="13.19921875" style="1384" hidden="1" customWidth="1"/>
    <col min="8" max="8" width="9.296875" style="1384" hidden="1" customWidth="1"/>
    <col min="9" max="9" width="66.19921875" style="1384" customWidth="1"/>
    <col min="10" max="10" width="11.19921875" style="1384" hidden="1" customWidth="1"/>
    <col min="11" max="11" width="9.296875" style="1384" hidden="1" customWidth="1"/>
    <col min="12" max="12" width="28.796875" style="1384" customWidth="1"/>
    <col min="13" max="13" width="36.69921875" style="1384" customWidth="1"/>
    <col min="14" max="14" width="35.796875" style="1384" customWidth="1"/>
    <col min="15" max="15" width="10.69921875" style="1384" hidden="1" customWidth="1"/>
    <col min="16" max="16" width="44.69921875" style="1384" customWidth="1"/>
    <col min="17" max="17" width="30.3984375" style="1384" customWidth="1"/>
    <col min="18" max="18" width="11.69921875" style="1384" hidden="1" customWidth="1"/>
    <col min="19" max="19" width="65" style="1384" customWidth="1"/>
    <col min="20" max="20" width="41.796875" style="1384" customWidth="1"/>
    <col min="21" max="21" width="36.796875" style="1384" customWidth="1"/>
    <col min="22" max="22" width="31.69921875" style="1384" customWidth="1"/>
    <col min="23" max="23" width="9.19921875" style="1384" hidden="1" customWidth="1"/>
    <col min="24" max="24" width="46.19921875" style="1384" customWidth="1"/>
    <col min="25" max="25" width="34.796875" style="1384" customWidth="1"/>
    <col min="26" max="26" width="35.19921875" style="1384" customWidth="1"/>
    <col min="27" max="16384" width="8.796875" style="1384"/>
  </cols>
  <sheetData>
    <row r="1" spans="1:27" ht="76.5" customHeight="1" x14ac:dyDescent="0.3">
      <c r="A1"/>
      <c r="B1" s="4521"/>
      <c r="C1" s="4521"/>
      <c r="D1" s="4521"/>
      <c r="E1"/>
      <c r="F1"/>
      <c r="G1"/>
      <c r="H1"/>
      <c r="I1"/>
      <c r="J1"/>
    </row>
    <row r="2" spans="1:27" ht="78" customHeight="1" x14ac:dyDescent="0.3">
      <c r="A2"/>
      <c r="B2" s="4398" t="s">
        <v>2280</v>
      </c>
      <c r="C2" s="4494"/>
      <c r="D2" s="4494"/>
      <c r="E2" s="4494"/>
      <c r="F2" s="4494"/>
      <c r="G2" s="4494"/>
      <c r="H2" s="4494"/>
      <c r="I2" s="4494"/>
      <c r="J2" s="4494"/>
    </row>
    <row r="3" spans="1:27" x14ac:dyDescent="0.3">
      <c r="A3"/>
      <c r="B3" s="4521"/>
      <c r="C3" s="4521"/>
      <c r="D3" s="4521"/>
      <c r="E3"/>
      <c r="F3"/>
      <c r="G3"/>
      <c r="H3"/>
      <c r="I3"/>
      <c r="J3"/>
    </row>
    <row r="4" spans="1:27" s="1579" customFormat="1" ht="62.25" customHeight="1" thickBot="1" x14ac:dyDescent="0.35">
      <c r="A4" s="4688" t="s">
        <v>1857</v>
      </c>
      <c r="B4" s="4689"/>
      <c r="C4" s="4689"/>
      <c r="D4" s="3210"/>
      <c r="E4" s="3210"/>
      <c r="F4" s="3210"/>
      <c r="G4" s="3210"/>
      <c r="H4" s="3210"/>
      <c r="I4" s="3210"/>
      <c r="J4" s="3210"/>
      <c r="K4" s="3179"/>
      <c r="L4" s="3179"/>
      <c r="M4" s="3180"/>
      <c r="N4" s="3180"/>
      <c r="O4" s="3180"/>
      <c r="P4" s="3180"/>
      <c r="Q4" s="3180"/>
      <c r="R4" s="3180"/>
      <c r="S4" s="3180"/>
      <c r="T4" s="1576"/>
      <c r="U4" s="1576"/>
      <c r="V4" s="1576"/>
      <c r="W4" s="1576"/>
      <c r="X4" s="1576"/>
      <c r="Y4" s="1576"/>
      <c r="Z4" s="1576"/>
    </row>
    <row r="5" spans="1:27" s="561" customFormat="1" ht="41.25" customHeight="1" thickTop="1" thickBot="1" x14ac:dyDescent="0.35">
      <c r="A5" s="3211" t="s">
        <v>1159</v>
      </c>
      <c r="B5" s="3212" t="s">
        <v>1872</v>
      </c>
      <c r="C5" s="1105" t="s">
        <v>1873</v>
      </c>
      <c r="D5" s="1105" t="s">
        <v>1236</v>
      </c>
      <c r="E5" s="1105"/>
      <c r="F5" s="1105"/>
      <c r="G5" s="1105"/>
      <c r="H5" s="1105"/>
      <c r="I5" s="1105" t="s">
        <v>458</v>
      </c>
      <c r="J5" s="1105"/>
      <c r="K5" s="1105"/>
      <c r="L5" s="1105" t="s">
        <v>408</v>
      </c>
      <c r="M5" s="1105" t="s">
        <v>466</v>
      </c>
      <c r="N5" s="1105" t="s">
        <v>465</v>
      </c>
      <c r="O5" s="1105"/>
      <c r="P5" s="1105" t="s">
        <v>1221</v>
      </c>
      <c r="Q5" s="1105" t="s">
        <v>1212</v>
      </c>
      <c r="R5" s="1105"/>
      <c r="S5" s="1105" t="s">
        <v>396</v>
      </c>
      <c r="T5" s="1105" t="s">
        <v>409</v>
      </c>
      <c r="U5" s="1105" t="s">
        <v>1211</v>
      </c>
      <c r="V5" s="1105" t="s">
        <v>1824</v>
      </c>
      <c r="W5" s="1105"/>
      <c r="X5" s="1105" t="s">
        <v>10</v>
      </c>
      <c r="Y5" s="1105" t="s">
        <v>11</v>
      </c>
      <c r="Z5" s="1477" t="s">
        <v>12</v>
      </c>
      <c r="AA5" s="3213"/>
    </row>
    <row r="6" spans="1:27" customFormat="1" ht="19" thickTop="1" x14ac:dyDescent="0.3">
      <c r="A6" s="4480" t="s">
        <v>1647</v>
      </c>
      <c r="B6" s="4481"/>
      <c r="C6" s="4481"/>
      <c r="D6" s="1488"/>
      <c r="E6" s="377"/>
      <c r="F6" s="377"/>
      <c r="G6" s="425"/>
      <c r="H6" s="377"/>
      <c r="I6" s="1478"/>
      <c r="J6" s="1479"/>
      <c r="K6" s="1479"/>
      <c r="L6" s="1480"/>
      <c r="M6" s="1481"/>
      <c r="N6" s="1624"/>
      <c r="O6" s="1624"/>
      <c r="P6" s="1482"/>
      <c r="Q6" s="1483"/>
      <c r="R6" s="1480"/>
      <c r="S6" s="496"/>
      <c r="T6" s="496"/>
      <c r="U6" s="496"/>
      <c r="V6" s="1483"/>
      <c r="W6" s="1480"/>
      <c r="X6" s="1480"/>
      <c r="Y6" s="1906"/>
      <c r="Z6" s="1906"/>
    </row>
    <row r="7" spans="1:27" s="2" customFormat="1" ht="46" customHeight="1" x14ac:dyDescent="0.3">
      <c r="A7" s="4686" t="s">
        <v>880</v>
      </c>
      <c r="B7" s="4687"/>
      <c r="C7" s="4687"/>
      <c r="D7" s="502"/>
      <c r="E7" s="502"/>
      <c r="F7" s="502"/>
      <c r="G7" s="502"/>
      <c r="H7" s="502"/>
      <c r="I7" s="502"/>
      <c r="J7" s="502"/>
      <c r="K7" s="502"/>
      <c r="L7" s="502"/>
      <c r="M7" s="485"/>
      <c r="N7" s="502"/>
      <c r="O7" s="502"/>
      <c r="P7" s="502"/>
      <c r="Q7" s="502"/>
      <c r="R7" s="502"/>
      <c r="S7" s="502"/>
      <c r="T7" s="502"/>
      <c r="U7" s="485"/>
      <c r="V7" s="503"/>
      <c r="W7" s="485"/>
      <c r="X7" s="504"/>
      <c r="Y7" s="484"/>
    </row>
    <row r="8" spans="1:27" s="3640" customFormat="1" ht="14.5" customHeight="1" thickBot="1" x14ac:dyDescent="0.35">
      <c r="A8" s="4165"/>
      <c r="B8" s="3755"/>
      <c r="C8" s="3719"/>
      <c r="D8" s="3755"/>
      <c r="E8" s="3719"/>
      <c r="F8" s="3719"/>
      <c r="G8" s="3719"/>
      <c r="H8" s="3719"/>
      <c r="I8" s="3719"/>
      <c r="J8" s="3719"/>
      <c r="K8" s="3719"/>
      <c r="L8" s="3719"/>
      <c r="M8" s="3719"/>
      <c r="N8" s="3755"/>
      <c r="O8" s="3755"/>
      <c r="P8" s="3755"/>
      <c r="Q8" s="3755"/>
      <c r="R8" s="3755"/>
      <c r="S8" s="3755"/>
      <c r="T8" s="3755"/>
      <c r="U8" s="3719"/>
      <c r="V8" s="3755"/>
      <c r="W8" s="3755"/>
      <c r="X8" s="3755"/>
      <c r="Y8" s="4166"/>
      <c r="Z8" s="3690"/>
    </row>
    <row r="9" spans="1:27" s="2608" customFormat="1" ht="30" thickTop="1" thickBot="1" x14ac:dyDescent="0.35">
      <c r="A9" s="1767"/>
      <c r="B9" s="1907" t="s">
        <v>1696</v>
      </c>
      <c r="C9" s="1701" t="s">
        <v>1695</v>
      </c>
      <c r="D9" s="1947" t="s">
        <v>1588</v>
      </c>
      <c r="E9" s="2952" t="b">
        <f>IF(AND(E10=TRUE,E11=TRUE,E12=TRUE),TRUE,FALSE)</f>
        <v>0</v>
      </c>
      <c r="F9" s="270">
        <f>COUNTIF(E10:E12,TRUE)</f>
        <v>0</v>
      </c>
      <c r="G9" s="270">
        <f>COUNTIFS(E10:E12,TRUE,G10:G12,"Not Blank")</f>
        <v>0</v>
      </c>
      <c r="H9" s="270">
        <f>COUNTIFS(E10:E12,FALSE,G10:G12,"Not Blank")</f>
        <v>0</v>
      </c>
      <c r="I9" s="1519" t="str">
        <f xml:space="preserve">
IF(F9&gt;3,"Too Many Entries - Check Red Lines",
IF(G9&lt;F9,"Valid Entry required below - Check Amber Line/s",
IF(AND(E9=FALSE,G9=0,H9=0),"Nothing Entered below Yet",
IF(G9&lt;F9,"Valid Entry required below - Check Amber Line/s",
IF(AND(G9=0,H9&gt;0),"**Non-Valid Entry/ies below - Check Yellow Line/s",
IF(AND(G9&gt;0,H9&gt;0),"**Valid and Non-Valid Entries made below - Check Yellow Line/s",
IF(AND(E9=FALSE,F9&lt;3),"Not all requirements addressed below - Check Pink Line/s",
IF(AND(E9=FALSE,G9&lt;3,G9&gt;0,H9=0),"More entries to come",
IF(AND(E9,TRUE,G9=3,H9=0),"Valid Entries made below"
)))))))))</f>
        <v>Nothing Entered below Yet</v>
      </c>
      <c r="J9" s="1677">
        <f>COUNTIFS(E10:E12,TRUE,J10:J12,"Not Blank")</f>
        <v>0</v>
      </c>
      <c r="K9" s="1677">
        <f>COUNTIFS(E10:E12,FALSE,J10:J12,"Not Blank")</f>
        <v>0</v>
      </c>
      <c r="L9" s="1519" t="str">
        <f xml:space="preserve">
IF(J9&gt;3,"Too Many Entries - Check Red Lines",
IF(J9&lt;F9,"Valid Entry required below - Check Amber Line/s",
IF(AND(E9=FALSE,J9=0,K9=0),"Nothing Entered below Yet",
IF(AND(J9=0,K9&gt;0),"**Non-Valid Entry/ies below - Check Yellow Line/s",
IF(AND(J9&gt;0,K9&gt;0),"**Valid and Non-Valid Entries made below - Check Yellow Line/s",
IF(AND(E9=FALSE,J9&lt;3),"Not all requirements addressed below - Check Pink Line/s",
IF(AND(E9=FALSE,J9&lt;3,J9&gt;0,K9=0),"More entries to come",
IF(AND(E9,TRUE,J9=3,K9=0),"Valid Entries made below"
))))))))</f>
        <v>Nothing Entered below Yet</v>
      </c>
      <c r="M9" s="1009"/>
      <c r="N9" s="4414" t="s">
        <v>3</v>
      </c>
      <c r="O9" s="4620" t="b">
        <f>IF(OR(N9="Compliant",N9="FE with work-a-round",N9="Functionally Equivalent"),TRUE,FALSE)</f>
        <v>0</v>
      </c>
      <c r="P9" s="4674"/>
      <c r="Q9" s="4414" t="s">
        <v>3</v>
      </c>
      <c r="R9" s="4420" t="b">
        <f>IF(OR(Q9="Compliant",Q9="FE with work-a-round",Q9="Functionally Equivalent"),TRUE,FALSE)</f>
        <v>0</v>
      </c>
      <c r="S9" s="4581"/>
      <c r="T9" s="4581"/>
      <c r="U9" s="4671"/>
      <c r="V9" s="4414" t="s">
        <v>3</v>
      </c>
      <c r="W9" s="4503" t="b">
        <f>IF(OR(V9="Compliant",V9="FE with work-a-round",V9="Functionally Equivalent",V9="Not Required/Applicable"),TRUE,FALSE)</f>
        <v>0</v>
      </c>
      <c r="X9" s="4581"/>
      <c r="Y9" s="4581"/>
      <c r="Z9" s="4677"/>
    </row>
    <row r="10" spans="1:27" s="1558" customFormat="1" ht="102.5" thickTop="1" thickBot="1" x14ac:dyDescent="0.35">
      <c r="A10" s="3077" t="s">
        <v>37</v>
      </c>
      <c r="B10" s="1504"/>
      <c r="C10" s="1806" t="s">
        <v>36</v>
      </c>
      <c r="D10" s="229" t="s">
        <v>3</v>
      </c>
      <c r="E10" s="67" t="b">
        <f>IF(D10="Compliant",TRUE,FALSE)</f>
        <v>0</v>
      </c>
      <c r="F10" s="44"/>
      <c r="G10" s="44" t="str">
        <f>IF(I10&lt;&gt;"", "Not Blank", "")</f>
        <v/>
      </c>
      <c r="H10" s="261"/>
      <c r="I10" s="133"/>
      <c r="J10" s="261" t="str">
        <f>IF(L10&lt;&gt;"", "Not Blank", "")</f>
        <v/>
      </c>
      <c r="K10" s="261"/>
      <c r="L10" s="336"/>
      <c r="M10" s="337"/>
      <c r="N10" s="4415"/>
      <c r="O10" s="4621"/>
      <c r="P10" s="4675"/>
      <c r="Q10" s="4415"/>
      <c r="R10" s="4421"/>
      <c r="S10" s="4582"/>
      <c r="T10" s="4582"/>
      <c r="U10" s="4672"/>
      <c r="V10" s="4415"/>
      <c r="W10" s="4504"/>
      <c r="X10" s="4582"/>
      <c r="Y10" s="4582"/>
      <c r="Z10" s="4678"/>
    </row>
    <row r="11" spans="1:27" s="1558" customFormat="1" ht="160.5" thickTop="1" thickBot="1" x14ac:dyDescent="0.35">
      <c r="A11" s="3077" t="s">
        <v>38</v>
      </c>
      <c r="B11" s="1504"/>
      <c r="C11" s="1717" t="s">
        <v>42</v>
      </c>
      <c r="D11" s="319" t="s">
        <v>3</v>
      </c>
      <c r="E11" s="67" t="b">
        <f>IF(D11="Compliant",TRUE,FALSE)</f>
        <v>0</v>
      </c>
      <c r="F11" s="44"/>
      <c r="G11" s="44" t="str">
        <f>IF(I11&lt;&gt;"", "Not Blank", "")</f>
        <v/>
      </c>
      <c r="H11" s="261"/>
      <c r="I11" s="124"/>
      <c r="J11" s="44" t="str">
        <f>IF(L11&lt;&gt;"", "Not Blank", "")</f>
        <v/>
      </c>
      <c r="K11" s="44"/>
      <c r="L11" s="336"/>
      <c r="M11" s="337"/>
      <c r="N11" s="4415"/>
      <c r="O11" s="4621"/>
      <c r="P11" s="4675"/>
      <c r="Q11" s="4415"/>
      <c r="R11" s="4421"/>
      <c r="S11" s="4582"/>
      <c r="T11" s="4582"/>
      <c r="U11" s="4672"/>
      <c r="V11" s="4415"/>
      <c r="W11" s="4504"/>
      <c r="X11" s="4582"/>
      <c r="Y11" s="4582"/>
      <c r="Z11" s="4678"/>
    </row>
    <row r="12" spans="1:27" s="1558" customFormat="1" ht="88" thickTop="1" thickBot="1" x14ac:dyDescent="0.35">
      <c r="A12" s="1766" t="s">
        <v>39</v>
      </c>
      <c r="B12" s="1505"/>
      <c r="C12" s="1800" t="s">
        <v>1352</v>
      </c>
      <c r="D12" s="230" t="s">
        <v>3</v>
      </c>
      <c r="E12" s="161" t="b">
        <f>IF(D12="Compliant",TRUE,FALSE)</f>
        <v>0</v>
      </c>
      <c r="F12" s="124"/>
      <c r="G12" s="124" t="str">
        <f>IF(I12&lt;&gt;"", "Not Blank", "")</f>
        <v/>
      </c>
      <c r="H12" s="1555"/>
      <c r="I12" s="124"/>
      <c r="J12" s="124" t="str">
        <f>IF(L12&lt;&gt;"", "Not Blank", "")</f>
        <v/>
      </c>
      <c r="K12" s="124"/>
      <c r="L12" s="467"/>
      <c r="M12" s="469"/>
      <c r="N12" s="4416"/>
      <c r="O12" s="4664"/>
      <c r="P12" s="4676"/>
      <c r="Q12" s="4416"/>
      <c r="R12" s="4422"/>
      <c r="S12" s="4593"/>
      <c r="T12" s="4593"/>
      <c r="U12" s="4673"/>
      <c r="V12" s="4416"/>
      <c r="W12" s="4505"/>
      <c r="X12" s="4593"/>
      <c r="Y12" s="4593"/>
      <c r="Z12" s="4679"/>
    </row>
    <row r="13" spans="1:27" s="3633" customFormat="1" ht="15.5" thickTop="1" thickBot="1" x14ac:dyDescent="0.35">
      <c r="B13" s="3634"/>
      <c r="D13" s="3635"/>
      <c r="E13" s="3635"/>
      <c r="F13" s="3635"/>
      <c r="G13" s="3635"/>
      <c r="H13" s="3635"/>
      <c r="I13" s="3635"/>
      <c r="J13" s="3635"/>
      <c r="K13" s="3635"/>
      <c r="L13" s="3635"/>
      <c r="M13" s="3635"/>
      <c r="N13" s="3635"/>
      <c r="O13" s="3635"/>
      <c r="P13" s="3635"/>
      <c r="Q13" s="3635"/>
      <c r="R13" s="3635"/>
      <c r="S13" s="3635"/>
      <c r="T13" s="3635"/>
      <c r="U13" s="3635"/>
      <c r="V13" s="3635"/>
      <c r="W13" s="3635"/>
      <c r="X13" s="3635"/>
      <c r="Y13" s="3635"/>
    </row>
    <row r="14" spans="1:27" s="2608" customFormat="1" ht="44.5" thickTop="1" thickBot="1" x14ac:dyDescent="0.35">
      <c r="A14" s="472" t="s">
        <v>550</v>
      </c>
      <c r="B14" s="3214" t="s">
        <v>626</v>
      </c>
      <c r="C14" s="3215" t="s">
        <v>549</v>
      </c>
      <c r="D14" s="1923" t="s">
        <v>565</v>
      </c>
      <c r="E14" s="3220" t="b">
        <f>IF(OR(E15=TRUE,E16=TRUE),TRUE,FALSE)</f>
        <v>0</v>
      </c>
      <c r="F14" s="726">
        <f>COUNTIF(E15:E16,TRUE)</f>
        <v>0</v>
      </c>
      <c r="G14" s="726">
        <f>COUNTIFS(E15:E16,TRUE,G15:G16,"Not Blank")</f>
        <v>0</v>
      </c>
      <c r="H14" s="726">
        <f>COUNTIFS(E15:E16,FALSE,G15:G16,"Not Blank")</f>
        <v>0</v>
      </c>
      <c r="I14" s="3221" t="str">
        <f xml:space="preserve">
IF(F14&gt;1,"Too Many Entries - Check Red Lines",
IF(G14&lt;F14,"Valid Entry required below - Check Amber Line/s",
IF(AND(E14=FALSE,G14=0,H14=0),"Nothing Entered below Yet",
IF(G14&lt;F14,"Valid Entry required below - Check Amber Line/s",
IF(AND(G14=0,H14&gt;0),"**Non-Valid Entry/ies below - Check Yellow Line/s",
IF(AND(G14&gt;0,H14&gt;0),"**Valid and Non-Valid Entries made below - Check Yellow Line/s",
IF(AND(E14=FALSE,F14&lt;1),"Not all requirements addressed below - Check Pink Line/s",
IF(AND(E14=FALSE,G14&lt;1,G14&gt;0,H14=0),"More entries to come",
IF(AND(E14,TRUE,G14=1,H14=0),"Valid Entries made below"
)))))))))</f>
        <v>Nothing Entered below Yet</v>
      </c>
      <c r="J14" s="3222">
        <f>COUNTIFS(E15:E16,TRUE,J15:J16,"Not Blank")</f>
        <v>0</v>
      </c>
      <c r="K14" s="3222">
        <f>COUNTIFS(E15:E16,FALSE,J15:J16,"Not Blank")</f>
        <v>0</v>
      </c>
      <c r="L14" s="3223" t="str">
        <f xml:space="preserve">
IF(J14&gt;1,"Too Many Entries - Check Red Lines",
IF(J14&lt;F14,"Valid Entry required below - Check Amber Line/s",
IF(AND(E14=FALSE,J14=0,K14=0),"Nothing Entered below Yet",
IF(AND(J14=0,K14&gt;0),"**Non-Valid Entry/ies below - Check Yellow Line/s",
IF(AND(J14&gt;0,K14&gt;0),"**Valid and Non-Valid Entries made below - Check Yellow Line/s",
IF(AND(E14=FALSE,J14&lt;6),"Not all requirements addressed below - Check Pink Line/s",
IF(AND(E14=FALSE,J14&lt;1,J14&gt;0,K14=0),"More entries to come",
IF(AND(E14,TRUE,J14=1,K14=0),"Valid Entries made below"
))))))))</f>
        <v>Nothing Entered below Yet</v>
      </c>
      <c r="M14" s="1961"/>
      <c r="N14" s="4457" t="s">
        <v>3</v>
      </c>
      <c r="O14" s="4682" t="b">
        <f>IF(OR(N14="Compliant",N14="FE with work-a-round",N14="Functionally Equivalent"),TRUE,FALSE)</f>
        <v>0</v>
      </c>
      <c r="P14" s="2639"/>
      <c r="Q14" s="4414" t="s">
        <v>3</v>
      </c>
      <c r="R14" s="4684" t="b">
        <f>IF(OR(Q14="Compliant",Q14="FE with work-a-round",Q14="Functionally Equivalent"),TRUE,FALSE)</f>
        <v>0</v>
      </c>
      <c r="S14" s="3181"/>
      <c r="T14" s="3181"/>
      <c r="U14" s="3182"/>
      <c r="V14" s="4414" t="s">
        <v>3</v>
      </c>
      <c r="W14" s="4680" t="b">
        <f>IF(OR(V14="Compliant",V14="FE with work-a-round",V14="Functionally Equivalent",V14="Not Required/Applicable"),TRUE,FALSE)</f>
        <v>0</v>
      </c>
      <c r="X14" s="482"/>
      <c r="Y14" s="482"/>
      <c r="Z14" s="3183"/>
    </row>
    <row r="15" spans="1:27" s="1558" customFormat="1" ht="29.5" thickTop="1" x14ac:dyDescent="0.3">
      <c r="A15" s="60"/>
      <c r="B15" s="3216"/>
      <c r="C15" s="3217" t="s">
        <v>540</v>
      </c>
      <c r="D15" s="2345" t="s">
        <v>3</v>
      </c>
      <c r="E15" s="294" t="b">
        <f>IF(D15="Compliant",TRUE,FALSE)</f>
        <v>0</v>
      </c>
      <c r="F15" s="281"/>
      <c r="G15" s="281" t="str">
        <f>IF(I15&lt;&gt;"", "Not Blank", "")</f>
        <v/>
      </c>
      <c r="H15" s="281"/>
      <c r="I15" s="499"/>
      <c r="J15" s="281" t="str">
        <f>IF(L15&lt;&gt;"", "Not Blank", "")</f>
        <v/>
      </c>
      <c r="K15" s="281"/>
      <c r="L15" s="301"/>
      <c r="M15" s="1964"/>
      <c r="N15" s="4415"/>
      <c r="O15" s="4527"/>
      <c r="P15" s="1755"/>
      <c r="Q15" s="4415"/>
      <c r="R15" s="4421"/>
      <c r="S15" s="261"/>
      <c r="T15" s="261"/>
      <c r="U15" s="589"/>
      <c r="V15" s="4415"/>
      <c r="W15" s="4504"/>
      <c r="X15" s="3184"/>
      <c r="Y15" s="3184"/>
      <c r="Z15" s="3185"/>
    </row>
    <row r="16" spans="1:27" s="1558" customFormat="1" ht="29.5" thickBot="1" x14ac:dyDescent="0.35">
      <c r="A16" s="95"/>
      <c r="B16" s="3218"/>
      <c r="C16" s="3219" t="s">
        <v>541</v>
      </c>
      <c r="D16" s="1040" t="s">
        <v>3</v>
      </c>
      <c r="E16" s="295" t="b">
        <f>IF(D16="Compliant",TRUE,FALSE)</f>
        <v>0</v>
      </c>
      <c r="F16" s="283"/>
      <c r="G16" s="283" t="str">
        <f>IF(I16&lt;&gt;"", "Not Blank", "")</f>
        <v/>
      </c>
      <c r="H16" s="283"/>
      <c r="I16" s="283"/>
      <c r="J16" s="283" t="str">
        <f>IF(L16&lt;&gt;"", "Not Blank", "")</f>
        <v/>
      </c>
      <c r="K16" s="283"/>
      <c r="L16" s="283"/>
      <c r="M16" s="2958"/>
      <c r="N16" s="4490"/>
      <c r="O16" s="4683"/>
      <c r="P16" s="3186"/>
      <c r="Q16" s="4416"/>
      <c r="R16" s="4685"/>
      <c r="S16" s="2647"/>
      <c r="T16" s="2647"/>
      <c r="U16" s="3187"/>
      <c r="V16" s="4416"/>
      <c r="W16" s="4681"/>
      <c r="X16" s="3188"/>
      <c r="Y16" s="3188"/>
      <c r="Z16" s="3189"/>
    </row>
    <row r="17" spans="1:26" s="3640" customFormat="1" ht="15.5" thickTop="1" thickBot="1" x14ac:dyDescent="0.35">
      <c r="A17" s="3690"/>
      <c r="D17" s="3639"/>
      <c r="E17" s="3639"/>
      <c r="F17" s="3639"/>
      <c r="G17" s="3635"/>
      <c r="H17" s="3639"/>
      <c r="I17" s="3639"/>
      <c r="J17" s="3639"/>
      <c r="K17" s="3639"/>
      <c r="L17" s="3639"/>
      <c r="M17" s="3639"/>
      <c r="N17" s="3639"/>
      <c r="O17" s="3639"/>
      <c r="P17" s="3639"/>
      <c r="Q17" s="3639"/>
      <c r="R17" s="3639"/>
      <c r="S17" s="3639"/>
      <c r="T17" s="3639"/>
      <c r="V17" s="3639"/>
      <c r="W17" s="3641"/>
      <c r="X17" s="3639"/>
      <c r="Y17" s="3639"/>
    </row>
    <row r="18" spans="1:26" s="1414" customFormat="1" ht="59" thickTop="1" thickBot="1" x14ac:dyDescent="0.35">
      <c r="A18" s="100" t="s">
        <v>586</v>
      </c>
      <c r="B18" s="3097" t="s">
        <v>400</v>
      </c>
      <c r="C18" s="3098" t="s">
        <v>2079</v>
      </c>
      <c r="D18" s="998" t="s">
        <v>393</v>
      </c>
      <c r="E18" s="999" t="b">
        <f>IF(D18="Applicable",TRUE,FALSE)</f>
        <v>0</v>
      </c>
      <c r="F18" s="1000"/>
      <c r="G18" s="1001"/>
      <c r="H18" s="1000"/>
      <c r="I18" s="1001" t="s">
        <v>3</v>
      </c>
      <c r="J18" s="1001"/>
      <c r="K18" s="1001"/>
      <c r="L18" s="1000"/>
      <c r="M18" s="1000"/>
      <c r="N18" s="1912"/>
      <c r="O18" s="999" t="b">
        <f>IF(N18="Applicable",TRUE,FALSE)</f>
        <v>0</v>
      </c>
      <c r="P18" s="1278"/>
      <c r="Q18" s="1912"/>
      <c r="R18" s="999" t="b">
        <f>IF(Q18="Applicable",TRUE,FALSE)</f>
        <v>0</v>
      </c>
      <c r="S18" s="1278"/>
      <c r="T18" s="1278"/>
      <c r="U18" s="1278"/>
      <c r="V18" s="1912"/>
      <c r="W18" s="1102" t="b">
        <f>IF(V18="Applicable",TRUE,FALSE)</f>
        <v>0</v>
      </c>
      <c r="X18" s="3040"/>
      <c r="Y18" s="3041"/>
      <c r="Z18" s="3042"/>
    </row>
    <row r="19" spans="1:26" s="3640" customFormat="1" ht="15.5" thickTop="1" thickBot="1" x14ac:dyDescent="0.35">
      <c r="A19" s="3636"/>
      <c r="B19" s="3637"/>
      <c r="C19" s="3637"/>
      <c r="D19" s="3636"/>
      <c r="E19" s="3637"/>
      <c r="F19" s="3637"/>
      <c r="G19" s="3638"/>
      <c r="H19" s="3637"/>
      <c r="I19" s="3637"/>
      <c r="J19" s="3637"/>
      <c r="K19" s="3637"/>
      <c r="L19" s="3637"/>
      <c r="M19" s="3636"/>
      <c r="N19" s="3639"/>
      <c r="O19" s="3639"/>
      <c r="P19" s="3639"/>
      <c r="Q19" s="3639"/>
      <c r="R19" s="3639"/>
      <c r="S19" s="3639"/>
      <c r="T19" s="3639"/>
      <c r="V19" s="3639"/>
      <c r="W19" s="3641"/>
      <c r="X19" s="3642"/>
      <c r="Y19" s="3642"/>
    </row>
    <row r="20" spans="1:26" s="1394" customFormat="1" ht="30" thickTop="1" thickBot="1" x14ac:dyDescent="0.35">
      <c r="A20" s="57"/>
      <c r="B20" s="1933" t="s">
        <v>824</v>
      </c>
      <c r="C20" s="1697" t="s">
        <v>475</v>
      </c>
      <c r="D20" s="2010" t="s">
        <v>1233</v>
      </c>
      <c r="E20" s="138" t="b">
        <f>E27</f>
        <v>0</v>
      </c>
      <c r="F20" s="111"/>
      <c r="G20" s="1396"/>
      <c r="H20" s="1396"/>
      <c r="I20" s="2959"/>
      <c r="J20" s="2959"/>
      <c r="K20" s="2959"/>
      <c r="L20" s="2959"/>
      <c r="M20" s="2960"/>
      <c r="N20" s="4167" t="s">
        <v>1233</v>
      </c>
      <c r="O20" s="2347" t="b">
        <f>O27</f>
        <v>0</v>
      </c>
      <c r="P20" s="3190"/>
      <c r="Q20" s="3972" t="s">
        <v>1233</v>
      </c>
      <c r="R20" s="2346" t="b">
        <f>R27</f>
        <v>0</v>
      </c>
      <c r="S20" s="406"/>
      <c r="T20" s="406"/>
      <c r="U20" s="1211"/>
      <c r="V20" s="4084" t="s">
        <v>1233</v>
      </c>
      <c r="W20" s="966" t="b">
        <f>W27</f>
        <v>0</v>
      </c>
      <c r="X20" s="971"/>
      <c r="Y20" s="1433"/>
      <c r="Z20" s="3045"/>
    </row>
    <row r="21" spans="1:26" s="1394" customFormat="1" ht="30" thickTop="1" thickBot="1" x14ac:dyDescent="0.35">
      <c r="A21" s="2566"/>
      <c r="B21" s="2204" t="s">
        <v>825</v>
      </c>
      <c r="C21" s="2147" t="s">
        <v>474</v>
      </c>
      <c r="D21" s="1925" t="s">
        <v>1233</v>
      </c>
      <c r="E21" s="67" t="b">
        <f>OR(E18,E35)</f>
        <v>0</v>
      </c>
      <c r="F21" s="44"/>
      <c r="G21" s="1404"/>
      <c r="H21" s="1535"/>
      <c r="I21" s="2961"/>
      <c r="J21" s="2129"/>
      <c r="K21" s="2129"/>
      <c r="L21" s="2129"/>
      <c r="M21" s="2962"/>
      <c r="N21" s="4167" t="s">
        <v>1233</v>
      </c>
      <c r="O21" s="2347" t="b">
        <f>O35</f>
        <v>0</v>
      </c>
      <c r="P21" s="3190"/>
      <c r="Q21" s="4169" t="s">
        <v>1233</v>
      </c>
      <c r="R21" s="968" t="b">
        <f>R35</f>
        <v>0</v>
      </c>
      <c r="S21" s="471"/>
      <c r="T21" s="471"/>
      <c r="U21" s="1218"/>
      <c r="V21" s="4085" t="s">
        <v>1233</v>
      </c>
      <c r="W21" s="967" t="b">
        <f>W35</f>
        <v>0</v>
      </c>
      <c r="X21" s="599"/>
      <c r="Y21" s="1431"/>
      <c r="Z21" s="2680"/>
    </row>
    <row r="22" spans="1:26" s="1394" customFormat="1" ht="30" thickTop="1" thickBot="1" x14ac:dyDescent="0.35">
      <c r="A22" s="57"/>
      <c r="B22" s="1933" t="s">
        <v>826</v>
      </c>
      <c r="C22" s="1697" t="s">
        <v>822</v>
      </c>
      <c r="D22" s="2264" t="s">
        <v>1233</v>
      </c>
      <c r="E22" s="67" t="b">
        <f>E43</f>
        <v>0</v>
      </c>
      <c r="F22" s="361"/>
      <c r="G22" s="361"/>
      <c r="H22" s="361"/>
      <c r="I22" s="1626"/>
      <c r="J22" s="1626"/>
      <c r="K22" s="1626"/>
      <c r="L22" s="1626"/>
      <c r="M22" s="1626"/>
      <c r="N22" s="4167" t="s">
        <v>1233</v>
      </c>
      <c r="O22" s="2347" t="b">
        <f>O43</f>
        <v>0</v>
      </c>
      <c r="P22" s="2442"/>
      <c r="Q22" s="4170" t="s">
        <v>1233</v>
      </c>
      <c r="R22" s="968" t="b">
        <f>R43</f>
        <v>0</v>
      </c>
      <c r="S22" s="471"/>
      <c r="T22" s="471"/>
      <c r="U22" s="1218"/>
      <c r="V22" s="4085" t="s">
        <v>1233</v>
      </c>
      <c r="W22" s="967" t="b">
        <f>W43</f>
        <v>0</v>
      </c>
      <c r="X22" s="599"/>
      <c r="Y22" s="471"/>
      <c r="Z22" s="1406"/>
    </row>
    <row r="23" spans="1:26" s="1394" customFormat="1" ht="30" thickTop="1" thickBot="1" x14ac:dyDescent="0.35">
      <c r="A23" s="57"/>
      <c r="B23" s="2204" t="s">
        <v>827</v>
      </c>
      <c r="C23" s="2147" t="s">
        <v>823</v>
      </c>
      <c r="D23" s="1925" t="s">
        <v>1233</v>
      </c>
      <c r="E23" s="161" t="b">
        <f>E72</f>
        <v>0</v>
      </c>
      <c r="F23" s="258"/>
      <c r="G23" s="258"/>
      <c r="H23" s="421"/>
      <c r="I23" s="395"/>
      <c r="J23" s="396"/>
      <c r="K23" s="396"/>
      <c r="L23" s="396"/>
      <c r="M23" s="1002"/>
      <c r="N23" s="4168" t="s">
        <v>1233</v>
      </c>
      <c r="O23" s="2348" t="b">
        <f>O72</f>
        <v>0</v>
      </c>
      <c r="P23" s="3191"/>
      <c r="Q23" s="4167" t="s">
        <v>1233</v>
      </c>
      <c r="R23" s="970" t="b">
        <f>R72</f>
        <v>0</v>
      </c>
      <c r="S23" s="1224"/>
      <c r="T23" s="1224"/>
      <c r="U23" s="1225"/>
      <c r="V23" s="4086" t="s">
        <v>1233</v>
      </c>
      <c r="W23" s="969" t="b">
        <f>W72</f>
        <v>0</v>
      </c>
      <c r="X23" s="972"/>
      <c r="Y23" s="1224"/>
      <c r="Z23" s="1411"/>
    </row>
    <row r="24" spans="1:26" s="3644" customFormat="1" ht="15" thickTop="1" x14ac:dyDescent="0.3">
      <c r="A24" s="3643"/>
      <c r="C24" s="3643"/>
      <c r="E24" s="3643"/>
      <c r="F24" s="3643"/>
      <c r="G24" s="3643"/>
      <c r="H24" s="3643"/>
      <c r="I24" s="3645"/>
      <c r="J24" s="3645"/>
      <c r="K24" s="3645"/>
      <c r="L24" s="3645"/>
      <c r="M24" s="3645"/>
      <c r="N24" s="3643"/>
      <c r="O24" s="3643"/>
      <c r="R24" s="3645"/>
      <c r="S24" s="3645"/>
      <c r="T24" s="3645"/>
      <c r="U24" s="3645"/>
      <c r="V24" s="3645"/>
      <c r="W24" s="3645"/>
      <c r="X24" s="3645"/>
      <c r="Y24" s="3645"/>
      <c r="Z24" s="3645"/>
    </row>
    <row r="25" spans="1:26" s="3650" customFormat="1" ht="18.5" x14ac:dyDescent="0.3">
      <c r="A25" s="4635" t="s">
        <v>1135</v>
      </c>
      <c r="B25" s="4636"/>
      <c r="C25" s="4636"/>
      <c r="D25" s="4636"/>
      <c r="E25" s="4636"/>
      <c r="F25" s="4636"/>
      <c r="G25" s="4636"/>
      <c r="H25" s="4636"/>
      <c r="I25" s="4636"/>
      <c r="J25" s="4636"/>
      <c r="K25" s="4636"/>
      <c r="L25" s="4636"/>
      <c r="M25" s="4636"/>
      <c r="N25" s="4636"/>
      <c r="O25" s="3646"/>
      <c r="P25" s="3647"/>
      <c r="Q25" s="3647"/>
      <c r="R25" s="3647"/>
      <c r="S25" s="3648"/>
      <c r="T25" s="3649"/>
      <c r="U25" s="3649"/>
      <c r="V25" s="3646"/>
      <c r="W25" s="3646"/>
      <c r="X25" s="3647"/>
      <c r="Y25" s="3648"/>
      <c r="Z25" s="3649"/>
    </row>
    <row r="26" spans="1:26" s="3644" customFormat="1" ht="15" thickBot="1" x14ac:dyDescent="0.35"/>
    <row r="27" spans="1:26" s="3060" customFormat="1" ht="32" thickTop="1" thickBot="1" x14ac:dyDescent="0.35">
      <c r="A27" s="657"/>
      <c r="B27" s="3224" t="s">
        <v>415</v>
      </c>
      <c r="C27" s="1845" t="s">
        <v>1638</v>
      </c>
      <c r="D27" s="1843" t="s">
        <v>565</v>
      </c>
      <c r="E27" s="3120" t="b">
        <f>IF(OR(E18=TRUE,E28=TRUE,E29=TRUE,E31=TRUE),TRUE,FALSE)</f>
        <v>0</v>
      </c>
      <c r="F27" s="3226">
        <f>COUNTIF(E28:E31,TRUE)</f>
        <v>0</v>
      </c>
      <c r="G27" s="3226">
        <f>COUNTIFS(E28:E31,TRUE,G28:G31,"Not Blank")</f>
        <v>0</v>
      </c>
      <c r="H27" s="3226">
        <f>COUNTIFS(E28:E31,FALSE,G28:G31,"Not Blank")</f>
        <v>0</v>
      </c>
      <c r="I27" s="1938" t="str">
        <f xml:space="preserve">
IF(F27&gt;1,"More than 1 not required - Check Yellow Lines",
IF(G27&lt;F27,"Valid Entry required below - Check Amber Line/s",
IF(AND(E27=FALSE,G27=0,H27=0),"Nothing Entered below Yet",
IF(G27&lt;F27,"Valid Entry required below - Check Amber Line/s",
IF(AND(G27=0,H27&gt;0),"**Non-Valid Entry/ies below - Check Yellow Line/s",
IF(AND(G27&gt;0,H27&gt;0),"**Valid and Non-Valid Entries made below - Check Yellow Line/s",
IF(AND(E27=FALSE,F27&lt;1),"Not all requirements addressed below - Check Pink Line/s",
IF(AND(E27=FALSE,G27&lt;1,G27&gt;0,H27=0),"More entries to come",
IF(AND(E27,TRUE,G27=1,H27=0),"Valid Entries made below"
)))))))))</f>
        <v>Nothing Entered below Yet</v>
      </c>
      <c r="J27" s="1938">
        <f>COUNTIFS(E28:E31,TRUE,J28:J31,"Not Blank")</f>
        <v>0</v>
      </c>
      <c r="K27" s="1938">
        <f>COUNTIFS(E28:E31,FALSE,J28:J31,"Not Blank")</f>
        <v>0</v>
      </c>
      <c r="L27" s="1938" t="str">
        <f xml:space="preserve">
IF(J27&gt;1,"More than one not required - Check Yellow Lines",
IF(J27&lt;F27,"Valid Entry required below - Check Amber Line/s",
IF(AND(E27=FALSE,J27=0,K27=0),"Nothing Entered below Yet",
IF(AND(J27=0,K27&gt;0),"**Non-Valid Entry/ies below - Check Yellow Line/s",
IF(AND(J27&gt;0,K27&gt;0),"**Valid and Non-Valid Entries made below - Check Yellow Line/s",
IF(AND(E27=FALSE,J27&lt;1),"Not all requirements addressed below - Check Pink Line/s",
IF(AND(E27=FALSE,J27&lt;1,J27&gt;0,K27=0),"More entries to come",
IF(AND(E27,TRUE,J27=1,K27=0),"Valid Entries made below"
))))))))</f>
        <v>Nothing Entered below Yet</v>
      </c>
      <c r="M27" s="2957"/>
      <c r="N27" s="4414" t="s">
        <v>3</v>
      </c>
      <c r="O27" s="4620" t="b">
        <f>IF(OR(N27="Compliant",N27="FE with work-a-round",N27="Functionally Equivalent"),TRUE,FALSE)</f>
        <v>0</v>
      </c>
      <c r="P27" s="4674"/>
      <c r="Q27" s="4414" t="s">
        <v>3</v>
      </c>
      <c r="R27" s="4420" t="b">
        <f>IF(OR(Q27="Compliant",Q27="FE with work-a-round",Q27="Functionally Equivalent"),TRUE,FALSE)</f>
        <v>0</v>
      </c>
      <c r="S27" s="4581"/>
      <c r="T27" s="4581"/>
      <c r="U27" s="4671"/>
      <c r="V27" s="4414" t="s">
        <v>3</v>
      </c>
      <c r="W27" s="4503" t="b">
        <f>IF(OR(V27="Compliant",V27="FE with work-a-round",V27="Functionally Equivalent",V27="Not Required/Applicable"),TRUE,FALSE)</f>
        <v>0</v>
      </c>
      <c r="X27" s="4668"/>
      <c r="Y27" s="4668"/>
      <c r="Z27" s="4665"/>
    </row>
    <row r="28" spans="1:26" s="1558" customFormat="1" ht="29.5" thickTop="1" x14ac:dyDescent="0.3">
      <c r="A28" s="3192" t="s">
        <v>567</v>
      </c>
      <c r="B28" s="1908"/>
      <c r="C28" s="1806" t="s">
        <v>625</v>
      </c>
      <c r="D28" s="2241" t="s">
        <v>3</v>
      </c>
      <c r="E28" s="67" t="b">
        <f>IF(D28="Compliant",TRUE,FALSE)</f>
        <v>0</v>
      </c>
      <c r="F28" s="44"/>
      <c r="G28" s="44" t="str">
        <f>IF(I28&lt;&gt;"", "Not Blank", "")</f>
        <v/>
      </c>
      <c r="H28" s="44"/>
      <c r="I28" s="42"/>
      <c r="J28" s="42" t="str">
        <f>IF(L28&lt;&gt;"", "Not Blank", "")</f>
        <v/>
      </c>
      <c r="K28" s="42"/>
      <c r="L28" s="42"/>
      <c r="M28" s="843"/>
      <c r="N28" s="4415"/>
      <c r="O28" s="4621"/>
      <c r="P28" s="4675"/>
      <c r="Q28" s="4415"/>
      <c r="R28" s="4421"/>
      <c r="S28" s="4582"/>
      <c r="T28" s="4582"/>
      <c r="U28" s="4672"/>
      <c r="V28" s="4415"/>
      <c r="W28" s="4504"/>
      <c r="X28" s="4669"/>
      <c r="Y28" s="4669"/>
      <c r="Z28" s="4666"/>
    </row>
    <row r="29" spans="1:26" s="1558" customFormat="1" ht="58" x14ac:dyDescent="0.3">
      <c r="A29" s="3077" t="s">
        <v>40</v>
      </c>
      <c r="B29" s="1908"/>
      <c r="C29" s="1717" t="s">
        <v>41</v>
      </c>
      <c r="D29" s="554" t="s">
        <v>3</v>
      </c>
      <c r="E29" s="67" t="b">
        <f>IF(D29="Compliant",TRUE,FALSE)</f>
        <v>0</v>
      </c>
      <c r="F29" s="44"/>
      <c r="G29" s="44" t="str">
        <f>IF(I29&lt;&gt;"", "Not Blank", "")</f>
        <v/>
      </c>
      <c r="H29" s="261"/>
      <c r="I29" s="44"/>
      <c r="J29" s="44" t="str">
        <f>IF(L29&lt;&gt;"", "Not Blank", "")</f>
        <v/>
      </c>
      <c r="K29" s="44"/>
      <c r="L29" s="261"/>
      <c r="M29" s="843"/>
      <c r="N29" s="4415"/>
      <c r="O29" s="4621"/>
      <c r="P29" s="4675"/>
      <c r="Q29" s="4415"/>
      <c r="R29" s="4421"/>
      <c r="S29" s="4582"/>
      <c r="T29" s="4582"/>
      <c r="U29" s="4672"/>
      <c r="V29" s="4415"/>
      <c r="W29" s="4504"/>
      <c r="X29" s="4669"/>
      <c r="Y29" s="4669"/>
      <c r="Z29" s="4666"/>
    </row>
    <row r="30" spans="1:26" s="1558" customFormat="1" ht="116.5" thickBot="1" x14ac:dyDescent="0.35">
      <c r="A30" s="3077" t="s">
        <v>43</v>
      </c>
      <c r="B30" s="1908"/>
      <c r="C30" s="1807" t="s">
        <v>44</v>
      </c>
      <c r="D30" s="1016" t="s">
        <v>3</v>
      </c>
      <c r="E30" s="67" t="b">
        <f>IF(D30="Compliant",TRUE,FALSE)</f>
        <v>0</v>
      </c>
      <c r="F30" s="44"/>
      <c r="G30" s="44" t="str">
        <f>IF(I30&lt;&gt;"", "Not Blank", "")</f>
        <v/>
      </c>
      <c r="H30" s="261"/>
      <c r="I30" s="79"/>
      <c r="J30" s="44" t="str">
        <f>IF(L30&lt;&gt;"", "Not Blank", "")</f>
        <v/>
      </c>
      <c r="K30" s="44"/>
      <c r="L30" s="718"/>
      <c r="M30" s="843"/>
      <c r="N30" s="4415"/>
      <c r="O30" s="4621"/>
      <c r="P30" s="4675"/>
      <c r="Q30" s="4415"/>
      <c r="R30" s="4421"/>
      <c r="S30" s="4582"/>
      <c r="T30" s="4582"/>
      <c r="U30" s="4672"/>
      <c r="V30" s="4415"/>
      <c r="W30" s="4504"/>
      <c r="X30" s="4669"/>
      <c r="Y30" s="4669"/>
      <c r="Z30" s="4666"/>
    </row>
    <row r="31" spans="1:26" s="1558" customFormat="1" ht="59" thickTop="1" thickBot="1" x14ac:dyDescent="0.35">
      <c r="A31" s="3193"/>
      <c r="B31" s="3225" t="s">
        <v>467</v>
      </c>
      <c r="C31" s="1697" t="s">
        <v>566</v>
      </c>
      <c r="D31" s="580" t="s">
        <v>3</v>
      </c>
      <c r="E31" s="161" t="b">
        <f>IF(D31="Compliant",TRUE,FALSE)</f>
        <v>0</v>
      </c>
      <c r="F31" s="124"/>
      <c r="G31" s="124" t="str">
        <f>IF(I31&lt;&gt;"", "Not Blank", "")</f>
        <v/>
      </c>
      <c r="H31" s="124"/>
      <c r="I31" s="133"/>
      <c r="J31" s="124" t="str">
        <f>IF(L31&lt;&gt;"", "Not Blank", "")</f>
        <v/>
      </c>
      <c r="K31" s="124"/>
      <c r="L31" s="133"/>
      <c r="M31" s="844"/>
      <c r="N31" s="4416"/>
      <c r="O31" s="4664"/>
      <c r="P31" s="4676"/>
      <c r="Q31" s="4416"/>
      <c r="R31" s="4422"/>
      <c r="S31" s="4593"/>
      <c r="T31" s="4593"/>
      <c r="U31" s="4673"/>
      <c r="V31" s="4416"/>
      <c r="W31" s="4505"/>
      <c r="X31" s="4670"/>
      <c r="Y31" s="4670"/>
      <c r="Z31" s="4667"/>
    </row>
    <row r="32" spans="1:26" s="3634" customFormat="1" ht="15" thickTop="1" x14ac:dyDescent="0.3">
      <c r="A32" s="3636"/>
      <c r="B32" s="3651"/>
      <c r="C32" s="3636"/>
      <c r="D32" s="3636"/>
      <c r="E32" s="3636"/>
      <c r="F32" s="3636"/>
      <c r="G32" s="3644"/>
      <c r="H32" s="3633"/>
      <c r="I32" s="3652"/>
      <c r="N32" s="3643"/>
      <c r="O32" s="3643"/>
      <c r="V32" s="3635"/>
      <c r="W32" s="3635"/>
    </row>
    <row r="33" spans="1:84" s="3640" customFormat="1" ht="18.5" x14ac:dyDescent="0.3">
      <c r="A33" s="4635" t="s">
        <v>1137</v>
      </c>
      <c r="B33" s="4636"/>
      <c r="C33" s="4636"/>
      <c r="D33" s="4636"/>
      <c r="E33" s="4636"/>
      <c r="F33" s="4636"/>
      <c r="G33" s="4636"/>
      <c r="H33" s="4636"/>
      <c r="I33" s="4636"/>
      <c r="J33" s="4636"/>
      <c r="K33" s="4636"/>
      <c r="L33" s="4636"/>
      <c r="M33" s="4636"/>
      <c r="N33" s="4636"/>
      <c r="O33" s="3646"/>
      <c r="P33" s="3653"/>
      <c r="Q33" s="3653"/>
      <c r="R33" s="3653"/>
      <c r="S33" s="3654"/>
      <c r="T33" s="3655"/>
      <c r="U33" s="3655"/>
      <c r="V33" s="3656"/>
      <c r="W33" s="3656"/>
      <c r="X33" s="3657"/>
      <c r="Y33" s="3658"/>
      <c r="Z33" s="3659"/>
    </row>
    <row r="34" spans="1:84" s="3640" customFormat="1" ht="15" thickBot="1" x14ac:dyDescent="0.35">
      <c r="A34" s="3636"/>
      <c r="B34" s="3636"/>
      <c r="C34" s="3634"/>
      <c r="D34" s="3634"/>
      <c r="E34" s="3636"/>
      <c r="F34" s="3636"/>
      <c r="G34" s="3641"/>
      <c r="H34" s="3636"/>
      <c r="I34" s="3634"/>
      <c r="J34" s="3643"/>
      <c r="K34" s="3643"/>
      <c r="L34" s="3634"/>
      <c r="M34" s="3634"/>
      <c r="N34" s="3641"/>
      <c r="O34" s="3641"/>
      <c r="P34" s="3639"/>
      <c r="Q34" s="3639"/>
      <c r="R34" s="3639"/>
      <c r="S34" s="3639"/>
      <c r="T34" s="3639"/>
      <c r="U34" s="3639"/>
      <c r="V34" s="3660"/>
      <c r="W34" s="3660"/>
      <c r="X34" s="3660"/>
      <c r="Y34" s="3660"/>
      <c r="Z34" s="3660"/>
    </row>
    <row r="35" spans="1:84" s="653" customFormat="1" ht="32" thickTop="1" thickBot="1" x14ac:dyDescent="0.35">
      <c r="A35" s="651">
        <v>11</v>
      </c>
      <c r="B35" s="3002" t="s">
        <v>474</v>
      </c>
      <c r="C35" s="2097" t="s">
        <v>670</v>
      </c>
      <c r="D35" s="1843" t="s">
        <v>1195</v>
      </c>
      <c r="E35" s="3120" t="b">
        <f>IF(AND(E36=TRUE,E37=TRUE,E38=TRUE,E39=TRUE),TRUE,FALSE)</f>
        <v>0</v>
      </c>
      <c r="F35" s="3226">
        <f>COUNTIF(E36:E39,TRUE)</f>
        <v>0</v>
      </c>
      <c r="G35" s="3227">
        <f>COUNTIFS(E36:E39,TRUE,G36:G39,"Not Blank")</f>
        <v>0</v>
      </c>
      <c r="H35" s="3226">
        <f>COUNTIFS(E36:E39,FALSE,G36:G39,"Not Blank")</f>
        <v>0</v>
      </c>
      <c r="I35" s="3006" t="str">
        <f xml:space="preserve">
IF(F35&gt;4,"Too Many Entries - Check Red Lines",
IF(G35&lt;F35,"Valid Entry required below - Check Amber Line/s",
IF(AND(E35=FALSE,G35=0,H35=0),"Nothing Entered below Yet",
IF(G35&lt;F35,"Valid Entry required below - Check Amber Line/s",
IF(AND(G35=0,H35&gt;0),"**Non-Valid Entry/ies below - Check Yellow Line/s",
IF(AND(G35&gt;0,H35&gt;0),"**Valid and Non-Valid Entries made below - Check Yellow Line/s",
IF(AND(E35=FALSE,F35&lt;4),"Not all requirements addressed below - Check Pink Line/s",
IF(AND(E35=FALSE,G35&lt;4,G35&gt;0,H35=0),"More entries to come",
IF(AND(E35,TRUE,G35=4,H35=0),"Valid Entries made below"
)))))))))</f>
        <v>Nothing Entered below Yet</v>
      </c>
      <c r="J35" s="3005">
        <f>COUNTIFS(E36:E39,TRUE,J36:J39,"Not Blank")</f>
        <v>0</v>
      </c>
      <c r="K35" s="3005">
        <f>COUNTIFS(E36:E39,FALSE,J36:J39,"Not Blank")</f>
        <v>0</v>
      </c>
      <c r="L35" s="3006" t="str">
        <f xml:space="preserve">
IF(J35&gt;4,"Too Many Entries - Check Red Lines",
IF(J35&lt;F35,"Valid Entry required below - Check Amber Line/s",
IF(AND(E35=FALSE,J35=0,K35=0),"Nothing Entered below Yet",
IF(AND(J35=0,K35&gt;0),"**Non-Valid Entry/ies below - Check Yellow Line/s",
IF(AND(J35&gt;0,K35&gt;0),"**Valid and Non-Valid Entries made below - Check Yellow Line/s",
IF(AND(E35=FALSE,J35&lt;4),"Not all requirements addressed below - Check Pink Line/s",
IF(AND(E35=FALSE,J35&lt;4,J35&gt;0,K35=0),"More entries to come",
IF(AND(E35,TRUE,J35=4,K35=0),"Valid Entries made below"
))))))))</f>
        <v>Nothing Entered below Yet</v>
      </c>
      <c r="M35" s="3037"/>
      <c r="N35" s="4414" t="s">
        <v>3</v>
      </c>
      <c r="O35" s="4620" t="b">
        <f>IF(OR(N35="Compliant",N35="FE with work-a-round",N35="Functionally Equivalent"),TRUE,FALSE)</f>
        <v>0</v>
      </c>
      <c r="P35" s="102"/>
      <c r="Q35" s="3972" t="s">
        <v>565</v>
      </c>
      <c r="R35" s="773" t="b">
        <f>IF(AND(R36=TRUE,R37=TRUE,R38=TRUE,R39=TRUE),TRUE,FALSE)</f>
        <v>0</v>
      </c>
      <c r="S35" s="111"/>
      <c r="T35" s="111"/>
      <c r="U35" s="211"/>
      <c r="V35" s="4414" t="s">
        <v>3</v>
      </c>
      <c r="W35" s="4503" t="b">
        <f>IF(OR(V35="Compliant",V35="FE with work-a-round",V35="Functionally Equivalent",V35="Not Required/Applicable"),TRUE,FALSE)</f>
        <v>0</v>
      </c>
      <c r="X35" s="617"/>
      <c r="Y35" s="617"/>
      <c r="Z35" s="654"/>
      <c r="AA35" s="655"/>
      <c r="AB35" s="651"/>
      <c r="AC35" s="651"/>
      <c r="AD35" s="651"/>
      <c r="AE35" s="651"/>
      <c r="AF35" s="651"/>
      <c r="AG35" s="651"/>
      <c r="AH35" s="651"/>
      <c r="AI35" s="651"/>
      <c r="AJ35" s="651"/>
      <c r="AK35" s="651"/>
      <c r="AL35" s="651"/>
      <c r="AM35" s="651"/>
      <c r="AN35" s="651"/>
      <c r="AO35" s="651"/>
      <c r="AP35" s="651"/>
      <c r="AQ35" s="651"/>
      <c r="AR35" s="651"/>
      <c r="AS35" s="651"/>
      <c r="AT35" s="651"/>
      <c r="AU35" s="651"/>
      <c r="AV35" s="651"/>
      <c r="AW35" s="651"/>
      <c r="AX35" s="651"/>
      <c r="AY35" s="651"/>
      <c r="AZ35" s="651"/>
      <c r="BA35" s="651"/>
      <c r="BB35" s="651"/>
      <c r="BC35" s="651"/>
      <c r="BD35" s="651"/>
      <c r="BE35" s="651"/>
      <c r="BF35" s="651"/>
      <c r="BG35" s="651"/>
      <c r="BH35" s="651"/>
      <c r="BI35" s="651"/>
      <c r="BJ35" s="651"/>
      <c r="BK35" s="651"/>
      <c r="BL35" s="651"/>
      <c r="BM35" s="651"/>
      <c r="BN35" s="651"/>
      <c r="BO35" s="651"/>
      <c r="BP35" s="651"/>
      <c r="BQ35" s="651"/>
      <c r="BR35" s="651"/>
      <c r="BS35" s="651"/>
      <c r="BT35" s="651"/>
      <c r="BU35" s="651"/>
      <c r="BV35" s="651"/>
      <c r="BW35" s="651"/>
      <c r="BX35" s="651"/>
      <c r="BY35" s="651"/>
      <c r="BZ35" s="651"/>
      <c r="CA35" s="651"/>
      <c r="CB35" s="651"/>
      <c r="CC35" s="651"/>
      <c r="CD35" s="651"/>
      <c r="CE35" s="651"/>
      <c r="CF35" s="652"/>
    </row>
    <row r="36" spans="1:84" s="27" customFormat="1" ht="58.5" thickTop="1" x14ac:dyDescent="0.3">
      <c r="A36" s="28" t="s">
        <v>1106</v>
      </c>
      <c r="B36" s="1504"/>
      <c r="C36" s="1728" t="s">
        <v>2268</v>
      </c>
      <c r="D36" s="2241" t="s">
        <v>3</v>
      </c>
      <c r="E36" s="594" t="b">
        <f>IF(D36="Compliant",TRUE,FALSE)</f>
        <v>0</v>
      </c>
      <c r="F36" s="361"/>
      <c r="G36" s="1405" t="str">
        <f>IF(I36&lt;&gt;"", "Not Blank", "")</f>
        <v/>
      </c>
      <c r="H36" s="1403"/>
      <c r="I36" s="2956"/>
      <c r="J36" s="216" t="str">
        <f>IF(L36&lt;&gt;"", "Not Blank", "")</f>
        <v/>
      </c>
      <c r="K36" s="216"/>
      <c r="L36" s="111"/>
      <c r="M36" s="120"/>
      <c r="N36" s="4415"/>
      <c r="O36" s="4621"/>
      <c r="P36" s="128"/>
      <c r="Q36" s="1142" t="s">
        <v>3</v>
      </c>
      <c r="R36" s="732" t="b">
        <f>IF(OR(Q36="Compliant",Q36="FE with work-a-round",Q36="Functionally Equivalent"),TRUE,FALSE)</f>
        <v>0</v>
      </c>
      <c r="S36" s="44"/>
      <c r="T36" s="44"/>
      <c r="U36" s="68"/>
      <c r="V36" s="4415"/>
      <c r="W36" s="4504"/>
      <c r="X36" s="44"/>
      <c r="Y36" s="44"/>
      <c r="Z36" s="122"/>
      <c r="AA36" s="65"/>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40"/>
    </row>
    <row r="37" spans="1:84" s="27" customFormat="1" ht="58" x14ac:dyDescent="0.3">
      <c r="A37" s="28" t="s">
        <v>1106</v>
      </c>
      <c r="B37" s="1504"/>
      <c r="C37" s="1717" t="s">
        <v>1956</v>
      </c>
      <c r="D37" s="554" t="s">
        <v>3</v>
      </c>
      <c r="E37" s="594" t="b">
        <f>IF(D37="Compliant",TRUE,FALSE)</f>
        <v>0</v>
      </c>
      <c r="F37" s="361"/>
      <c r="G37" s="1405" t="str">
        <f>IF(I37&lt;&gt;"", "Not Blank", "")</f>
        <v/>
      </c>
      <c r="H37" s="1403"/>
      <c r="I37" s="1570"/>
      <c r="J37" s="216" t="str">
        <f>IF(L37&lt;&gt;"", "Not Blank", "")</f>
        <v/>
      </c>
      <c r="K37" s="216"/>
      <c r="L37" s="44"/>
      <c r="M37" s="68"/>
      <c r="N37" s="4415"/>
      <c r="O37" s="4621"/>
      <c r="P37" s="68"/>
      <c r="Q37" s="847" t="s">
        <v>3</v>
      </c>
      <c r="R37" s="732" t="b">
        <f>IF(OR(Q37="Compliant",Q37="FE with work-a-round",Q37="Functionally Equivalent"),TRUE,FALSE)</f>
        <v>0</v>
      </c>
      <c r="S37" s="44"/>
      <c r="T37" s="44"/>
      <c r="U37" s="68"/>
      <c r="V37" s="4415"/>
      <c r="W37" s="4504"/>
      <c r="X37" s="44"/>
      <c r="Y37" s="44"/>
      <c r="Z37" s="122"/>
      <c r="AA37" s="65"/>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40"/>
    </row>
    <row r="38" spans="1:84" s="27" customFormat="1" ht="391.5" x14ac:dyDescent="0.3">
      <c r="A38" s="28" t="s">
        <v>1637</v>
      </c>
      <c r="B38" s="1504"/>
      <c r="C38" s="1717" t="s">
        <v>1636</v>
      </c>
      <c r="D38" s="554" t="s">
        <v>3</v>
      </c>
      <c r="E38" s="594" t="b">
        <f>IF(D38="Compliant",TRUE,FALSE)</f>
        <v>0</v>
      </c>
      <c r="F38" s="361"/>
      <c r="G38" s="1405" t="str">
        <f>IF(I38&lt;&gt;"", "Not Blank", "")</f>
        <v/>
      </c>
      <c r="H38" s="1403"/>
      <c r="I38" s="1570"/>
      <c r="J38" s="216" t="str">
        <f>IF(L38&lt;&gt;"", "Not Blank", "")</f>
        <v/>
      </c>
      <c r="K38" s="216"/>
      <c r="L38" s="44"/>
      <c r="M38" s="68"/>
      <c r="N38" s="4415"/>
      <c r="O38" s="4621"/>
      <c r="P38" s="68"/>
      <c r="Q38" s="847" t="s">
        <v>3</v>
      </c>
      <c r="R38" s="732" t="b">
        <f>IF(OR(Q38="Compliant",Q38="FE with work-a-round",Q38="Functionally Equivalent"),TRUE,FALSE)</f>
        <v>0</v>
      </c>
      <c r="S38" s="44"/>
      <c r="T38" s="44"/>
      <c r="U38" s="68"/>
      <c r="V38" s="4415"/>
      <c r="W38" s="4504"/>
      <c r="X38" s="44"/>
      <c r="Y38" s="44"/>
      <c r="Z38" s="122"/>
      <c r="AA38" s="65"/>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40"/>
    </row>
    <row r="39" spans="1:84" s="38" customFormat="1" ht="44" thickBot="1" x14ac:dyDescent="0.35">
      <c r="A39" s="1419" t="s">
        <v>1103</v>
      </c>
      <c r="B39" s="1505"/>
      <c r="C39" s="1842" t="s">
        <v>1635</v>
      </c>
      <c r="D39" s="567" t="s">
        <v>3</v>
      </c>
      <c r="E39" s="595" t="b">
        <f>IF(D39="Compliant",TRUE,FALSE)</f>
        <v>0</v>
      </c>
      <c r="F39" s="258"/>
      <c r="G39" s="1571" t="str">
        <f>IF(I39&lt;&gt;"", "Not Blank", "")</f>
        <v/>
      </c>
      <c r="H39" s="1446"/>
      <c r="I39" s="1572"/>
      <c r="J39" s="218" t="str">
        <f>IF(L39&lt;&gt;"", "Not Blank", "")</f>
        <v/>
      </c>
      <c r="K39" s="218"/>
      <c r="L39" s="124"/>
      <c r="M39" s="246"/>
      <c r="N39" s="4416"/>
      <c r="O39" s="4664"/>
      <c r="P39" s="246"/>
      <c r="Q39" s="848" t="s">
        <v>3</v>
      </c>
      <c r="R39" s="812" t="b">
        <f>IF(OR(Q39="Compliant",Q39="FE with work-a-round",Q39="Functionally Equivalent"),TRUE,FALSE)</f>
        <v>0</v>
      </c>
      <c r="S39" s="124"/>
      <c r="T39" s="124"/>
      <c r="U39" s="246"/>
      <c r="V39" s="4416"/>
      <c r="W39" s="4505"/>
      <c r="X39" s="124"/>
      <c r="Y39" s="124"/>
      <c r="Z39" s="125"/>
      <c r="AA39" s="65"/>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40"/>
    </row>
    <row r="40" spans="1:84" s="3634" customFormat="1" ht="15" thickTop="1" x14ac:dyDescent="0.3">
      <c r="A40" s="3651"/>
      <c r="C40" s="3661"/>
      <c r="E40" s="3636"/>
      <c r="F40" s="3636"/>
      <c r="G40" s="3662"/>
      <c r="H40" s="3663"/>
      <c r="I40" s="3664"/>
      <c r="J40" s="3643"/>
      <c r="K40" s="3643"/>
      <c r="N40" s="3643"/>
      <c r="O40" s="3643"/>
      <c r="V40" s="3639"/>
      <c r="W40" s="3639"/>
    </row>
    <row r="41" spans="1:84" s="3640" customFormat="1" ht="18.5" x14ac:dyDescent="0.3">
      <c r="A41" s="4635" t="s">
        <v>1138</v>
      </c>
      <c r="B41" s="4636"/>
      <c r="C41" s="4636"/>
      <c r="D41" s="4636"/>
      <c r="E41" s="4636"/>
      <c r="F41" s="4636"/>
      <c r="G41" s="4636"/>
      <c r="H41" s="4636"/>
      <c r="I41" s="4636"/>
      <c r="J41" s="4636"/>
      <c r="K41" s="4636"/>
      <c r="L41" s="4636"/>
      <c r="M41" s="4636"/>
      <c r="N41" s="4636"/>
      <c r="O41" s="3646"/>
      <c r="P41" s="3653"/>
      <c r="Q41" s="3653"/>
      <c r="R41" s="3653"/>
      <c r="S41" s="3654"/>
      <c r="T41" s="3655"/>
      <c r="U41" s="3655"/>
      <c r="V41" s="3656"/>
      <c r="W41" s="3656"/>
      <c r="X41" s="3657"/>
      <c r="Y41" s="3658"/>
      <c r="Z41" s="3659"/>
    </row>
    <row r="42" spans="1:84" s="3634" customFormat="1" ht="15" thickBot="1" x14ac:dyDescent="0.35">
      <c r="C42" s="3665"/>
      <c r="E42" s="3636"/>
      <c r="F42" s="3636"/>
      <c r="G42" s="3662"/>
      <c r="H42" s="3663"/>
      <c r="J42" s="3643"/>
      <c r="K42" s="3643"/>
      <c r="N42" s="3641"/>
      <c r="O42" s="3641"/>
      <c r="V42" s="3639"/>
      <c r="W42" s="3639"/>
    </row>
    <row r="43" spans="1:84" s="653" customFormat="1" ht="32" thickTop="1" thickBot="1" x14ac:dyDescent="0.35">
      <c r="A43" s="651">
        <v>6</v>
      </c>
      <c r="B43" s="3228" t="s">
        <v>1365</v>
      </c>
      <c r="C43" s="3229" t="s">
        <v>1777</v>
      </c>
      <c r="D43" s="1843" t="s">
        <v>565</v>
      </c>
      <c r="E43" s="3236" t="b">
        <f>IF(AND(E44=TRUE,E52=TRUE),TRUE,FALSE)</f>
        <v>0</v>
      </c>
      <c r="F43" s="3236">
        <f>SUM(F44,F52)</f>
        <v>0</v>
      </c>
      <c r="G43" s="3237">
        <f>SUM(G44,G52)</f>
        <v>0</v>
      </c>
      <c r="H43" s="3238">
        <f>SUM(H44,H52)</f>
        <v>0</v>
      </c>
      <c r="I43" s="3239" t="str">
        <f xml:space="preserve">
IF(F43&gt;18,"Too Many Entries - Check Red Lines",
IF(G43&lt;F43,"Valid Entry required below - Check Amber Line/s",
IF(AND(E43=FALSE,G43=0,H43=0),"Nothing Entered below Yet",
IF(G43&lt;F43,"Valid Entry required below - Check Amber Line/s",
IF(AND(G43=0,H43&gt;0),"**Non-Valid Entry/ies below - Check Yellow Line/s",
IF(AND(G43&gt;0,H43&gt;0),"**Valid and Non-Valid Entries made below - Check Yellow Line/s",
IF(AND(E43=FALSE,F43&lt;18),"Not all requirements addressed below - Check Pink Line/s",
IF(AND(E43=FALSE,G43&lt;18,G43&gt;0,H43=0),"More entries to come",
IF(AND(E43,TRUE,G43=18,H43=0),"Valid Entries made below"
)))))))))</f>
        <v>Nothing Entered below Yet</v>
      </c>
      <c r="J43" s="3240">
        <f>SUM(J44,J52)</f>
        <v>0</v>
      </c>
      <c r="K43" s="3240">
        <f>SUM(K44,K52)</f>
        <v>0</v>
      </c>
      <c r="L43" s="3239" t="str">
        <f xml:space="preserve">
IF(J43&gt;18,"Too Many Entries - Check Red Lines",
IF(J43&lt;F43,"Valid Entry required below - Check Amber Line/s",
IF(AND(E43=FALSE,J43=0,K43=0),"Nothing Entered below Yet",
IF(AND(J43=0,K43&gt;0),"**Non-Valid Entry/ies below - Check Yellow Line/s",
IF(AND(J43&gt;0,K43&gt;0),"**Valid and Non-Valid Entries made below - Check Yellow Line/s",
IF(AND(E43=FALSE,J43&lt;18),"Not all requirements addressed below - Check Pink Line/s",
IF(AND(E43=FALSE,J43&lt;18,J43&gt;0,K43=0),"More entries to come",
IF(AND(E43,TRUE,J43=18,K43=0),"Valid Entries made below"
))))))))</f>
        <v>Nothing Entered below Yet</v>
      </c>
      <c r="M43" s="964"/>
      <c r="N43" s="4171" t="s">
        <v>565</v>
      </c>
      <c r="O43" s="88" t="b">
        <f>IF(AND(O44=TRUE,O52=TRUE),TRUE,FALSE)</f>
        <v>0</v>
      </c>
      <c r="P43" s="337"/>
      <c r="Q43" s="4171" t="s">
        <v>565</v>
      </c>
      <c r="R43" s="892" t="b">
        <f>IF(AND(R44=TRUE,R52=TRUE),TRUE,FALSE)</f>
        <v>0</v>
      </c>
      <c r="S43" s="336"/>
      <c r="T43" s="336"/>
      <c r="U43" s="640"/>
      <c r="V43" s="4176" t="s">
        <v>565</v>
      </c>
      <c r="W43" s="463" t="b">
        <f>IF(AND(W44=TRUE,W52=TRUE),TRUE,FALSE)</f>
        <v>0</v>
      </c>
      <c r="X43" s="964"/>
      <c r="Y43" s="964"/>
      <c r="Z43" s="965"/>
      <c r="AA43" s="651"/>
      <c r="AB43" s="651"/>
      <c r="AC43" s="651"/>
      <c r="AD43" s="651"/>
      <c r="AE43" s="651"/>
      <c r="AF43" s="651"/>
      <c r="AG43" s="651"/>
      <c r="AH43" s="651"/>
      <c r="AI43" s="651"/>
      <c r="AJ43" s="651"/>
      <c r="AK43" s="651"/>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1"/>
      <c r="CE43" s="651"/>
      <c r="CF43" s="652"/>
    </row>
    <row r="44" spans="1:84" s="310" customFormat="1" ht="30" thickTop="1" thickBot="1" x14ac:dyDescent="0.35">
      <c r="A44" s="428">
        <v>6</v>
      </c>
      <c r="B44" s="3133" t="s">
        <v>878</v>
      </c>
      <c r="C44" s="1683" t="s">
        <v>1366</v>
      </c>
      <c r="D44" s="2210" t="s">
        <v>565</v>
      </c>
      <c r="E44" s="3241" t="b">
        <f>IF(AND(E45=TRUE,E51=TRUE),TRUE,FALSE)</f>
        <v>0</v>
      </c>
      <c r="F44" s="3242">
        <f>COUNTIF(E46:E51,TRUE)</f>
        <v>0</v>
      </c>
      <c r="G44" s="3242">
        <f>COUNTIFS(E46:E51,TRUE,G46:G51,"Not Blank")</f>
        <v>0</v>
      </c>
      <c r="H44" s="3242">
        <f>COUNTIFS(E46:E51,FALSE,G46:G51,"Not Blank")</f>
        <v>0</v>
      </c>
      <c r="I44" s="3243" t="str">
        <f xml:space="preserve">
IF(F44&gt;6,"Too Many Entries - Check Red Lines",
IF(G44&lt;F44,"Valid Entry required below - Check Amber Line/s",
IF(AND(E44=FALSE,G44=0,H44=0),"Nothing Entered below Yet",
IF(G44&lt;F44,"Valid Entry required below - Check Amber Line/s",
IF(AND(G44=0,H44&gt;0),"**Non-Valid Entry/ies below - Check Yellow Line/s",
IF(AND(G44&gt;0,H44&gt;0),"**Valid and Non-Valid Entries made below - Check Yellow Line/s",
IF(AND(E44=FALSE,F44&lt;6),"Not all requirements addressed below - Check Pink Line/s",
IF(AND(E44=FALSE,G44&lt;6,G44&gt;0,H44=0),"More entries to come",
IF(AND(E44,TRUE,G44=6,H44=0),"Valid Entries made below"
)))))))))</f>
        <v>Nothing Entered below Yet</v>
      </c>
      <c r="J44" s="3244">
        <f>COUNTIFS(E46:E51,TRUE,J46:J51,"Not Blank")</f>
        <v>0</v>
      </c>
      <c r="K44" s="3244">
        <f>COUNTIFS(E46:E51,FALSE,J46:J51,"Not Blank")</f>
        <v>0</v>
      </c>
      <c r="L44" s="3245" t="str">
        <f xml:space="preserve">
IF(J44&gt;6,"Too Many Entries - Check Red Lines",
IF(J44&lt;F44,"Valid Entry required below - Check Amber Line/s",
IF(AND(E44=FALSE,J44=0,K44=0),"Nothing Entered below Yet",
IF(AND(J44=0,K44&gt;0),"**Non-Valid Entry/ies below - Check Yellow Line/s",
IF(AND(J44&gt;0,K44&gt;0),"**Valid and Non-Valid Entries made below - Check Yellow Line/s",
IF(AND(E44=FALSE,J44&lt;6),"Not all requirements addressed below - Check Pink Line/s",
IF(AND(E44=FALSE,J44&lt;6,J44&gt;0,K44=0),"More entries to come",
IF(AND(E44,TRUE,J44=6,K44=0),"Valid Entries made below"
))))))))</f>
        <v>Nothing Entered below Yet</v>
      </c>
      <c r="M44" s="2349"/>
      <c r="N44" s="4415" t="s">
        <v>3</v>
      </c>
      <c r="O44" s="4530" t="b">
        <f>IF(OR(N44="Compliant",N44="FE with work-a-round",N44="Functionally Equivalent"),TRUE,FALSE)</f>
        <v>0</v>
      </c>
      <c r="P44" s="337"/>
      <c r="Q44" s="4173" t="s">
        <v>565</v>
      </c>
      <c r="R44" s="1444" t="b">
        <f>IF(AND(R45=TRUE,R51=TRUE),TRUE,FALSE)</f>
        <v>0</v>
      </c>
      <c r="S44" s="1540"/>
      <c r="T44" s="1540"/>
      <c r="U44" s="2636"/>
      <c r="V44" s="4414" t="s">
        <v>3</v>
      </c>
      <c r="W44" s="4512" t="b">
        <f>IF(OR(V44="Compliant",V44="FE with work-a-round",V44="Functionally Equivalent",V44="Not Required/Applicable"),TRUE,FALSE)</f>
        <v>0</v>
      </c>
      <c r="X44" s="937"/>
      <c r="Y44" s="937"/>
      <c r="Z44" s="961"/>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309"/>
    </row>
    <row r="45" spans="1:84" s="27" customFormat="1" ht="44" thickTop="1" x14ac:dyDescent="0.3">
      <c r="A45" s="60">
        <v>6.1</v>
      </c>
      <c r="B45" s="1907" t="s">
        <v>1694</v>
      </c>
      <c r="C45" s="2175" t="s">
        <v>561</v>
      </c>
      <c r="D45" s="2343" t="s">
        <v>565</v>
      </c>
      <c r="E45" s="2935" t="b">
        <f>IF(AND(E46=TRUE,E47=TRUE,E48=TRUE,E49=TRUE,E50=TRUE),TRUE,FALSE)</f>
        <v>0</v>
      </c>
      <c r="F45" s="2936">
        <f>COUNTIF(E46:E50,TRUE)</f>
        <v>0</v>
      </c>
      <c r="G45" s="2936">
        <f>COUNTIFS(E46:E50,TRUE,G46:G50,"Not Blank")</f>
        <v>0</v>
      </c>
      <c r="H45" s="2936">
        <f>COUNTIFS(E46:E50,FALSE,G46:G50,"Not Blank")</f>
        <v>0</v>
      </c>
      <c r="I45" s="2923" t="str">
        <f xml:space="preserve">
IF(F45&gt;5,"Too Many Entries - Check Red Lines",
IF(G45&lt;F45,"Valid Entry required below - Check Amber Line/s",
IF(AND(E45=FALSE,G45=0,H45=0),"Nothing Entered below Yet",
IF(G45&lt;F45,"Valid Entry required below - Check Amber Line/s",
IF(AND(G45=0,H45&gt;0),"**Non-Valid Entry/ies below - Check Yellow Line/s",
IF(AND(G45&gt;0,H45&gt;0),"**Valid and Non-Valid Entries made below - Check Yellow Line/s",
IF(AND(E45=FALSE,F45&lt;5),"Not all requirements addressed below - Check Pink Line/s",
IF(AND(E45=FALSE,G45&lt;5,G45&gt;0,H45=0),"More entries to come",
IF(AND(E45,TRUE,G45=5,H45=0),"Valid Entries made below"
)))))))))</f>
        <v>Nothing Entered below Yet</v>
      </c>
      <c r="J45" s="2938">
        <f>COUNTIFS(E46:E50,TRUE,J46:J50,"Not Blank")</f>
        <v>0</v>
      </c>
      <c r="K45" s="2938">
        <f>COUNTIFS(E46:E50,FALSE,J46:J50,"Not Blank")</f>
        <v>0</v>
      </c>
      <c r="L45" s="3246" t="str">
        <f xml:space="preserve">
IF(J45&gt;5,"Too Many Entries - Check Red Lines",
IF(J45&lt;F45,"Valid Entry required below - Check Amber Line/s",
IF(AND(E45=FALSE,J45=0,K45=0),"Nothing Entered below Yet",
IF(AND(J45=0,K45&gt;0),"**Non-Valid Entry/ies below - Check Yellow Line/s",
IF(AND(J45&gt;0,K45&gt;0),"**Valid and Non-Valid Entries made below - Check Yellow Line/s",
IF(AND(E45=FALSE,J45&lt;5),"Not all requirements addressed below - Check Pink Line/s",
IF(AND(E45=FALSE,J45&lt;5,J45&gt;0,K45=0),"More entries to come",
IF(AND(E45,TRUE,J45=5,K45=0),"Valid Entries made below"
))))))))</f>
        <v>Nothing Entered below Yet</v>
      </c>
      <c r="M45" s="2351"/>
      <c r="N45" s="4415"/>
      <c r="O45" s="4530"/>
      <c r="P45" s="2224"/>
      <c r="Q45" s="4138" t="s">
        <v>565</v>
      </c>
      <c r="R45" s="1444" t="b">
        <f>IF(AND(R46=TRUE,R47=TRUE,R48=TRUE,R49=TRUE,R50=TRUE),TRUE,FALSE)</f>
        <v>0</v>
      </c>
      <c r="S45" s="281"/>
      <c r="T45" s="281"/>
      <c r="U45" s="2637"/>
      <c r="V45" s="4415"/>
      <c r="W45" s="4513"/>
      <c r="X45" s="294"/>
      <c r="Y45" s="281"/>
      <c r="Z45" s="647"/>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40"/>
    </row>
    <row r="46" spans="1:84" s="27" customFormat="1" ht="29" x14ac:dyDescent="0.3">
      <c r="A46" s="60"/>
      <c r="B46" s="1831"/>
      <c r="C46" s="1866" t="s">
        <v>562</v>
      </c>
      <c r="D46" s="2350" t="s">
        <v>3</v>
      </c>
      <c r="E46" s="294" t="b">
        <f t="shared" ref="E46:E51" si="0">IF(D46="Compliant",TRUE,FALSE)</f>
        <v>0</v>
      </c>
      <c r="F46" s="281"/>
      <c r="G46" s="281" t="str">
        <f t="shared" ref="G46:G51" si="1">IF(I46&lt;&gt;"", "Not Blank", "")</f>
        <v/>
      </c>
      <c r="H46" s="281"/>
      <c r="I46" s="301"/>
      <c r="J46" s="301" t="str">
        <f t="shared" ref="J46:J51" si="2">IF(L46&lt;&gt;"", "Not Blank", "")</f>
        <v/>
      </c>
      <c r="K46" s="301"/>
      <c r="L46" s="301"/>
      <c r="M46" s="956"/>
      <c r="N46" s="4415"/>
      <c r="O46" s="4530"/>
      <c r="P46" s="1082"/>
      <c r="Q46" s="2214" t="s">
        <v>3</v>
      </c>
      <c r="R46" s="261" t="b">
        <f t="shared" ref="R46:R51" si="3">IF(OR(Q46="Compliant",Q46="FE with work-a-round",Q46="Functionally Equivalent"),TRUE,FALSE)</f>
        <v>0</v>
      </c>
      <c r="S46" s="261"/>
      <c r="T46" s="261"/>
      <c r="U46" s="589"/>
      <c r="V46" s="4415"/>
      <c r="W46" s="4513"/>
      <c r="X46" s="294"/>
      <c r="Y46" s="281"/>
      <c r="Z46" s="647"/>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40"/>
    </row>
    <row r="47" spans="1:84" s="27" customFormat="1" ht="72.5" x14ac:dyDescent="0.3">
      <c r="A47" s="60"/>
      <c r="B47" s="1831"/>
      <c r="C47" s="1832" t="s">
        <v>563</v>
      </c>
      <c r="D47" s="1041" t="s">
        <v>3</v>
      </c>
      <c r="E47" s="294" t="b">
        <f t="shared" si="0"/>
        <v>0</v>
      </c>
      <c r="F47" s="281"/>
      <c r="G47" s="281" t="str">
        <f t="shared" si="1"/>
        <v/>
      </c>
      <c r="H47" s="281"/>
      <c r="I47" s="281"/>
      <c r="J47" s="281" t="str">
        <f t="shared" si="2"/>
        <v/>
      </c>
      <c r="K47" s="281"/>
      <c r="L47" s="281"/>
      <c r="M47" s="949"/>
      <c r="N47" s="4415"/>
      <c r="O47" s="4530"/>
      <c r="P47" s="951"/>
      <c r="Q47" s="1060" t="s">
        <v>3</v>
      </c>
      <c r="R47" s="261" t="b">
        <f t="shared" si="3"/>
        <v>0</v>
      </c>
      <c r="S47" s="281"/>
      <c r="T47" s="281"/>
      <c r="U47" s="2637"/>
      <c r="V47" s="4415"/>
      <c r="W47" s="4513"/>
      <c r="X47" s="294"/>
      <c r="Y47" s="281"/>
      <c r="Z47" s="647"/>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40"/>
    </row>
    <row r="48" spans="1:84" s="27" customFormat="1" ht="43.5" x14ac:dyDescent="0.3">
      <c r="A48" s="60"/>
      <c r="B48" s="1831"/>
      <c r="C48" s="1832" t="s">
        <v>425</v>
      </c>
      <c r="D48" s="1041" t="s">
        <v>3</v>
      </c>
      <c r="E48" s="294" t="b">
        <f t="shared" si="0"/>
        <v>0</v>
      </c>
      <c r="F48" s="281"/>
      <c r="G48" s="281" t="str">
        <f t="shared" si="1"/>
        <v/>
      </c>
      <c r="H48" s="281"/>
      <c r="I48" s="281"/>
      <c r="J48" s="281" t="str">
        <f t="shared" si="2"/>
        <v/>
      </c>
      <c r="K48" s="281"/>
      <c r="L48" s="281"/>
      <c r="M48" s="949"/>
      <c r="N48" s="4415"/>
      <c r="O48" s="4530"/>
      <c r="P48" s="951"/>
      <c r="Q48" s="1060" t="s">
        <v>3</v>
      </c>
      <c r="R48" s="261" t="b">
        <f t="shared" si="3"/>
        <v>0</v>
      </c>
      <c r="S48" s="281"/>
      <c r="T48" s="281"/>
      <c r="U48" s="2637"/>
      <c r="V48" s="4415"/>
      <c r="W48" s="4513"/>
      <c r="X48" s="294"/>
      <c r="Y48" s="281"/>
      <c r="Z48" s="647"/>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40"/>
    </row>
    <row r="49" spans="1:83" s="27" customFormat="1" ht="43.5" x14ac:dyDescent="0.3">
      <c r="A49" s="60"/>
      <c r="B49" s="1831"/>
      <c r="C49" s="1832" t="s">
        <v>426</v>
      </c>
      <c r="D49" s="1041" t="s">
        <v>3</v>
      </c>
      <c r="E49" s="294" t="b">
        <f t="shared" si="0"/>
        <v>0</v>
      </c>
      <c r="F49" s="281"/>
      <c r="G49" s="281" t="str">
        <f t="shared" si="1"/>
        <v/>
      </c>
      <c r="H49" s="281"/>
      <c r="I49" s="281"/>
      <c r="J49" s="281" t="str">
        <f t="shared" si="2"/>
        <v/>
      </c>
      <c r="K49" s="281"/>
      <c r="L49" s="281"/>
      <c r="M49" s="949"/>
      <c r="N49" s="4415"/>
      <c r="O49" s="4530"/>
      <c r="P49" s="951"/>
      <c r="Q49" s="1060" t="s">
        <v>3</v>
      </c>
      <c r="R49" s="261" t="b">
        <f t="shared" si="3"/>
        <v>0</v>
      </c>
      <c r="S49" s="281"/>
      <c r="T49" s="281"/>
      <c r="U49" s="2637"/>
      <c r="V49" s="4415"/>
      <c r="W49" s="4513"/>
      <c r="X49" s="294"/>
      <c r="Y49" s="281"/>
      <c r="Z49" s="647"/>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40"/>
    </row>
    <row r="50" spans="1:83" s="27" customFormat="1" ht="29.5" thickBot="1" x14ac:dyDescent="0.35">
      <c r="A50" s="60"/>
      <c r="B50" s="1831"/>
      <c r="C50" s="1832" t="s">
        <v>427</v>
      </c>
      <c r="D50" s="1041" t="s">
        <v>3</v>
      </c>
      <c r="E50" s="294" t="b">
        <f t="shared" si="0"/>
        <v>0</v>
      </c>
      <c r="F50" s="281"/>
      <c r="G50" s="281" t="str">
        <f t="shared" si="1"/>
        <v/>
      </c>
      <c r="H50" s="281"/>
      <c r="I50" s="281"/>
      <c r="J50" s="281" t="str">
        <f t="shared" si="2"/>
        <v/>
      </c>
      <c r="K50" s="281"/>
      <c r="L50" s="281"/>
      <c r="M50" s="949"/>
      <c r="N50" s="4415"/>
      <c r="O50" s="4530"/>
      <c r="P50" s="951"/>
      <c r="Q50" s="1017" t="s">
        <v>3</v>
      </c>
      <c r="R50" s="261" t="b">
        <f t="shared" si="3"/>
        <v>0</v>
      </c>
      <c r="S50" s="281"/>
      <c r="T50" s="281"/>
      <c r="U50" s="2637"/>
      <c r="V50" s="4415"/>
      <c r="W50" s="4513"/>
      <c r="X50" s="294"/>
      <c r="Y50" s="281"/>
      <c r="Z50" s="647"/>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40"/>
    </row>
    <row r="51" spans="1:83" s="27" customFormat="1" ht="44.5" thickTop="1" thickBot="1" x14ac:dyDescent="0.35">
      <c r="A51" s="60">
        <v>6.2</v>
      </c>
      <c r="B51" s="3230"/>
      <c r="C51" s="2908" t="s">
        <v>564</v>
      </c>
      <c r="D51" s="1042" t="s">
        <v>3</v>
      </c>
      <c r="E51" s="191" t="b">
        <f t="shared" si="0"/>
        <v>0</v>
      </c>
      <c r="F51" s="296"/>
      <c r="G51" s="296" t="str">
        <f t="shared" si="1"/>
        <v/>
      </c>
      <c r="H51" s="296"/>
      <c r="I51" s="281"/>
      <c r="J51" s="296" t="str">
        <f t="shared" si="2"/>
        <v/>
      </c>
      <c r="K51" s="296"/>
      <c r="L51" s="296"/>
      <c r="M51" s="953"/>
      <c r="N51" s="4490"/>
      <c r="O51" s="4650"/>
      <c r="P51" s="954"/>
      <c r="Q51" s="1134" t="s">
        <v>3</v>
      </c>
      <c r="R51" s="718" t="b">
        <f t="shared" si="3"/>
        <v>0</v>
      </c>
      <c r="S51" s="296"/>
      <c r="T51" s="296"/>
      <c r="U51" s="2638"/>
      <c r="V51" s="4490"/>
      <c r="W51" s="4651"/>
      <c r="X51" s="191"/>
      <c r="Y51" s="296"/>
      <c r="Z51" s="955"/>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40"/>
    </row>
    <row r="52" spans="1:83" s="310" customFormat="1" ht="30" thickTop="1" thickBot="1" x14ac:dyDescent="0.35">
      <c r="A52" s="649">
        <v>7</v>
      </c>
      <c r="B52" s="3231" t="s">
        <v>1697</v>
      </c>
      <c r="C52" s="3232" t="s">
        <v>879</v>
      </c>
      <c r="D52" s="3247" t="s">
        <v>565</v>
      </c>
      <c r="E52" s="3248" t="b" cm="1">
        <f t="array" ref="E52">IF(AND(E53=TRUE,E56=TRUE,E59:E61=TRUE,E62=TRUE,E65=TRUE),TRUE,FALSE)</f>
        <v>0</v>
      </c>
      <c r="F52" s="3249">
        <f>SUM(F53,F56,F62,F65)</f>
        <v>0</v>
      </c>
      <c r="G52" s="3249">
        <f>SUM(G53,G56,G62,G65)</f>
        <v>0</v>
      </c>
      <c r="H52" s="3249">
        <f>SUM(H53,H56,H62,H65)</f>
        <v>0</v>
      </c>
      <c r="I52" s="3221" t="str">
        <f xml:space="preserve">
IF(F52&gt;12,"Too Many Entries - Check Red Lines",
IF(G52&lt;F52,"Valid Entry required below - Check Amber Line/s",
IF(AND(E52=FALSE,G52=0,H52=0),"Nothing Entered below Yet",
IF(G52&lt;F52,"Valid Entry required below - Check Amber Line/s",
IF(AND(G52=0,H52&gt;0),"**Non-Valid Entry/ies below - Check Yellow Line/s",
IF(AND(G52&gt;0,H52&gt;0),"**Valid and Non-Valid Entries made below - Check Yellow Line/s",
IF(AND(E52=FALSE,F52&lt;12),"Not all requirements addressed below - Check Pink Line/s",
IF(AND(E52=FALSE,G52&lt;12,G52&gt;0,H52=0),"More entries to come",
IF(AND(E52,TRUE,G52=12,H52=0),"Valid Entries made below"
)))))))))</f>
        <v>Nothing Entered below Yet</v>
      </c>
      <c r="J52" s="3221">
        <f>SUM(J53,J56,J62,J65)</f>
        <v>0</v>
      </c>
      <c r="K52" s="3221">
        <f>SUM(K53,K56,K62,K65)</f>
        <v>0</v>
      </c>
      <c r="L52" s="3221" t="str">
        <f xml:space="preserve">
IF(J52&gt;12,"Too Many Entries - Check Red Lines",
IF(J52&lt;F52,"Valid Entry required below - Check Amber Line/s",
IF(AND(E52=FALSE,J52=0,K52=0),"Nothing Entered below Yet",
IF(AND(J52=0,K52&gt;0),"**Non-Valid Entry/ies below - Check Yellow Line/s",
IF(AND(J52&gt;0,K52&gt;0),"**Valid and Non-Valid Entries made below - Check Yellow Line/s",
IF(AND(E52=FALSE,J52&lt;12),"Not all requirements addressed below - Check Pink Line/s",
IF(AND(E52=FALSE,J52&lt;12,J52&gt;0,K52=0),"More entries to come",
IF(AND(E52,TRUE,J52=12,K52=0),"Valid Entries made below"
))))))))</f>
        <v>Nothing Entered below Yet</v>
      </c>
      <c r="M52" s="292"/>
      <c r="N52" s="4172" t="s">
        <v>565</v>
      </c>
      <c r="O52" s="959" t="b">
        <f>IF(AND(O53=TRUE,O57=TRUE,O64=TRUE,O68=TRUE),TRUE,FALSE)</f>
        <v>0</v>
      </c>
      <c r="P52" s="2639"/>
      <c r="Q52" s="4174" t="s">
        <v>565</v>
      </c>
      <c r="R52" s="2640" t="b" cm="1">
        <f t="array" ref="R52">IF(AND(R53=TRUE,R56=TRUE,R59:R61=TRUE,R62=TRUE,R65=TRUE),TRUE,FALSE)</f>
        <v>0</v>
      </c>
      <c r="S52" s="2641"/>
      <c r="T52" s="2641"/>
      <c r="U52" s="2642"/>
      <c r="V52" s="4174" t="s">
        <v>565</v>
      </c>
      <c r="W52" s="2643" t="b">
        <f>IF(AND(W53=TRUE,W57=TRUE,W64=TRUE,W68=TRUE),TRUE,FALSE)</f>
        <v>0</v>
      </c>
      <c r="X52" s="958"/>
      <c r="Y52" s="958"/>
      <c r="Z52" s="962"/>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309"/>
    </row>
    <row r="53" spans="1:83" s="310" customFormat="1" ht="29.5" thickTop="1" x14ac:dyDescent="0.3">
      <c r="A53" s="649">
        <v>7.1</v>
      </c>
      <c r="B53" s="3233" t="s">
        <v>1840</v>
      </c>
      <c r="C53" s="3234" t="s">
        <v>560</v>
      </c>
      <c r="D53" s="3250" t="s">
        <v>565</v>
      </c>
      <c r="E53" s="3220" t="b">
        <f>IF(AND(E54=TRUE,E55=TRUE),TRUE,FALSE)</f>
        <v>0</v>
      </c>
      <c r="F53" s="726">
        <f>COUNTIF(E54:E55,TRUE)</f>
        <v>0</v>
      </c>
      <c r="G53" s="726">
        <f>COUNTIFS(E54:E55,TRUE,G54:G55,"Not Blank")</f>
        <v>0</v>
      </c>
      <c r="H53" s="726">
        <f>COUNTIFS(E54:E55,FALSE,G54:G55,"Not Blank")</f>
        <v>0</v>
      </c>
      <c r="I53" s="3251" t="str">
        <f xml:space="preserve">
IF(F53&gt;2,"Too Many Entries - Check Red Lines",
IF(G53&lt;F53,"Valid Entry required below - Check Amber Line/s",
IF(AND(E53=FALSE,G53=0,H53=0),"Nothing Entered below Yet",
IF(G53&lt;F53,"Valid Entry required below - Check Amber Line/s",
IF(AND(G53=0,H53&gt;0),"**Non-Valid Entry/ies below - Check Yellow Line/s",
IF(AND(G53&gt;0,H53&gt;0),"**Valid and Non-Valid Entries made below - Check Yellow Line/s",
IF(AND(E53=FALSE,F53&lt;2),"Not all requirements addressed below - Check Pink Line/s",
IF(AND(E53=FALSE,G53&lt;2,G53&gt;0,H53=0),"More entries to come",
IF(AND(E53,TRUE,G53=2,H53=0),"Valid Entries made below"
)))))))))</f>
        <v>Nothing Entered below Yet</v>
      </c>
      <c r="J53" s="3251">
        <f>COUNTIFS(E54:E55,TRUE,J54:J55,"Not Blank")</f>
        <v>0</v>
      </c>
      <c r="K53" s="3251">
        <f>COUNTIFS(E54:E55,FALSE,J54:J55,"Not Blank")</f>
        <v>0</v>
      </c>
      <c r="L53" s="3251" t="str">
        <f xml:space="preserve">
IF(J53&gt;2,"Too Many Entries - Check Red Lines",
IF(J53&lt;F53,"Valid Entry required below - Check Amber Line/s",
IF(AND(E53=FALSE,J53=0,K53=0),"Nothing Entered below Yet",
IF(AND(J53=0,K53&gt;0),"**Non-Valid Entry/ies below - Check Yellow Line/s",
IF(AND(J53&gt;0,K53&gt;0),"**Valid and Non-Valid Entries made below - Check Yellow Line/s",
IF(AND(E53=FALSE,J53&lt;2),"Not all requirements addressed below - Check Pink Line/s",
IF(AND(E53=FALSE,J53&lt;2,J53&gt;0,K53=0),"More entries to come",
IF(AND(E53,TRUE,J53=2,K53=0),"Valid Entries made below"
))))))))</f>
        <v>Nothing Entered below Yet</v>
      </c>
      <c r="M53" s="2352"/>
      <c r="N53" s="4457" t="s">
        <v>3</v>
      </c>
      <c r="O53" s="4492" t="b">
        <f>IF(OR(N53="Compliant",N53="FE with work-a-round",N53="Functionally Equivalent"),TRUE,FALSE)</f>
        <v>0</v>
      </c>
      <c r="P53" s="2353"/>
      <c r="Q53" s="4175" t="s">
        <v>565</v>
      </c>
      <c r="R53" s="1444" t="b">
        <f>IF(AND(R54=TRUE,R55=TRUE),TRUE,FALSE)</f>
        <v>0</v>
      </c>
      <c r="S53" s="301"/>
      <c r="T53" s="301"/>
      <c r="U53" s="2644"/>
      <c r="V53" s="4414" t="s">
        <v>3</v>
      </c>
      <c r="W53" s="4438" t="b">
        <f>IF(OR(V53="Compliant",V53="FE with work-a-round",V53="Functionally Equivalent",V53="Not Required/Applicable"),TRUE,FALSE)</f>
        <v>0</v>
      </c>
      <c r="X53" s="960"/>
      <c r="Y53" s="937"/>
      <c r="Z53" s="961"/>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309"/>
    </row>
    <row r="54" spans="1:83" s="27" customFormat="1" ht="29" x14ac:dyDescent="0.3">
      <c r="A54" s="60"/>
      <c r="B54" s="1831"/>
      <c r="C54" s="1866" t="s">
        <v>558</v>
      </c>
      <c r="D54" s="2350" t="s">
        <v>3</v>
      </c>
      <c r="E54" s="294" t="b">
        <f>IF(D54="Compliant",TRUE,FALSE)</f>
        <v>0</v>
      </c>
      <c r="F54" s="281"/>
      <c r="G54" s="1542"/>
      <c r="H54" s="1542"/>
      <c r="I54" s="301"/>
      <c r="J54" s="301"/>
      <c r="K54" s="301"/>
      <c r="L54" s="301"/>
      <c r="M54" s="329"/>
      <c r="N54" s="4415"/>
      <c r="O54" s="4492"/>
      <c r="P54" s="315"/>
      <c r="Q54" s="1863" t="s">
        <v>3</v>
      </c>
      <c r="R54" s="261" t="b">
        <f>IF(OR(Q54="Compliant",Q54="FE with work-a-round",Q54="Functionally Equivalent"),TRUE,FALSE)</f>
        <v>0</v>
      </c>
      <c r="S54" s="281"/>
      <c r="T54" s="281"/>
      <c r="U54" s="2637"/>
      <c r="V54" s="4415"/>
      <c r="W54" s="4438"/>
      <c r="X54" s="294"/>
      <c r="Y54" s="281"/>
      <c r="Z54" s="647"/>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40"/>
    </row>
    <row r="55" spans="1:83" s="27" customFormat="1" ht="29.5" thickBot="1" x14ac:dyDescent="0.35">
      <c r="A55" s="60"/>
      <c r="B55" s="1833"/>
      <c r="C55" s="1834" t="s">
        <v>559</v>
      </c>
      <c r="D55" s="1043" t="s">
        <v>3</v>
      </c>
      <c r="E55" s="295" t="b">
        <f>IF(D55="Compliant",TRUE,FALSE)</f>
        <v>0</v>
      </c>
      <c r="F55" s="283"/>
      <c r="G55" s="283" t="str">
        <f t="shared" ref="G55:G64" si="4">IF(I55&lt;&gt;"", "Not Blank", "")</f>
        <v/>
      </c>
      <c r="H55" s="283"/>
      <c r="I55" s="283"/>
      <c r="J55" s="283"/>
      <c r="K55" s="283"/>
      <c r="L55" s="283"/>
      <c r="M55" s="289"/>
      <c r="N55" s="4490"/>
      <c r="O55" s="4492"/>
      <c r="P55" s="191"/>
      <c r="Q55" s="1862" t="s">
        <v>3</v>
      </c>
      <c r="R55" s="718" t="b">
        <f>IF(OR(Q55="Compliant",Q55="FE with work-a-round",Q55="Functionally Equivalent"),TRUE,FALSE)</f>
        <v>0</v>
      </c>
      <c r="S55" s="296"/>
      <c r="T55" s="296"/>
      <c r="U55" s="2638"/>
      <c r="V55" s="4415"/>
      <c r="W55" s="4438"/>
      <c r="X55" s="191"/>
      <c r="Y55" s="296"/>
      <c r="Z55" s="955"/>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40"/>
    </row>
    <row r="56" spans="1:83" s="310" customFormat="1" ht="30" thickTop="1" thickBot="1" x14ac:dyDescent="0.35">
      <c r="A56" s="649">
        <v>7.2</v>
      </c>
      <c r="B56" s="3233" t="s">
        <v>1693</v>
      </c>
      <c r="C56" s="3235" t="s">
        <v>674</v>
      </c>
      <c r="D56" s="3252" t="s">
        <v>565</v>
      </c>
      <c r="E56" s="3220" t="b">
        <f>IF(AND(E57=TRUE,E58=TRUE),TRUE,FALSE)</f>
        <v>0</v>
      </c>
      <c r="F56" s="726">
        <f>COUNTIF(E57:E61,TRUE)</f>
        <v>0</v>
      </c>
      <c r="G56" s="3253">
        <f>COUNTIFS(E57:E61,TRUE,G57:G61,"Not Blank")</f>
        <v>0</v>
      </c>
      <c r="H56" s="3253">
        <f>COUNTIFS(E57:E61,FALSE,G57:G61,"Not Blank")</f>
        <v>0</v>
      </c>
      <c r="I56" s="3223" t="str">
        <f xml:space="preserve">
IF(F56&gt;5,"Too Many Entries - Check Red Lines",
IF(G56&lt;F56,"Valid Entry required below - Check Amber Line/s",
IF(AND(E56=FALSE,G56=0,H56=0),"Nothing Entered below Yet",
IF(G56&lt;F56,"Valid Entry required below - Check Amber Line/s",
IF(AND(G56=0,H56&gt;0),"**Non-Valid Entry/ies below - Check Yellow Line/s",
IF(AND(G56&gt;0,H56&gt;0),"**Valid and Non-Valid Entries made below - Check Yellow Line/s",
IF(AND(E56=FALSE,F56&lt;5),"Not all requirements addressed below - Check Pink Line/s",
IF(AND(E56=FALSE,G56&lt;5,G56&gt;0,H56=0),"More entries to come",
IF(AND(E56,TRUE,G56=5,H56=0),"Valid Entries made below"
)))))))))</f>
        <v>Nothing Entered below Yet</v>
      </c>
      <c r="J56" s="3223">
        <f>COUNTIFS(E57:E61,TRUE,J57:J61,"Not Blank")</f>
        <v>0</v>
      </c>
      <c r="K56" s="3223">
        <f>COUNTIFS(E57:E61,FALSE,J57:J61,"Not Blank")</f>
        <v>0</v>
      </c>
      <c r="L56" s="3223" t="str">
        <f xml:space="preserve">
IF(J56&gt;5,"Too Many Entries - Check Red Lines",
IF(J56&lt;F56,"Valid Entry required below - Check Amber Line/s",
IF(AND(E56=FALSE,J56=0,K56=0),"Nothing Entered below Yet",
IF(AND(J56=0,K56&gt;0),"**Non-Valid Entry/ies below - Check Yellow Line/s",
IF(AND(J56&gt;0,K56&gt;0),"**Valid and Non-Valid Entries made below - Check Yellow Line/s",
IF(AND(E56=FALSE,J56&lt;5),"Not all requirements addressed below - Check Pink Line/s",
IF(AND(E56=FALSE,J56&lt;5,J56&gt;0,K56=0),"More entries to come",
IF(AND(E56,TRUE,J56=5,K56=0),"Valid Entries made below"
))))))))</f>
        <v>Nothing Entered below Yet</v>
      </c>
      <c r="M56" s="2354"/>
      <c r="N56" s="4457" t="s">
        <v>3</v>
      </c>
      <c r="O56" s="4657" t="b">
        <f>IF(OR(N56="Compliant",N56="FE with work-a-round",N56="Functionally Equivalent"),TRUE,FALSE)</f>
        <v>0</v>
      </c>
      <c r="P56" s="601"/>
      <c r="Q56" s="4172" t="s">
        <v>565</v>
      </c>
      <c r="R56" s="2645" t="b">
        <f>IF(AND(R57=TRUE,R58=TRUE),TRUE,FALSE)</f>
        <v>0</v>
      </c>
      <c r="S56" s="478"/>
      <c r="T56" s="478"/>
      <c r="U56" s="2646"/>
      <c r="V56" s="4457" t="s">
        <v>3</v>
      </c>
      <c r="W56" s="4655" t="b">
        <f>IF(OR(V56="Compliant",V56="FE with work-a-round",V56="Functionally Equivalent",V56="Not Required/Applicable"),TRUE,FALSE)</f>
        <v>0</v>
      </c>
      <c r="X56" s="963"/>
      <c r="Y56" s="482"/>
      <c r="Z56" s="658"/>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309"/>
    </row>
    <row r="57" spans="1:83" s="27" customFormat="1" ht="29.5" thickTop="1" x14ac:dyDescent="0.3">
      <c r="A57" s="60"/>
      <c r="B57" s="1831"/>
      <c r="C57" s="1866" t="s">
        <v>1368</v>
      </c>
      <c r="D57" s="2350" t="s">
        <v>3</v>
      </c>
      <c r="E57" s="294" t="b">
        <f>IF(D57="Compliant",TRUE,FALSE)</f>
        <v>0</v>
      </c>
      <c r="F57" s="281"/>
      <c r="G57" s="281" t="str">
        <f t="shared" si="4"/>
        <v/>
      </c>
      <c r="H57" s="281"/>
      <c r="I57" s="301"/>
      <c r="J57" s="301" t="str">
        <f>IF(L57&lt;&gt;"", "Not Blank", "")</f>
        <v/>
      </c>
      <c r="K57" s="301"/>
      <c r="L57" s="301"/>
      <c r="M57" s="329"/>
      <c r="N57" s="4415"/>
      <c r="O57" s="4492"/>
      <c r="P57" s="2355"/>
      <c r="Q57" s="1135" t="s">
        <v>3</v>
      </c>
      <c r="R57" s="261" t="b">
        <f>IF(OR(Q57="Compliant",Q57="FE with work-a-round",Q57="Functionally Equivalent"),TRUE,FALSE)</f>
        <v>0</v>
      </c>
      <c r="S57" s="281"/>
      <c r="T57" s="281"/>
      <c r="U57" s="2637"/>
      <c r="V57" s="4415"/>
      <c r="W57" s="4438"/>
      <c r="X57" s="294"/>
      <c r="Y57" s="281"/>
      <c r="Z57" s="647"/>
      <c r="AA57" s="104"/>
      <c r="AB57" s="28"/>
      <c r="AC57" s="28"/>
      <c r="AD57" s="28"/>
      <c r="AE57" s="28"/>
      <c r="AF57" s="28"/>
      <c r="AG57" s="28"/>
      <c r="AH57" s="28"/>
      <c r="AI57" s="28"/>
      <c r="AJ57" s="28"/>
      <c r="AK57" s="28"/>
      <c r="AL57" s="28"/>
      <c r="AM57" s="28"/>
      <c r="AN57" s="28"/>
      <c r="AO57" s="28"/>
      <c r="AP57" s="28"/>
      <c r="AQ57" s="41"/>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3"/>
    </row>
    <row r="58" spans="1:83" s="27" customFormat="1" ht="58" x14ac:dyDescent="0.3">
      <c r="A58" s="60"/>
      <c r="B58" s="1831"/>
      <c r="C58" s="1832" t="s">
        <v>557</v>
      </c>
      <c r="D58" s="1041" t="s">
        <v>3</v>
      </c>
      <c r="E58" s="294" t="b">
        <f>IF(D58="Compliant",TRUE,FALSE)</f>
        <v>0</v>
      </c>
      <c r="F58" s="281"/>
      <c r="G58" s="281" t="str">
        <f t="shared" si="4"/>
        <v/>
      </c>
      <c r="H58" s="281"/>
      <c r="I58" s="281"/>
      <c r="J58" s="281" t="str">
        <f>IF(L58&lt;&gt;"", "Not Blank", "")</f>
        <v/>
      </c>
      <c r="K58" s="281"/>
      <c r="L58" s="281"/>
      <c r="M58" s="287"/>
      <c r="N58" s="4415"/>
      <c r="O58" s="4492"/>
      <c r="P58" s="294"/>
      <c r="Q58" s="1060" t="s">
        <v>3</v>
      </c>
      <c r="R58" s="261" t="b">
        <f>IF(OR(Q58="Compliant",Q58="FE with work-a-round",Q58="Functionally Equivalent"),TRUE,FALSE)</f>
        <v>0</v>
      </c>
      <c r="S58" s="281"/>
      <c r="T58" s="281"/>
      <c r="U58" s="2637"/>
      <c r="V58" s="4415"/>
      <c r="W58" s="4438"/>
      <c r="X58" s="294"/>
      <c r="Y58" s="281"/>
      <c r="Z58" s="647"/>
      <c r="AA58" s="107"/>
      <c r="AB58" s="28"/>
      <c r="AC58" s="28"/>
      <c r="AD58" s="28"/>
      <c r="AE58" s="28"/>
      <c r="AF58" s="28"/>
      <c r="AG58" s="28"/>
      <c r="AH58" s="28"/>
      <c r="AI58" s="28"/>
      <c r="AJ58" s="28"/>
      <c r="AK58" s="28"/>
      <c r="AL58" s="28"/>
      <c r="AM58" s="28"/>
      <c r="AN58" s="28"/>
      <c r="AO58" s="28"/>
      <c r="AP58" s="28"/>
      <c r="AQ58" s="67"/>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5"/>
    </row>
    <row r="59" spans="1:83" s="27" customFormat="1" ht="43.5" x14ac:dyDescent="0.3">
      <c r="A59" s="60">
        <v>7.3</v>
      </c>
      <c r="B59" s="1831"/>
      <c r="C59" s="1832" t="s">
        <v>556</v>
      </c>
      <c r="D59" s="1041" t="s">
        <v>3</v>
      </c>
      <c r="E59" s="294" t="b">
        <f>IF(D59="Compliant",TRUE,FALSE)</f>
        <v>0</v>
      </c>
      <c r="F59" s="281"/>
      <c r="G59" s="281"/>
      <c r="H59" s="281"/>
      <c r="I59" s="281"/>
      <c r="J59" s="281" t="str">
        <f>IF(L59&lt;&gt;"", "Not Blank", "")</f>
        <v/>
      </c>
      <c r="K59" s="281"/>
      <c r="L59" s="281"/>
      <c r="M59" s="287"/>
      <c r="N59" s="4415"/>
      <c r="O59" s="4492"/>
      <c r="P59" s="294"/>
      <c r="Q59" s="1060" t="s">
        <v>3</v>
      </c>
      <c r="R59" s="261" t="b">
        <f>IF(OR(Q59="Compliant",Q59="FE with work-a-round",Q59="Functionally Equivalent"),TRUE,FALSE)</f>
        <v>0</v>
      </c>
      <c r="S59" s="281"/>
      <c r="T59" s="281"/>
      <c r="U59" s="2637"/>
      <c r="V59" s="4415"/>
      <c r="W59" s="4438"/>
      <c r="X59" s="294"/>
      <c r="Y59" s="281"/>
      <c r="Z59" s="647"/>
      <c r="AA59" s="107"/>
      <c r="AB59" s="28"/>
      <c r="AC59" s="28"/>
      <c r="AD59" s="28"/>
      <c r="AE59" s="28"/>
      <c r="AF59" s="28"/>
      <c r="AG59" s="28"/>
      <c r="AH59" s="28"/>
      <c r="AI59" s="28"/>
      <c r="AJ59" s="28"/>
      <c r="AK59" s="28"/>
      <c r="AL59" s="28"/>
      <c r="AM59" s="28"/>
      <c r="AN59" s="28"/>
      <c r="AO59" s="28"/>
      <c r="AP59" s="28"/>
      <c r="AQ59" s="67"/>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5"/>
    </row>
    <row r="60" spans="1:83" s="27" customFormat="1" ht="130.5" x14ac:dyDescent="0.3">
      <c r="A60" s="60">
        <v>7.4</v>
      </c>
      <c r="B60" s="1831"/>
      <c r="C60" s="1832" t="s">
        <v>555</v>
      </c>
      <c r="D60" s="1041" t="s">
        <v>3</v>
      </c>
      <c r="E60" s="294" t="b">
        <f>IF(D60="Compliant",TRUE,FALSE)</f>
        <v>0</v>
      </c>
      <c r="F60" s="281"/>
      <c r="G60" s="281" t="str">
        <f t="shared" si="4"/>
        <v/>
      </c>
      <c r="H60" s="281"/>
      <c r="I60" s="281"/>
      <c r="J60" s="281" t="str">
        <f>IF(L60&lt;&gt;"", "Not Blank", "")</f>
        <v/>
      </c>
      <c r="K60" s="281"/>
      <c r="L60" s="281"/>
      <c r="M60" s="287"/>
      <c r="N60" s="4415"/>
      <c r="O60" s="4492"/>
      <c r="P60" s="294"/>
      <c r="Q60" s="1060" t="s">
        <v>3</v>
      </c>
      <c r="R60" s="261" t="b">
        <f>IF(OR(Q60="Compliant",Q60="FE with work-a-round",Q60="Functionally Equivalent"),TRUE,FALSE)</f>
        <v>0</v>
      </c>
      <c r="S60" s="281"/>
      <c r="T60" s="281"/>
      <c r="U60" s="2637"/>
      <c r="V60" s="4415"/>
      <c r="W60" s="4438"/>
      <c r="X60" s="294"/>
      <c r="Y60" s="281"/>
      <c r="Z60" s="647"/>
      <c r="AA60" s="98"/>
      <c r="AB60" s="28"/>
      <c r="AC60" s="28"/>
      <c r="AD60" s="28"/>
      <c r="AE60" s="28"/>
      <c r="AF60" s="28"/>
      <c r="AG60" s="28"/>
      <c r="AH60" s="28"/>
      <c r="AI60" s="28"/>
      <c r="AJ60" s="28"/>
      <c r="AK60" s="28"/>
      <c r="AL60" s="28"/>
      <c r="AM60" s="28"/>
      <c r="AN60" s="28"/>
      <c r="AO60" s="28"/>
      <c r="AP60" s="28"/>
      <c r="AQ60" s="67"/>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5"/>
    </row>
    <row r="61" spans="1:83" s="27" customFormat="1" ht="131" thickBot="1" x14ac:dyDescent="0.35">
      <c r="A61" s="60">
        <v>7.5</v>
      </c>
      <c r="B61" s="1833"/>
      <c r="C61" s="1834" t="s">
        <v>554</v>
      </c>
      <c r="D61" s="1043" t="s">
        <v>3</v>
      </c>
      <c r="E61" s="295" t="b">
        <f>IF(D61="Compliant",TRUE,FALSE)</f>
        <v>0</v>
      </c>
      <c r="F61" s="283"/>
      <c r="G61" s="283" t="str">
        <f t="shared" si="4"/>
        <v/>
      </c>
      <c r="H61" s="283"/>
      <c r="I61" s="283"/>
      <c r="J61" s="283" t="str">
        <f>IF(L61&lt;&gt;"", "Not Blank", "")</f>
        <v/>
      </c>
      <c r="K61" s="283"/>
      <c r="L61" s="283"/>
      <c r="M61" s="289"/>
      <c r="N61" s="4490"/>
      <c r="O61" s="4658"/>
      <c r="P61" s="295"/>
      <c r="Q61" s="1901" t="s">
        <v>3</v>
      </c>
      <c r="R61" s="2647" t="b">
        <f>IF(OR(Q61="Compliant",Q61="FE with work-a-round",Q61="Functionally Equivalent"),TRUE,FALSE)</f>
        <v>0</v>
      </c>
      <c r="S61" s="283"/>
      <c r="T61" s="283"/>
      <c r="U61" s="2648"/>
      <c r="V61" s="4490"/>
      <c r="W61" s="4656"/>
      <c r="X61" s="295"/>
      <c r="Y61" s="283"/>
      <c r="Z61" s="648"/>
      <c r="AA61" s="2655"/>
      <c r="AB61" s="28"/>
      <c r="AC61" s="28"/>
      <c r="AD61" s="28"/>
      <c r="AE61" s="28"/>
      <c r="AF61" s="28"/>
      <c r="AG61" s="28"/>
      <c r="AH61" s="28"/>
      <c r="AI61" s="28"/>
      <c r="AJ61" s="28"/>
      <c r="AK61" s="28"/>
      <c r="AL61" s="28"/>
      <c r="AM61" s="28"/>
      <c r="AN61" s="28"/>
      <c r="AO61" s="28"/>
      <c r="AP61" s="28"/>
      <c r="AQ61" s="67"/>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5"/>
    </row>
    <row r="62" spans="1:83" s="27" customFormat="1" ht="44.5" thickTop="1" thickBot="1" x14ac:dyDescent="0.35">
      <c r="A62" s="60">
        <v>7.6</v>
      </c>
      <c r="B62" s="3133" t="s">
        <v>1692</v>
      </c>
      <c r="C62" s="3254" t="s">
        <v>537</v>
      </c>
      <c r="D62" s="3256" t="s">
        <v>565</v>
      </c>
      <c r="E62" s="2943" t="b">
        <f>IF(AND(E63=TRUE,E64=TRUE),TRUE,FALSE)</f>
        <v>0</v>
      </c>
      <c r="F62" s="2944">
        <f>COUNTIF(E63:E64,TRUE)</f>
        <v>0</v>
      </c>
      <c r="G62" s="2944">
        <f>COUNTIFS(E63:E64,TRUE,G63:G64,"Not Blank")</f>
        <v>0</v>
      </c>
      <c r="H62" s="2944">
        <f>COUNTIFS(E63:E64,FALSE,G63:G64,"Not Blank")</f>
        <v>0</v>
      </c>
      <c r="I62" s="2950" t="str">
        <f xml:space="preserve">
IF(F62&gt;2,"Too Many Entries - Check Red Lines",
IF(G62&lt;F62,"Valid Entry required below - Check Amber Line/s",
IF(AND(E62=FALSE,G62=0,H62=0),"Nothing Entered below Yet",
IF(G62&lt;F62,"Valid Entry required below - Check Amber Line/s",
IF(AND(G62=0,H62&gt;0),"**Non-Valid Entry/ies below - Check Yellow Line/s",
IF(AND(G62&gt;0,H62&gt;0),"**Valid and Non-Valid Entries made below - Check Yellow Line/s",
IF(AND(E62=FALSE,F62&lt;2),"Not all requirements addressed below - Check Pink Line/s",
IF(AND(E62=FALSE,G62&lt;2,G62&gt;0,H62=0),"More entries to come",
IF(AND(E62,TRUE,G62=2,H62=0),"Valid Entries made below"
)))))))))</f>
        <v>Nothing Entered below Yet</v>
      </c>
      <c r="J62" s="2950">
        <f>COUNTIFS(E63:E64,TRUE,J63:J64,"Not Blank")</f>
        <v>0</v>
      </c>
      <c r="K62" s="2950">
        <f>COUNTIFS(E63:E64,FALSE,J63:J64,"Not Blank")</f>
        <v>0</v>
      </c>
      <c r="L62" s="2950" t="str">
        <f xml:space="preserve">
IF(J62&gt;2,"Too Many Entries - Check Red Lines",
IF(J62&lt;F62,"Valid Entry required below - Check Amber Line/s",
IF(AND(E62=FALSE,J62=0,K62=0),"Nothing Entered below Yet",
IF(AND(J62=0,K62&gt;0),"**Non-Valid Entry/ies below - Check Yellow Line/s",
IF(AND(J62&gt;0,K62&gt;0),"**Valid and Non-Valid Entries made below - Check Yellow Line/s",
IF(AND(E62=FALSE,J62&lt;2),"Not all requirements addressed below - Check Pink Line/s",
IF(AND(E62=FALSE,J62&lt;2,J62&gt;0,K62=0),"More entries to come",
IF(AND(E62,TRUE,J62=2,K62=0),"Valid Entries made below"
))))))))</f>
        <v>Nothing Entered below Yet</v>
      </c>
      <c r="M62" s="2354"/>
      <c r="N62" s="4415" t="s">
        <v>3</v>
      </c>
      <c r="O62" s="4492" t="b">
        <f>IF(OR(N62="Compliant",N62="FE with work-a-round",N62="Functionally Equivalent"),TRUE,FALSE)</f>
        <v>0</v>
      </c>
      <c r="P62" s="2356"/>
      <c r="Q62" s="4177" t="s">
        <v>565</v>
      </c>
      <c r="R62" s="1444" t="b">
        <f>IF(AND(R63=TRUE,R64=TRUE),TRUE,FALSE)</f>
        <v>0</v>
      </c>
      <c r="S62" s="301"/>
      <c r="T62" s="301"/>
      <c r="U62" s="2644"/>
      <c r="V62" s="4415" t="s">
        <v>3</v>
      </c>
      <c r="W62" s="4438" t="b">
        <f>IF(OR(V62="Compliant",V62="FE with work-a-round",V62="Functionally Equivalent",V62="Not Required/Applicable"),TRUE,FALSE)</f>
        <v>0</v>
      </c>
      <c r="X62" s="315"/>
      <c r="Y62" s="301"/>
      <c r="Z62" s="957"/>
      <c r="AA62" s="2655"/>
      <c r="AB62" s="28"/>
      <c r="AC62" s="28"/>
      <c r="AD62" s="28"/>
      <c r="AE62" s="28"/>
      <c r="AF62" s="28"/>
      <c r="AG62" s="28"/>
      <c r="AH62" s="28"/>
      <c r="AI62" s="28"/>
      <c r="AJ62" s="28"/>
      <c r="AK62" s="28"/>
      <c r="AL62" s="28"/>
      <c r="AM62" s="28"/>
      <c r="AN62" s="28"/>
      <c r="AO62" s="28"/>
      <c r="AP62" s="28"/>
      <c r="AQ62" s="78"/>
      <c r="AR62" s="79"/>
      <c r="AS62" s="79"/>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5"/>
    </row>
    <row r="63" spans="1:83" s="27" customFormat="1" ht="29.5" thickTop="1" x14ac:dyDescent="0.3">
      <c r="A63" s="60"/>
      <c r="B63" s="1831"/>
      <c r="C63" s="1866" t="s">
        <v>682</v>
      </c>
      <c r="D63" s="2350" t="s">
        <v>3</v>
      </c>
      <c r="E63" s="294" t="b">
        <f>IF(D63="Compliant",TRUE,FALSE)</f>
        <v>0</v>
      </c>
      <c r="F63" s="281"/>
      <c r="G63" s="281" t="str">
        <f t="shared" si="4"/>
        <v/>
      </c>
      <c r="H63" s="281"/>
      <c r="I63" s="301"/>
      <c r="J63" s="301" t="str">
        <f>IF(L63&lt;&gt;"", "Not Blank", "")</f>
        <v/>
      </c>
      <c r="K63" s="301"/>
      <c r="L63" s="301"/>
      <c r="M63" s="329"/>
      <c r="N63" s="4415"/>
      <c r="O63" s="4492"/>
      <c r="P63" s="315"/>
      <c r="Q63" s="1135" t="s">
        <v>3</v>
      </c>
      <c r="R63" s="261" t="b">
        <f>IF(OR(Q63="Compliant",Q63="FE with work-a-round",Q63="Functionally Equivalent"),TRUE,FALSE)</f>
        <v>0</v>
      </c>
      <c r="S63" s="281"/>
      <c r="T63" s="281"/>
      <c r="U63" s="2637"/>
      <c r="V63" s="4415"/>
      <c r="W63" s="4438"/>
      <c r="X63" s="294"/>
      <c r="Y63" s="281"/>
      <c r="Z63" s="647"/>
      <c r="AA63" s="2655"/>
      <c r="AB63" s="28"/>
      <c r="AC63" s="28"/>
      <c r="AD63" s="28"/>
      <c r="AE63" s="28"/>
      <c r="AF63" s="28"/>
      <c r="AG63" s="28"/>
      <c r="AH63" s="28"/>
      <c r="AI63" s="28"/>
      <c r="AJ63" s="28"/>
      <c r="AK63" s="28"/>
      <c r="AL63" s="28"/>
      <c r="AM63" s="28"/>
      <c r="AN63" s="28"/>
      <c r="AO63" s="28"/>
      <c r="AP63" s="28"/>
      <c r="AQ63" s="67"/>
      <c r="AR63" s="44"/>
      <c r="AS63" s="44"/>
      <c r="AT63" s="67"/>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5"/>
    </row>
    <row r="64" spans="1:83" s="27" customFormat="1" ht="29.5" thickBot="1" x14ac:dyDescent="0.35">
      <c r="A64" s="60"/>
      <c r="B64" s="1833"/>
      <c r="C64" s="1834" t="s">
        <v>683</v>
      </c>
      <c r="D64" s="1043" t="s">
        <v>3</v>
      </c>
      <c r="E64" s="295" t="b">
        <f>IF(D64="Compliant",TRUE,FALSE)</f>
        <v>0</v>
      </c>
      <c r="F64" s="283"/>
      <c r="G64" s="283" t="str">
        <f t="shared" si="4"/>
        <v/>
      </c>
      <c r="H64" s="283"/>
      <c r="I64" s="283"/>
      <c r="J64" s="283" t="str">
        <f>IF(L64&lt;&gt;"", "Not Blank", "")</f>
        <v/>
      </c>
      <c r="K64" s="283"/>
      <c r="L64" s="283"/>
      <c r="M64" s="289"/>
      <c r="N64" s="4490"/>
      <c r="O64" s="4658"/>
      <c r="P64" s="295"/>
      <c r="Q64" s="1901" t="s">
        <v>3</v>
      </c>
      <c r="R64" s="2647" t="b">
        <f>IF(OR(Q64="Compliant",Q64="FE with work-a-round",Q64="Functionally Equivalent"),TRUE,FALSE)</f>
        <v>0</v>
      </c>
      <c r="S64" s="283"/>
      <c r="T64" s="283"/>
      <c r="U64" s="2648"/>
      <c r="V64" s="4490"/>
      <c r="W64" s="4656"/>
      <c r="X64" s="295"/>
      <c r="Y64" s="283"/>
      <c r="Z64" s="648"/>
      <c r="AA64" s="2655"/>
      <c r="AB64" s="28"/>
      <c r="AC64" s="28"/>
      <c r="AD64" s="28"/>
      <c r="AE64" s="28"/>
      <c r="AF64" s="28"/>
      <c r="AG64" s="28"/>
      <c r="AH64" s="28"/>
      <c r="AI64" s="28"/>
      <c r="AJ64" s="28"/>
      <c r="AK64" s="28"/>
      <c r="AL64" s="28"/>
      <c r="AM64" s="28"/>
      <c r="AN64" s="28"/>
      <c r="AO64" s="28"/>
      <c r="AP64" s="28"/>
      <c r="AQ64" s="67"/>
      <c r="AR64" s="44"/>
      <c r="AS64" s="44"/>
      <c r="AT64" s="67"/>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5"/>
    </row>
    <row r="65" spans="1:84" s="27" customFormat="1" ht="30" thickTop="1" thickBot="1" x14ac:dyDescent="0.35">
      <c r="A65" s="60">
        <v>8.1</v>
      </c>
      <c r="B65" s="3133" t="s">
        <v>456</v>
      </c>
      <c r="C65" s="2899" t="s">
        <v>1367</v>
      </c>
      <c r="D65" s="3256" t="s">
        <v>565</v>
      </c>
      <c r="E65" s="2943" t="b">
        <f>IF(AND(E66=TRUE,E67=TRUE,E68=TRUE),TRUE,FALSE)</f>
        <v>0</v>
      </c>
      <c r="F65" s="2944">
        <f>COUNTIF(E66:E68,TRUE)</f>
        <v>0</v>
      </c>
      <c r="G65" s="2944">
        <f>COUNTIFS(E66:E68,TRUE,G66:G68,"Not Blank")</f>
        <v>0</v>
      </c>
      <c r="H65" s="2944">
        <f>COUNTIFS(E66:E68,FALSE,G66:G68,"Not Blank")</f>
        <v>0</v>
      </c>
      <c r="I65" s="2950" t="str">
        <f xml:space="preserve">
IF(F65&gt;3,"Too Many Entries - Check Red Lines",
IF(G65&lt;F65,"Valid Entry required below - Check Amber Line/s",
IF(AND(E65=FALSE,G65=0,H65=0),"Nothing Entered below Yet",
IF(G65&lt;F65,"Valid Entry required below - Check Amber Line/s",
IF(AND(G65=0,H65&gt;0),"**Non-Valid Entry/ies below - Check Yellow Line/s",
IF(AND(G65&gt;0,H65&gt;0),"**Valid and Non-Valid Entries made below - Check Yellow Line/s",
IF(AND(E65=FALSE,F65&lt;3),"Not all requirements addressed below - Check Pink Line/s",
IF(AND(E65=FALSE,G65&lt;3,G65&gt;0,H65=0),"More entries to come",
IF(AND(E65,TRUE,G65=3,H65=0),"Valid Entries made below"
)))))))))</f>
        <v>Nothing Entered below Yet</v>
      </c>
      <c r="J65" s="2950">
        <f>COUNTIFS(E66:E68,TRUE,J66:J68,"Not Blank")</f>
        <v>0</v>
      </c>
      <c r="K65" s="2950">
        <f>COUNTIFS(E66:E68,FALSE,J66:J68,"Not Blank")</f>
        <v>0</v>
      </c>
      <c r="L65" s="2950" t="str">
        <f xml:space="preserve">
IF(J65&gt;3,"Too Many Entries - Check Red Lines",
IF(J65&lt;F65,"Valid Entry required below - Check Amber Line/s",
IF(AND(E65=FALSE,J65=0,K65=0),"Nothing Entered below Yet",
IF(AND(J65=0,K65&gt;0),"**Non-Valid Entry/ies below - Check Yellow Line/s",
IF(AND(J65&gt;0,K65&gt;0),"**Valid and Non-Valid Entries made below - Check Yellow Line/s",
IF(AND(E65=FALSE,J65&lt;3),"Not all requirements addressed below - Check Pink Line/s",
IF(AND(E65=FALSE,J65&lt;3,J65&gt;0,K65=0),"More entries to come",
IF(AND(E65,TRUE,J65=3,K65=0),"Valid Entries made below"
))))))))</f>
        <v>Nothing Entered below Yet</v>
      </c>
      <c r="M65" s="2357"/>
      <c r="N65" s="4415" t="s">
        <v>3</v>
      </c>
      <c r="O65" s="4492" t="b">
        <f>IF(OR(N65="Compliant",N65="FE with work-a-round",N65="Functionally Equivalent"),TRUE,FALSE)</f>
        <v>0</v>
      </c>
      <c r="P65" s="2358"/>
      <c r="Q65" s="4174" t="s">
        <v>565</v>
      </c>
      <c r="R65" s="1444" t="b">
        <f>IF(AND(R66=TRUE,R67=TRUE,R68=TRUE),TRUE,FALSE)</f>
        <v>0</v>
      </c>
      <c r="S65" s="301"/>
      <c r="T65" s="301"/>
      <c r="U65" s="2644"/>
      <c r="V65" s="4415" t="s">
        <v>3</v>
      </c>
      <c r="W65" s="4438" t="b">
        <f>IF(OR(V65="Compliant",V65="FE with work-a-round",V65="Functionally Equivalent",V65="Not Required/Applicable"),TRUE,FALSE)</f>
        <v>0</v>
      </c>
      <c r="X65" s="315"/>
      <c r="Y65" s="301"/>
      <c r="Z65" s="957"/>
      <c r="AA65" s="2655"/>
      <c r="AB65" s="28"/>
      <c r="AC65" s="28"/>
      <c r="AD65" s="28"/>
      <c r="AE65" s="28"/>
      <c r="AF65" s="28"/>
      <c r="AG65" s="28"/>
      <c r="AH65" s="28"/>
      <c r="AI65" s="28"/>
      <c r="AJ65" s="28"/>
      <c r="AK65" s="28"/>
      <c r="AL65" s="28"/>
      <c r="AM65" s="28"/>
      <c r="AN65" s="28"/>
      <c r="AO65" s="28"/>
      <c r="AP65" s="28"/>
      <c r="AQ65" s="67"/>
      <c r="AR65" s="44"/>
      <c r="AS65" s="44"/>
      <c r="AT65" s="67"/>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5"/>
    </row>
    <row r="66" spans="1:84" s="27" customFormat="1" ht="44" thickTop="1" x14ac:dyDescent="0.3">
      <c r="A66" s="60">
        <v>8.1</v>
      </c>
      <c r="B66" s="1831"/>
      <c r="C66" s="3255" t="s">
        <v>551</v>
      </c>
      <c r="D66" s="2350" t="s">
        <v>3</v>
      </c>
      <c r="E66" s="294" t="b">
        <f>IF(D66="Compliant",TRUE,FALSE)</f>
        <v>0</v>
      </c>
      <c r="F66" s="281"/>
      <c r="G66" s="281" t="str">
        <f>IF(I66&lt;&gt;"", "Not Blank", "")</f>
        <v/>
      </c>
      <c r="H66" s="281"/>
      <c r="I66" s="301"/>
      <c r="J66" s="301" t="str">
        <f>IF(L66&lt;&gt;"", "Not Blank", "")</f>
        <v/>
      </c>
      <c r="K66" s="301"/>
      <c r="L66" s="301"/>
      <c r="M66" s="956"/>
      <c r="N66" s="4415"/>
      <c r="O66" s="4492"/>
      <c r="P66" s="315"/>
      <c r="Q66" s="1863" t="s">
        <v>3</v>
      </c>
      <c r="R66" s="261" t="b">
        <f>IF(OR(Q66="Compliant",Q66="FE with work-a-round",Q66="Functionally Equivalent"),TRUE,FALSE)</f>
        <v>0</v>
      </c>
      <c r="S66" s="281"/>
      <c r="T66" s="281"/>
      <c r="U66" s="2649"/>
      <c r="V66" s="4415"/>
      <c r="W66" s="4438"/>
      <c r="X66" s="294"/>
      <c r="Y66" s="281"/>
      <c r="Z66" s="647"/>
      <c r="AA66" s="2655"/>
      <c r="AB66" s="28"/>
      <c r="AC66" s="28"/>
      <c r="AD66" s="28"/>
      <c r="AE66" s="28"/>
      <c r="AF66" s="28"/>
      <c r="AG66" s="28"/>
      <c r="AH66" s="28"/>
      <c r="AI66" s="28"/>
      <c r="AJ66" s="28"/>
      <c r="AK66" s="28"/>
      <c r="AL66" s="28"/>
      <c r="AM66" s="28"/>
      <c r="AN66" s="28"/>
      <c r="AO66" s="28"/>
      <c r="AP66" s="28"/>
      <c r="AQ66" s="67"/>
      <c r="AR66" s="44"/>
      <c r="AS66" s="44"/>
      <c r="AT66" s="67"/>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5"/>
    </row>
    <row r="67" spans="1:84" s="27" customFormat="1" ht="145" x14ac:dyDescent="0.3">
      <c r="A67" s="60">
        <v>8.1999999999999993</v>
      </c>
      <c r="B67" s="1831"/>
      <c r="C67" s="1832" t="s">
        <v>552</v>
      </c>
      <c r="D67" s="1041" t="s">
        <v>3</v>
      </c>
      <c r="E67" s="294" t="b">
        <f>IF(D67="Compliant",TRUE,FALSE)</f>
        <v>0</v>
      </c>
      <c r="F67" s="281"/>
      <c r="G67" s="281"/>
      <c r="H67" s="281"/>
      <c r="I67" s="281"/>
      <c r="J67" s="281" t="str">
        <f>IF(L67&lt;&gt;"", "Not Blank", "")</f>
        <v/>
      </c>
      <c r="K67" s="281"/>
      <c r="L67" s="281"/>
      <c r="M67" s="949"/>
      <c r="N67" s="4415"/>
      <c r="O67" s="4492"/>
      <c r="P67" s="294"/>
      <c r="Q67" s="1060" t="s">
        <v>3</v>
      </c>
      <c r="R67" s="261" t="b">
        <f>IF(OR(Q67="Compliant",Q67="FE with work-a-round",Q67="Functionally Equivalent"),TRUE,FALSE)</f>
        <v>0</v>
      </c>
      <c r="S67" s="281"/>
      <c r="T67" s="281"/>
      <c r="U67" s="2649"/>
      <c r="V67" s="4415"/>
      <c r="W67" s="4438"/>
      <c r="X67" s="294"/>
      <c r="Y67" s="281"/>
      <c r="Z67" s="647"/>
      <c r="AA67" s="2655"/>
      <c r="AB67" s="28"/>
      <c r="AC67" s="28"/>
      <c r="AD67" s="28"/>
      <c r="AE67" s="28"/>
      <c r="AF67" s="28"/>
      <c r="AG67" s="28"/>
      <c r="AH67" s="28"/>
      <c r="AI67" s="28"/>
      <c r="AJ67" s="28"/>
      <c r="AK67" s="28"/>
      <c r="AL67" s="28"/>
      <c r="AM67" s="28"/>
      <c r="AN67" s="28"/>
      <c r="AO67" s="28"/>
      <c r="AP67" s="28"/>
      <c r="AQ67" s="67"/>
      <c r="AR67" s="44"/>
      <c r="AS67" s="44"/>
      <c r="AT67" s="67"/>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5"/>
    </row>
    <row r="68" spans="1:84" s="27" customFormat="1" ht="174.5" thickBot="1" x14ac:dyDescent="0.35">
      <c r="A68" s="60"/>
      <c r="B68" s="1833"/>
      <c r="C68" s="1834" t="s">
        <v>553</v>
      </c>
      <c r="D68" s="1043" t="s">
        <v>3</v>
      </c>
      <c r="E68" s="295" t="b">
        <f>IF(D68="Compliant",TRUE,FALSE)</f>
        <v>0</v>
      </c>
      <c r="F68" s="283"/>
      <c r="G68" s="283"/>
      <c r="H68" s="283"/>
      <c r="I68" s="283"/>
      <c r="J68" s="283" t="str">
        <f>IF(L68&lt;&gt;"", "Not Blank", "")</f>
        <v/>
      </c>
      <c r="K68" s="283"/>
      <c r="L68" s="283"/>
      <c r="M68" s="950"/>
      <c r="N68" s="4416"/>
      <c r="O68" s="4493"/>
      <c r="P68" s="295"/>
      <c r="Q68" s="1017" t="s">
        <v>3</v>
      </c>
      <c r="R68" s="261" t="b">
        <f>IF(OR(Q68="Compliant",Q68="FE with work-a-round",Q68="Functionally Equivalent"),TRUE,FALSE)</f>
        <v>0</v>
      </c>
      <c r="S68" s="283"/>
      <c r="T68" s="283"/>
      <c r="U68" s="2650"/>
      <c r="V68" s="4416"/>
      <c r="W68" s="4439"/>
      <c r="X68" s="295"/>
      <c r="Y68" s="283"/>
      <c r="Z68" s="648"/>
      <c r="AA68" s="2655"/>
      <c r="AB68" s="28"/>
      <c r="AC68" s="28"/>
      <c r="AD68" s="28"/>
      <c r="AE68" s="28"/>
      <c r="AF68" s="28"/>
      <c r="AG68" s="28"/>
      <c r="AH68" s="28"/>
      <c r="AI68" s="28"/>
      <c r="AJ68" s="28"/>
      <c r="AK68" s="28"/>
      <c r="AL68" s="28"/>
      <c r="AM68" s="28"/>
      <c r="AN68" s="28"/>
      <c r="AO68" s="28"/>
      <c r="AP68" s="28"/>
      <c r="AQ68" s="67"/>
      <c r="AR68" s="44"/>
      <c r="AS68" s="44"/>
      <c r="AT68" s="67"/>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5"/>
    </row>
    <row r="69" spans="1:84" s="3668" customFormat="1" ht="15" thickTop="1" x14ac:dyDescent="0.3">
      <c r="A69" s="3651"/>
      <c r="B69" s="3634"/>
      <c r="C69" s="3634"/>
      <c r="D69" s="3634"/>
      <c r="E69" s="3636"/>
      <c r="F69" s="3636"/>
      <c r="G69" s="3662"/>
      <c r="H69" s="3663"/>
      <c r="I69" s="3664"/>
      <c r="J69" s="3643"/>
      <c r="K69" s="3643"/>
      <c r="L69" s="3634"/>
      <c r="M69" s="3634"/>
      <c r="N69" s="3641"/>
      <c r="O69" s="3641"/>
      <c r="P69" s="3634"/>
      <c r="Q69" s="3634"/>
      <c r="R69" s="3634"/>
      <c r="S69" s="3634"/>
      <c r="T69" s="3634"/>
      <c r="U69" s="3634"/>
      <c r="V69" s="3639"/>
      <c r="W69" s="3639"/>
      <c r="X69" s="3634"/>
      <c r="Y69" s="3634"/>
      <c r="Z69" s="3634"/>
      <c r="AA69" s="3634"/>
      <c r="AB69" s="3634"/>
      <c r="AC69" s="3634"/>
      <c r="AD69" s="3634"/>
      <c r="AE69" s="3634"/>
      <c r="AF69" s="3634"/>
      <c r="AG69" s="3634"/>
      <c r="AH69" s="3634"/>
      <c r="AI69" s="3634"/>
      <c r="AJ69" s="3634"/>
      <c r="AK69" s="3634"/>
      <c r="AL69" s="3634"/>
      <c r="AM69" s="3634"/>
      <c r="AN69" s="3634"/>
      <c r="AO69" s="3634"/>
      <c r="AP69" s="3634"/>
      <c r="AQ69" s="3666"/>
      <c r="AR69" s="3667"/>
      <c r="AS69" s="3667"/>
      <c r="AT69" s="3634"/>
      <c r="AU69" s="3634"/>
      <c r="AV69" s="3634"/>
      <c r="AW69" s="3634"/>
      <c r="AX69" s="3634"/>
      <c r="AY69" s="3634"/>
      <c r="AZ69" s="3634"/>
      <c r="BA69" s="3634"/>
      <c r="BB69" s="3634"/>
      <c r="BC69" s="3634"/>
      <c r="BD69" s="3634"/>
      <c r="BE69" s="3634"/>
      <c r="BF69" s="3634"/>
      <c r="BG69" s="3634"/>
      <c r="BH69" s="3634"/>
      <c r="BI69" s="3634"/>
      <c r="BJ69" s="3634"/>
      <c r="BK69" s="3634"/>
      <c r="BL69" s="3634"/>
      <c r="BM69" s="3634"/>
      <c r="BN69" s="3634"/>
      <c r="BO69" s="3634"/>
      <c r="BP69" s="3634"/>
      <c r="BQ69" s="3634"/>
      <c r="BR69" s="3634"/>
      <c r="BS69" s="3634"/>
      <c r="BT69" s="3634"/>
      <c r="BU69" s="3634"/>
      <c r="BV69" s="3634"/>
      <c r="BW69" s="3634"/>
      <c r="BX69" s="3634"/>
      <c r="BY69" s="3634"/>
      <c r="BZ69" s="3634"/>
      <c r="CA69" s="3634"/>
      <c r="CB69" s="3634"/>
      <c r="CC69" s="3634"/>
      <c r="CD69" s="3634"/>
      <c r="CE69" s="3634"/>
      <c r="CF69" s="3634"/>
    </row>
    <row r="70" spans="1:84" s="3640" customFormat="1" ht="18.5" x14ac:dyDescent="0.3">
      <c r="A70" s="4482" t="s">
        <v>1139</v>
      </c>
      <c r="B70" s="4483"/>
      <c r="C70" s="4483"/>
      <c r="D70" s="4483"/>
      <c r="E70" s="4483"/>
      <c r="F70" s="4483"/>
      <c r="G70" s="4483"/>
      <c r="H70" s="4483"/>
      <c r="I70" s="4483"/>
      <c r="J70" s="4483"/>
      <c r="K70" s="4483"/>
      <c r="L70" s="4483"/>
      <c r="M70" s="4483"/>
      <c r="N70" s="4483"/>
      <c r="O70" s="3669"/>
      <c r="P70" s="3670"/>
      <c r="Q70" s="3670"/>
      <c r="R70" s="3670"/>
      <c r="S70" s="3671"/>
      <c r="T70" s="3672"/>
      <c r="U70" s="3672"/>
      <c r="V70" s="3673"/>
      <c r="W70" s="3673"/>
      <c r="X70" s="3674"/>
      <c r="Y70" s="3675"/>
      <c r="Z70" s="3676"/>
    </row>
    <row r="71" spans="1:84" s="3678" customFormat="1" ht="15" thickBot="1" x14ac:dyDescent="0.35">
      <c r="A71" s="3634"/>
      <c r="B71" s="3634"/>
      <c r="C71" s="3634"/>
      <c r="D71" s="3634"/>
      <c r="E71" s="3636"/>
      <c r="F71" s="3636"/>
      <c r="G71" s="3662"/>
      <c r="H71" s="3663"/>
      <c r="I71" s="3634"/>
      <c r="J71" s="3643"/>
      <c r="K71" s="3643"/>
      <c r="L71" s="3634"/>
      <c r="M71" s="3634"/>
      <c r="N71" s="3641"/>
      <c r="O71" s="3641"/>
      <c r="P71" s="3634"/>
      <c r="Q71" s="3634"/>
      <c r="R71" s="3634"/>
      <c r="S71" s="3634"/>
      <c r="T71" s="3634"/>
      <c r="U71" s="3634"/>
      <c r="V71" s="3639"/>
      <c r="W71" s="3639"/>
      <c r="X71" s="3634"/>
      <c r="Y71" s="3634"/>
      <c r="Z71" s="3634"/>
      <c r="AA71" s="3677"/>
      <c r="AB71" s="3634"/>
      <c r="AC71" s="3634"/>
      <c r="AD71" s="3634"/>
      <c r="AE71" s="3634"/>
      <c r="AF71" s="3634"/>
      <c r="AG71" s="3634"/>
      <c r="AH71" s="3634"/>
      <c r="AI71" s="3634"/>
      <c r="AJ71" s="3634"/>
      <c r="AK71" s="3634"/>
      <c r="AL71" s="3634"/>
      <c r="AM71" s="3634"/>
      <c r="AN71" s="3634"/>
      <c r="AO71" s="3634"/>
      <c r="AP71" s="3634"/>
      <c r="AQ71" s="3677"/>
      <c r="AR71" s="3677"/>
      <c r="AS71" s="3677"/>
      <c r="AT71" s="3634"/>
      <c r="AU71" s="3634"/>
      <c r="AV71" s="3634"/>
      <c r="AW71" s="3634"/>
      <c r="AX71" s="3634"/>
      <c r="AY71" s="3634"/>
      <c r="AZ71" s="3634"/>
      <c r="BA71" s="3634"/>
      <c r="BB71" s="3634"/>
      <c r="BC71" s="3634"/>
      <c r="BD71" s="3634"/>
      <c r="BE71" s="3634"/>
      <c r="BF71" s="3634"/>
      <c r="BG71" s="3634"/>
      <c r="BH71" s="3634"/>
      <c r="BI71" s="3634"/>
      <c r="BJ71" s="3634"/>
      <c r="BK71" s="3634"/>
      <c r="BL71" s="3634"/>
      <c r="BM71" s="3634"/>
      <c r="BN71" s="3634"/>
      <c r="BO71" s="3634"/>
      <c r="BP71" s="3634"/>
      <c r="BQ71" s="3634"/>
      <c r="BR71" s="3634"/>
      <c r="BS71" s="3634"/>
      <c r="BT71" s="3634"/>
      <c r="BU71" s="3634"/>
      <c r="BV71" s="3634"/>
      <c r="BW71" s="3634"/>
      <c r="BX71" s="3634"/>
      <c r="BY71" s="3634"/>
      <c r="BZ71" s="3634"/>
      <c r="CA71" s="3634"/>
      <c r="CB71" s="3634"/>
      <c r="CC71" s="3634"/>
      <c r="CD71" s="3634"/>
      <c r="CE71" s="3634"/>
      <c r="CF71" s="3634"/>
    </row>
    <row r="72" spans="1:84" s="650" customFormat="1" ht="30" thickTop="1" thickBot="1" x14ac:dyDescent="0.35">
      <c r="A72" s="204"/>
      <c r="B72" s="1907" t="s">
        <v>1369</v>
      </c>
      <c r="C72" s="1709" t="s">
        <v>1370</v>
      </c>
      <c r="D72" s="1640" t="s">
        <v>565</v>
      </c>
      <c r="E72" s="578" t="b">
        <f>IF(AND(E73=TRUE,E77=TRUE),TRUE,FALSE)</f>
        <v>0</v>
      </c>
      <c r="F72" s="568">
        <f>SUM(F73,F77)</f>
        <v>0</v>
      </c>
      <c r="G72" s="3257">
        <f>SUM(G73,G77)</f>
        <v>0</v>
      </c>
      <c r="H72" s="3258">
        <f>SUM(H73,H77)</f>
        <v>0</v>
      </c>
      <c r="I72" s="1642" t="str">
        <f xml:space="preserve">
IF(F72&gt;26,"Too Many Entries - Check Red Lines",
IF(G72&lt;F72,"Valid Entry required below - Check Amber Line/s",
IF(AND(E72=FALSE,G72=0,H72=0),"Nothing Entered below Yet",
IF(G72&lt;F72,"Valid Entry required below - Check Amber Line/s",
IF(AND(G72=0,H72&gt;0),"**Non-Valid Entry/ies below - Check Yellow Line/s",
IF(AND(G72&gt;0,H72&gt;0),"**Valid and Non-Valid Entries made below - Check Yellow Line/s",
IF(AND(E72=FALSE,F72&lt;26),"Not all requirements addressed below - Check Pink Line/s",
IF(AND(E72=FALSE,G72&lt;26,G72&gt;0,H72=0),"More entries to come",
IF(AND(E72,TRUE,G72=26,H72=0),"Valid Entries made below"
)))))))))</f>
        <v>Nothing Entered below Yet</v>
      </c>
      <c r="J72" s="1643">
        <f>SUM(J73,J77)</f>
        <v>0</v>
      </c>
      <c r="K72" s="1643">
        <f>SUM(K73,K77)</f>
        <v>0</v>
      </c>
      <c r="L72" s="1642" t="str">
        <f xml:space="preserve">
IF(J72&gt;26,"Too Many Entries - Check Red Lines",
IF(J72&lt;F72,"Valid Entry required below - Check Amber Line/s",
IF(AND(E72=FALSE,J72=0,K72=0),"Nothing Entered below Yet",
IF(AND(J72=0,K72&gt;0),"**Non-Valid Entry/ies below - Check Yellow Line/s",
IF(AND(J72&gt;0,K72&gt;0),"**Valid and Non-Valid Entries made below - Check Yellow Line/s",
IF(AND(E72=FALSE,J72&lt;26),"Not all requirements addressed below - Check Pink Line/s",
IF(AND(E72=FALSE,J72&lt;26,J72&gt;0,K72=0),"More entries to come",
IF(AND(E72,TRUE,J72=26,K72=0),"Valid Entries made below"
))))))))</f>
        <v>Nothing Entered below Yet</v>
      </c>
      <c r="M72" s="337"/>
      <c r="N72" s="4138" t="s">
        <v>565</v>
      </c>
      <c r="O72" s="132" t="b">
        <f>IF(AND(O73=TRUE,O77=TRUE),TRUE,FALSE)</f>
        <v>0</v>
      </c>
      <c r="P72" s="337"/>
      <c r="Q72" s="4171" t="s">
        <v>565</v>
      </c>
      <c r="R72" s="892" t="b">
        <f>IF(AND(R73=TRUE,R77=TRUE),TRUE,FALSE)</f>
        <v>0</v>
      </c>
      <c r="S72" s="336"/>
      <c r="T72" s="336"/>
      <c r="U72" s="337"/>
      <c r="V72" s="4138" t="s">
        <v>565</v>
      </c>
      <c r="W72" s="1565" t="b">
        <f>IF(AND(W73=TRUE,W77=TRUE),TRUE,FALSE)</f>
        <v>0</v>
      </c>
      <c r="X72" s="418"/>
      <c r="Y72" s="418"/>
      <c r="Z72" s="809"/>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row>
    <row r="73" spans="1:84" s="27" customFormat="1" ht="29.5" thickTop="1" x14ac:dyDescent="0.3">
      <c r="A73" s="28">
        <v>8.5</v>
      </c>
      <c r="B73" s="1907" t="s">
        <v>1691</v>
      </c>
      <c r="C73" s="2215" t="s">
        <v>991</v>
      </c>
      <c r="D73" s="1645" t="s">
        <v>565</v>
      </c>
      <c r="E73" s="3259" t="b">
        <f>IF(AND(E74=TRUE,E75=TRUE,E76=TRUE),TRUE,FALSE)</f>
        <v>0</v>
      </c>
      <c r="F73" s="157">
        <f>COUNTIF(E74:E76,TRUE)</f>
        <v>0</v>
      </c>
      <c r="G73" s="381">
        <f>COUNTIFS(E74:E76,TRUE,G74:G76,"Not Blank")</f>
        <v>0</v>
      </c>
      <c r="H73" s="380">
        <f>COUNTIFS(E74:E76,FALSE,G74:G76,"Not Blank")</f>
        <v>0</v>
      </c>
      <c r="I73" s="2155" t="str">
        <f xml:space="preserve">
IF(F73&gt;3,"Too Many Entries - Check Red Lines",
IF(G73&lt;F73,"Valid Entry required below - Check Amber Line/s",
IF(AND(E73=FALSE,G73=0,H73=0),"Nothing Entered below Yet",
IF(G73&lt;F73,"Valid Entry required below - Check Amber Line/s",
IF(AND(G73=0,H73&gt;0),"**Non-Valid Entry/ies below - Check Yellow Line/s",
IF(AND(G73&gt;0,H73&gt;0),"**Valid and Non-Valid Entries made below - Check Yellow Line/s",
IF(AND(E73=FALSE,F73&lt;3),"Not all requirements addressed below - Check Pink Line/s",
IF(AND(E73=FALSE,G73&lt;3,G73&gt;0,H73=0),"More entries to come",
IF(AND(E73,TRUE,G73=3,H73=0),"Valid Entries made below"
)))))))))</f>
        <v>Nothing Entered below Yet</v>
      </c>
      <c r="J73" s="1692">
        <f>COUNTIFS(E74:E76,TRUE,J74:J76,"Not Blank")</f>
        <v>0</v>
      </c>
      <c r="K73" s="1692">
        <f>COUNTIFS(E74:E76,FALSE,J74:J76,"Not Blank")</f>
        <v>0</v>
      </c>
      <c r="L73" s="2155" t="str">
        <f xml:space="preserve">
IF(J73&gt;3,"Too Many Entries - Check Red Lines",
IF(J73&lt;F73,"Valid Entry required below - Check Amber Line/s",
IF(AND(E73=FALSE,J73=0,K73=0),"Nothing Entered below Yet",
IF(AND(J73=0,K73&gt;0),"**Non-Valid Entry/ies below - Check Yellow Line/s",
IF(AND(J73&gt;0,K73&gt;0),"**Valid and Non-Valid Entries made below - Check Yellow Line/s",
IF(AND(E73=FALSE,J73&lt;3),"Not all requirements addressed below - Check Pink Line/s",
IF(AND(E73=FALSE,J73&lt;3,J73&gt;0,K73=0),"More entries to come",
IF(AND(E73,TRUE,J73=3,K73=0),"Valid Entries made below"
))))))))</f>
        <v>Nothing Entered below Yet</v>
      </c>
      <c r="M73" s="2176"/>
      <c r="N73" s="4414" t="s">
        <v>3</v>
      </c>
      <c r="O73" s="4535" t="b">
        <f>IF(OR(N73="Compliant",N73="FE with work-a-round",N73="Functionally Equivalent"),TRUE,FALSE)</f>
        <v>0</v>
      </c>
      <c r="P73" s="128"/>
      <c r="Q73" s="4138" t="s">
        <v>565</v>
      </c>
      <c r="R73" s="1444" t="b">
        <f>IF(AND(R74=TRUE,R75=TRUE,R76=TRUE),TRUE,FALSE)</f>
        <v>0</v>
      </c>
      <c r="S73" s="301"/>
      <c r="T73" s="301"/>
      <c r="U73" s="2644"/>
      <c r="V73" s="4652" t="s">
        <v>3</v>
      </c>
      <c r="W73" s="4437" t="b">
        <f>IF(OR(V73="Compliant",V73="FE with work-a-round",V73="Functionally Equivalent",V73="Not Required/Applicable"),TRUE,FALSE)</f>
        <v>0</v>
      </c>
      <c r="X73" s="111"/>
      <c r="Y73" s="111"/>
      <c r="Z73" s="12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29" x14ac:dyDescent="0.3">
      <c r="A74" s="28" t="s">
        <v>1110</v>
      </c>
      <c r="B74" s="1504"/>
      <c r="C74" s="2167" t="s">
        <v>1001</v>
      </c>
      <c r="D74" s="2274" t="s">
        <v>3</v>
      </c>
      <c r="E74" s="594" t="b">
        <f>IF(D74="Compliant",TRUE,FALSE)</f>
        <v>0</v>
      </c>
      <c r="F74" s="361"/>
      <c r="G74" s="1405" t="str">
        <f>IF(I74&lt;&gt;"", "Not Blank", "")</f>
        <v/>
      </c>
      <c r="H74" s="1403"/>
      <c r="I74" s="42"/>
      <c r="J74" s="216" t="str">
        <f>IF(L74&lt;&gt;"", "Not Blank", "")</f>
        <v/>
      </c>
      <c r="K74" s="216"/>
      <c r="L74" s="42"/>
      <c r="M74" s="144"/>
      <c r="N74" s="4415"/>
      <c r="O74" s="4441"/>
      <c r="P74" s="122"/>
      <c r="Q74" s="2214" t="s">
        <v>3</v>
      </c>
      <c r="R74" s="261" t="b">
        <f>IF(OR(Q74="Compliant",Q74="FE with work-a-round",Q74="Functionally Equivalent"),TRUE,FALSE)</f>
        <v>0</v>
      </c>
      <c r="S74" s="44"/>
      <c r="T74" s="44"/>
      <c r="U74" s="68"/>
      <c r="V74" s="4653"/>
      <c r="W74" s="4438"/>
      <c r="X74" s="44"/>
      <c r="Y74" s="44"/>
      <c r="Z74" s="122"/>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38" customFormat="1" ht="72.5" x14ac:dyDescent="0.3">
      <c r="A75" s="28"/>
      <c r="B75" s="1504"/>
      <c r="C75" s="1717" t="s">
        <v>1092</v>
      </c>
      <c r="D75" s="554" t="s">
        <v>3</v>
      </c>
      <c r="E75" s="594" t="b">
        <f>IF(D75="Compliant",TRUE,FALSE)</f>
        <v>0</v>
      </c>
      <c r="F75" s="361"/>
      <c r="G75" s="1405" t="str">
        <f>IF(I75&lt;&gt;"", "Not Blank", "")</f>
        <v/>
      </c>
      <c r="H75" s="1403"/>
      <c r="I75" s="44"/>
      <c r="J75" s="216" t="str">
        <f>IF(L75&lt;&gt;"", "Not Blank", "")</f>
        <v/>
      </c>
      <c r="K75" s="216"/>
      <c r="L75" s="44"/>
      <c r="M75" s="68"/>
      <c r="N75" s="4415"/>
      <c r="O75" s="4441"/>
      <c r="P75" s="122"/>
      <c r="Q75" s="1060" t="s">
        <v>3</v>
      </c>
      <c r="R75" s="261" t="b">
        <f>IF(OR(Q75="Compliant",Q75="FE with work-a-round",Q75="Functionally Equivalent"),TRUE,FALSE)</f>
        <v>0</v>
      </c>
      <c r="S75" s="44"/>
      <c r="T75" s="44"/>
      <c r="U75" s="68"/>
      <c r="V75" s="4653"/>
      <c r="W75" s="4438"/>
      <c r="X75" s="44"/>
      <c r="Y75" s="44"/>
      <c r="Z75" s="122"/>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1579" customFormat="1" ht="203.5" thickBot="1" x14ac:dyDescent="0.35">
      <c r="A76" s="1383" t="s">
        <v>1107</v>
      </c>
      <c r="B76" s="1504"/>
      <c r="C76" s="1800" t="s">
        <v>1841</v>
      </c>
      <c r="D76" s="567" t="s">
        <v>3</v>
      </c>
      <c r="E76" s="595" t="b">
        <f>IF(D76="Compliant",TRUE,FALSE)</f>
        <v>0</v>
      </c>
      <c r="F76" s="258"/>
      <c r="G76" s="218" t="str">
        <f>IF(I76&lt;&gt;"", "Not Blank", "")</f>
        <v/>
      </c>
      <c r="H76" s="124"/>
      <c r="I76" s="79"/>
      <c r="J76" s="79" t="str">
        <f>IF(L76&lt;&gt;"", "Not Blank", "")</f>
        <v/>
      </c>
      <c r="K76" s="79"/>
      <c r="L76" s="79"/>
      <c r="M76" s="143"/>
      <c r="N76" s="4416"/>
      <c r="O76" s="4442"/>
      <c r="P76" s="1578"/>
      <c r="Q76" s="1017" t="s">
        <v>3</v>
      </c>
      <c r="R76" s="718" t="b">
        <f>IF(OR(Q76="Compliant",Q76="FE with work-a-round",Q76="Functionally Equivalent"),TRUE,FALSE)</f>
        <v>0</v>
      </c>
      <c r="S76" s="2651"/>
      <c r="T76" s="2651"/>
      <c r="U76" s="2652"/>
      <c r="V76" s="4654"/>
      <c r="W76" s="4439"/>
      <c r="X76" s="1577"/>
      <c r="Y76" s="1577"/>
      <c r="Z76" s="1578"/>
    </row>
    <row r="77" spans="1:84" s="1453" customFormat="1" ht="47.5" thickTop="1" thickBot="1" x14ac:dyDescent="0.35">
      <c r="A77" s="1419"/>
      <c r="B77" s="1907" t="s">
        <v>1690</v>
      </c>
      <c r="C77" s="2021" t="s">
        <v>1186</v>
      </c>
      <c r="D77" s="1499" t="s">
        <v>565</v>
      </c>
      <c r="E77" s="1691" t="b">
        <f>IF(AND(E78=TRUE,E79=TRUE,E80=TRUE,E81=TRUE,E82=TRUE,E83=TRUE,E84=TRUE,E85=TRUE,E86=TRUE,E87=TRUE,E88=TRUE,E89=TRUE,E90=TRUE,E91=TRUE,E92=TRUE,E93=TRUE,E94=TRUE,E95=TRUE,E96=TRUE,E97=TRUE,E98=TRUE,E99=TRUE,E100=TRUE),TRUE,FALSE)</f>
        <v>0</v>
      </c>
      <c r="F77" s="398">
        <f>COUNTIF(E78:E100,TRUE)</f>
        <v>0</v>
      </c>
      <c r="G77" s="450">
        <f>COUNTIFS(E78:E100,TRUE,G78:G100,"Not Blank")</f>
        <v>0</v>
      </c>
      <c r="H77" s="3260">
        <f>COUNTIFS(E78:E100,FALSE,G78:G100,"Not Blank")</f>
        <v>0</v>
      </c>
      <c r="I77" s="2288" t="str">
        <f xml:space="preserve">
IF(F77&gt;23,"Too Many Entries - Check Red Lines",
IF(G77&lt;F77,"Valid Entry required below - Check Amber Line/s",
IF(AND(E77=FALSE,G77=0,H77=0),"Nothing Entered below Yet",
IF(G77&lt;F77,"Valid Entry required below - Check Amber Line/s",
IF(AND(G77=0,H77&gt;0),"**Non-Valid Entry/ies below - Check Yellow Line/s",
IF(AND(G77&gt;0,H77&gt;0),"**Valid and Non-Valid Entries made below - Check Yellow Line/s",
IF(AND(E77=FALSE,F77&lt;23),"Not all requirements addressed below - Check Pink Line/s",
IF(AND(E77=FALSE,G77&lt;23,G77&gt;0,H77=0),"More entries to come",
IF(AND(E77,TRUE,G77=23,H77=0),"Valid Entries made below"
)))))))))</f>
        <v>Nothing Entered below Yet</v>
      </c>
      <c r="J77" s="1498">
        <f>COUNTIFS(E78:E100,TRUE,J78:J100,"Not Blank")</f>
        <v>0</v>
      </c>
      <c r="K77" s="1498">
        <f>COUNTIFS(E78:E100,FALSE,J78:J100,"Not Blank")</f>
        <v>0</v>
      </c>
      <c r="L77" s="1497" t="str">
        <f xml:space="preserve">
IF(J77&gt;23,"Too Many Entries - Check Red Lines",
IF(J77&lt;F77,"Valid Entry required below - Check Amber Line/s",
IF(AND(E77=FALSE,J77=0,K77=0),"Nothing Entered below Yet",
IF(AND(J77=0,K77&gt;0),"**Non-Valid Entry/ies below - Check Yellow Line/s",
IF(AND(J77&gt;0,K77&gt;0),"**Valid and Non-Valid Entries made below - Check Yellow Line/s",
IF(AND(E77=FALSE,J77&lt;23),"Not all requirements addressed below - Check Pink Line/s",
IF(AND(E77=FALSE,J77&lt;23,J77&gt;0,K77=0),"More entries to come",
IF(AND(E77,TRUE,J77=23,K77=0),"Valid Entries made below"
))))))))</f>
        <v>Nothing Entered below Yet</v>
      </c>
      <c r="M77" s="134"/>
      <c r="N77" s="4414" t="s">
        <v>3</v>
      </c>
      <c r="O77" s="4530" t="b">
        <f>IF(OR(N77="Compliant",N77="FE with work-a-round",N77="Functionally Equivalent"),TRUE,FALSE)</f>
        <v>0</v>
      </c>
      <c r="P77" s="215"/>
      <c r="Q77" s="4171" t="s">
        <v>565</v>
      </c>
      <c r="R77" s="773" t="b">
        <f>IF(AND(R78=TRUE,R79=TRUE,R80=TRUE,R81=TRUE,R82=TRUE,R83=TRUE,R84=TRUE,R85=TRUE,R86=TRUE,R87=TRUE,R88=TRUE,R89=TRUE,R90=TRUE,R91=TRUE,R92=TRUE,R93=TRUE,R94=TRUE,R95=TRUE,R96=TRUE,R97=TRUE,R98=TRUE,R99=TRUE,R100=TRUE),TRUE,FALSE)</f>
        <v>0</v>
      </c>
      <c r="S77" s="499"/>
      <c r="T77" s="499"/>
      <c r="U77" s="2653"/>
      <c r="V77" s="4652" t="s">
        <v>3</v>
      </c>
      <c r="W77" s="4437" t="b">
        <f>IF(OR(V77="Compliant",V77="FE with work-a-round",V77="Functionally Equivalent",V77="Not Required/Applicable"),TRUE,FALSE)</f>
        <v>0</v>
      </c>
      <c r="X77" s="1452"/>
      <c r="Y77" s="1452"/>
      <c r="Z77" s="1450"/>
    </row>
    <row r="78" spans="1:84" s="1453" customFormat="1" ht="29.5" thickTop="1" x14ac:dyDescent="0.3">
      <c r="A78" s="1419"/>
      <c r="B78" s="1504"/>
      <c r="C78" s="1806" t="s">
        <v>91</v>
      </c>
      <c r="D78" s="2241" t="s">
        <v>3</v>
      </c>
      <c r="E78" s="594" t="b">
        <f t="shared" ref="E78:E100" si="5">IF(D78="Compliant",TRUE,FALSE)</f>
        <v>0</v>
      </c>
      <c r="F78" s="361"/>
      <c r="G78" s="1403" t="str">
        <f t="shared" ref="G78:G98" si="6">IF(I78&lt;&gt;"", "Not Blank", "")</f>
        <v/>
      </c>
      <c r="H78" s="1403"/>
      <c r="I78" s="42"/>
      <c r="J78" s="391" t="str">
        <f t="shared" ref="J78:J100" si="7">IF(L78&lt;&gt;"", "Not Blank", "")</f>
        <v/>
      </c>
      <c r="K78" s="391"/>
      <c r="L78" s="42"/>
      <c r="M78" s="144"/>
      <c r="N78" s="4415"/>
      <c r="O78" s="4530"/>
      <c r="P78" s="2654"/>
      <c r="Q78" s="1863" t="s">
        <v>3</v>
      </c>
      <c r="R78" s="574" t="b">
        <f t="shared" ref="R78:R100" si="8">IF(OR(Q78="Compliant",Q78="FE with work-a-round",Q78="Functionally Equivalent"),TRUE,FALSE)</f>
        <v>0</v>
      </c>
      <c r="S78" s="1455"/>
      <c r="T78" s="1455"/>
      <c r="U78" s="1454"/>
      <c r="V78" s="4653"/>
      <c r="W78" s="4438"/>
      <c r="X78" s="1455"/>
      <c r="Y78" s="1455"/>
      <c r="Z78" s="1454"/>
    </row>
    <row r="79" spans="1:84" s="1453" customFormat="1" ht="29" x14ac:dyDescent="0.3">
      <c r="A79" s="1419"/>
      <c r="B79" s="1504"/>
      <c r="C79" s="1717" t="s">
        <v>92</v>
      </c>
      <c r="D79" s="554" t="s">
        <v>3</v>
      </c>
      <c r="E79" s="594" t="b">
        <f t="shared" si="5"/>
        <v>0</v>
      </c>
      <c r="F79" s="361"/>
      <c r="G79" s="1403" t="str">
        <f t="shared" si="6"/>
        <v/>
      </c>
      <c r="H79" s="1403"/>
      <c r="I79" s="44"/>
      <c r="J79" s="216" t="str">
        <f t="shared" si="7"/>
        <v/>
      </c>
      <c r="K79" s="216"/>
      <c r="L79" s="44"/>
      <c r="M79" s="68"/>
      <c r="N79" s="4415"/>
      <c r="O79" s="4530"/>
      <c r="P79" s="1455"/>
      <c r="Q79" s="1060" t="s">
        <v>3</v>
      </c>
      <c r="R79" s="574" t="b">
        <f t="shared" si="8"/>
        <v>0</v>
      </c>
      <c r="S79" s="1455"/>
      <c r="T79" s="1455"/>
      <c r="U79" s="1454"/>
      <c r="V79" s="4653"/>
      <c r="W79" s="4438"/>
      <c r="X79" s="1455"/>
      <c r="Y79" s="1455"/>
      <c r="Z79" s="1454"/>
    </row>
    <row r="80" spans="1:84" s="1453" customFormat="1" ht="29" x14ac:dyDescent="0.3">
      <c r="A80" s="1419"/>
      <c r="B80" s="1504"/>
      <c r="C80" s="1717" t="s">
        <v>94</v>
      </c>
      <c r="D80" s="554" t="s">
        <v>3</v>
      </c>
      <c r="E80" s="594" t="b">
        <f t="shared" si="5"/>
        <v>0</v>
      </c>
      <c r="F80" s="361"/>
      <c r="G80" s="1403" t="str">
        <f t="shared" si="6"/>
        <v/>
      </c>
      <c r="H80" s="1403"/>
      <c r="I80" s="44"/>
      <c r="J80" s="216" t="str">
        <f t="shared" si="7"/>
        <v/>
      </c>
      <c r="K80" s="216"/>
      <c r="L80" s="44"/>
      <c r="M80" s="68"/>
      <c r="N80" s="4415"/>
      <c r="O80" s="4530"/>
      <c r="P80" s="1455"/>
      <c r="Q80" s="1060" t="s">
        <v>3</v>
      </c>
      <c r="R80" s="574" t="b">
        <f t="shared" si="8"/>
        <v>0</v>
      </c>
      <c r="S80" s="1455"/>
      <c r="T80" s="1455"/>
      <c r="U80" s="1454"/>
      <c r="V80" s="4653"/>
      <c r="W80" s="4438"/>
      <c r="X80" s="1455"/>
      <c r="Y80" s="1455"/>
      <c r="Z80" s="1454"/>
    </row>
    <row r="81" spans="1:26" s="1453" customFormat="1" ht="72.5" x14ac:dyDescent="0.3">
      <c r="A81" s="1419"/>
      <c r="B81" s="1504"/>
      <c r="C81" s="1717" t="s">
        <v>96</v>
      </c>
      <c r="D81" s="554" t="s">
        <v>3</v>
      </c>
      <c r="E81" s="594" t="b">
        <f t="shared" si="5"/>
        <v>0</v>
      </c>
      <c r="F81" s="361"/>
      <c r="G81" s="1403" t="str">
        <f t="shared" si="6"/>
        <v/>
      </c>
      <c r="H81" s="1403"/>
      <c r="I81" s="44"/>
      <c r="J81" s="216" t="str">
        <f t="shared" si="7"/>
        <v/>
      </c>
      <c r="K81" s="216"/>
      <c r="L81" s="44"/>
      <c r="M81" s="68"/>
      <c r="N81" s="4415"/>
      <c r="O81" s="4530"/>
      <c r="P81" s="1455"/>
      <c r="Q81" s="1060" t="s">
        <v>3</v>
      </c>
      <c r="R81" s="574" t="b">
        <f t="shared" si="8"/>
        <v>0</v>
      </c>
      <c r="S81" s="1455"/>
      <c r="T81" s="1455"/>
      <c r="U81" s="1454"/>
      <c r="V81" s="4653"/>
      <c r="W81" s="4438"/>
      <c r="X81" s="1455"/>
      <c r="Y81" s="1455"/>
      <c r="Z81" s="1454"/>
    </row>
    <row r="82" spans="1:26" s="1453" customFormat="1" ht="29" x14ac:dyDescent="0.3">
      <c r="A82" s="1419"/>
      <c r="B82" s="1504"/>
      <c r="C82" s="1717" t="s">
        <v>97</v>
      </c>
      <c r="D82" s="554" t="s">
        <v>3</v>
      </c>
      <c r="E82" s="594" t="b">
        <f t="shared" si="5"/>
        <v>0</v>
      </c>
      <c r="F82" s="361"/>
      <c r="G82" s="1403" t="str">
        <f t="shared" si="6"/>
        <v/>
      </c>
      <c r="H82" s="1403"/>
      <c r="I82" s="44"/>
      <c r="J82" s="216" t="str">
        <f t="shared" si="7"/>
        <v/>
      </c>
      <c r="K82" s="216"/>
      <c r="L82" s="44"/>
      <c r="M82" s="68"/>
      <c r="N82" s="4415"/>
      <c r="O82" s="4530"/>
      <c r="P82" s="1455"/>
      <c r="Q82" s="1060" t="s">
        <v>3</v>
      </c>
      <c r="R82" s="574" t="b">
        <f t="shared" si="8"/>
        <v>0</v>
      </c>
      <c r="S82" s="1455"/>
      <c r="T82" s="1455"/>
      <c r="U82" s="1454"/>
      <c r="V82" s="4653"/>
      <c r="W82" s="4438"/>
      <c r="X82" s="1455"/>
      <c r="Y82" s="1455"/>
      <c r="Z82" s="1454"/>
    </row>
    <row r="83" spans="1:26" s="1453" customFormat="1" ht="15.5" x14ac:dyDescent="0.3">
      <c r="A83" s="1419"/>
      <c r="B83" s="1504"/>
      <c r="C83" s="1717" t="s">
        <v>99</v>
      </c>
      <c r="D83" s="554" t="s">
        <v>3</v>
      </c>
      <c r="E83" s="594" t="b">
        <f t="shared" si="5"/>
        <v>0</v>
      </c>
      <c r="F83" s="361"/>
      <c r="G83" s="1403" t="str">
        <f t="shared" si="6"/>
        <v/>
      </c>
      <c r="H83" s="1403"/>
      <c r="I83" s="44"/>
      <c r="J83" s="216" t="str">
        <f t="shared" si="7"/>
        <v/>
      </c>
      <c r="K83" s="216"/>
      <c r="L83" s="44"/>
      <c r="M83" s="68"/>
      <c r="N83" s="4415"/>
      <c r="O83" s="4530"/>
      <c r="P83" s="1455"/>
      <c r="Q83" s="1060" t="s">
        <v>3</v>
      </c>
      <c r="R83" s="574" t="b">
        <f t="shared" si="8"/>
        <v>0</v>
      </c>
      <c r="S83" s="1455"/>
      <c r="T83" s="1455"/>
      <c r="U83" s="1454"/>
      <c r="V83" s="4653"/>
      <c r="W83" s="4438"/>
      <c r="X83" s="1455"/>
      <c r="Y83" s="1455"/>
      <c r="Z83" s="1454"/>
    </row>
    <row r="84" spans="1:26" s="1453" customFormat="1" ht="29" x14ac:dyDescent="0.3">
      <c r="A84" s="1419"/>
      <c r="B84" s="1504"/>
      <c r="C84" s="1717" t="s">
        <v>103</v>
      </c>
      <c r="D84" s="554" t="s">
        <v>3</v>
      </c>
      <c r="E84" s="594" t="b">
        <f t="shared" si="5"/>
        <v>0</v>
      </c>
      <c r="F84" s="361"/>
      <c r="G84" s="1403" t="str">
        <f t="shared" si="6"/>
        <v/>
      </c>
      <c r="H84" s="1403"/>
      <c r="I84" s="44"/>
      <c r="J84" s="216" t="str">
        <f t="shared" si="7"/>
        <v/>
      </c>
      <c r="K84" s="216"/>
      <c r="L84" s="44"/>
      <c r="M84" s="68"/>
      <c r="N84" s="4415"/>
      <c r="O84" s="4530"/>
      <c r="P84" s="1455"/>
      <c r="Q84" s="1060" t="s">
        <v>3</v>
      </c>
      <c r="R84" s="574" t="b">
        <f t="shared" si="8"/>
        <v>0</v>
      </c>
      <c r="S84" s="1455"/>
      <c r="T84" s="1455"/>
      <c r="U84" s="1454"/>
      <c r="V84" s="4653"/>
      <c r="W84" s="4438"/>
      <c r="X84" s="1455"/>
      <c r="Y84" s="1455"/>
      <c r="Z84" s="1454"/>
    </row>
    <row r="85" spans="1:26" s="1453" customFormat="1" ht="43.5" x14ac:dyDescent="0.3">
      <c r="A85" s="1419"/>
      <c r="B85" s="1504"/>
      <c r="C85" s="1717" t="s">
        <v>105</v>
      </c>
      <c r="D85" s="554" t="s">
        <v>3</v>
      </c>
      <c r="E85" s="594" t="b">
        <f t="shared" si="5"/>
        <v>0</v>
      </c>
      <c r="F85" s="361"/>
      <c r="G85" s="1403" t="str">
        <f t="shared" si="6"/>
        <v/>
      </c>
      <c r="H85" s="1403"/>
      <c r="I85" s="44"/>
      <c r="J85" s="216" t="str">
        <f t="shared" si="7"/>
        <v/>
      </c>
      <c r="K85" s="216"/>
      <c r="L85" s="44"/>
      <c r="M85" s="68"/>
      <c r="N85" s="4415"/>
      <c r="O85" s="4530"/>
      <c r="P85" s="1455"/>
      <c r="Q85" s="1060" t="s">
        <v>3</v>
      </c>
      <c r="R85" s="574" t="b">
        <f t="shared" si="8"/>
        <v>0</v>
      </c>
      <c r="S85" s="1455"/>
      <c r="T85" s="1455"/>
      <c r="U85" s="1454"/>
      <c r="V85" s="4653"/>
      <c r="W85" s="4438"/>
      <c r="X85" s="1455"/>
      <c r="Y85" s="1455"/>
      <c r="Z85" s="1454"/>
    </row>
    <row r="86" spans="1:26" s="1453" customFormat="1" ht="29" x14ac:dyDescent="0.3">
      <c r="A86" s="1419"/>
      <c r="B86" s="1504"/>
      <c r="C86" s="1717" t="s">
        <v>106</v>
      </c>
      <c r="D86" s="554" t="s">
        <v>3</v>
      </c>
      <c r="E86" s="594" t="b">
        <f t="shared" si="5"/>
        <v>0</v>
      </c>
      <c r="F86" s="361"/>
      <c r="G86" s="1403" t="str">
        <f t="shared" si="6"/>
        <v/>
      </c>
      <c r="H86" s="1403"/>
      <c r="I86" s="44"/>
      <c r="J86" s="216" t="str">
        <f t="shared" si="7"/>
        <v/>
      </c>
      <c r="K86" s="216"/>
      <c r="L86" s="44"/>
      <c r="M86" s="68"/>
      <c r="N86" s="4415"/>
      <c r="O86" s="4530"/>
      <c r="P86" s="1455"/>
      <c r="Q86" s="1060" t="s">
        <v>3</v>
      </c>
      <c r="R86" s="574" t="b">
        <f t="shared" si="8"/>
        <v>0</v>
      </c>
      <c r="S86" s="1455"/>
      <c r="T86" s="1455"/>
      <c r="U86" s="1454"/>
      <c r="V86" s="4653"/>
      <c r="W86" s="4438"/>
      <c r="X86" s="1455"/>
      <c r="Y86" s="1455"/>
      <c r="Z86" s="1454"/>
    </row>
    <row r="87" spans="1:26" s="1453" customFormat="1" ht="15.5" x14ac:dyDescent="0.3">
      <c r="A87" s="1419"/>
      <c r="B87" s="1504"/>
      <c r="C87" s="1717" t="s">
        <v>107</v>
      </c>
      <c r="D87" s="554" t="s">
        <v>3</v>
      </c>
      <c r="E87" s="594" t="b">
        <f t="shared" si="5"/>
        <v>0</v>
      </c>
      <c r="F87" s="361"/>
      <c r="G87" s="1403" t="str">
        <f t="shared" si="6"/>
        <v/>
      </c>
      <c r="H87" s="1403"/>
      <c r="I87" s="44"/>
      <c r="J87" s="216" t="str">
        <f t="shared" si="7"/>
        <v/>
      </c>
      <c r="K87" s="216"/>
      <c r="L87" s="44"/>
      <c r="M87" s="68"/>
      <c r="N87" s="4415"/>
      <c r="O87" s="4530"/>
      <c r="P87" s="1455"/>
      <c r="Q87" s="1060" t="s">
        <v>3</v>
      </c>
      <c r="R87" s="574" t="b">
        <f t="shared" si="8"/>
        <v>0</v>
      </c>
      <c r="S87" s="1455"/>
      <c r="T87" s="1455"/>
      <c r="U87" s="1454"/>
      <c r="V87" s="4653"/>
      <c r="W87" s="4438"/>
      <c r="X87" s="1455"/>
      <c r="Y87" s="1455"/>
      <c r="Z87" s="1454"/>
    </row>
    <row r="88" spans="1:26" s="1453" customFormat="1" ht="15.5" x14ac:dyDescent="0.3">
      <c r="A88" s="1419"/>
      <c r="B88" s="1504"/>
      <c r="C88" s="1717" t="s">
        <v>111</v>
      </c>
      <c r="D88" s="554" t="s">
        <v>3</v>
      </c>
      <c r="E88" s="594" t="b">
        <f t="shared" si="5"/>
        <v>0</v>
      </c>
      <c r="F88" s="361"/>
      <c r="G88" s="1403" t="str">
        <f t="shared" si="6"/>
        <v/>
      </c>
      <c r="H88" s="1403"/>
      <c r="I88" s="44"/>
      <c r="J88" s="216" t="str">
        <f t="shared" si="7"/>
        <v/>
      </c>
      <c r="K88" s="216"/>
      <c r="L88" s="44"/>
      <c r="M88" s="68"/>
      <c r="N88" s="4415"/>
      <c r="O88" s="4530"/>
      <c r="P88" s="1455"/>
      <c r="Q88" s="1060" t="s">
        <v>3</v>
      </c>
      <c r="R88" s="574" t="b">
        <f t="shared" si="8"/>
        <v>0</v>
      </c>
      <c r="S88" s="1455"/>
      <c r="T88" s="1455"/>
      <c r="U88" s="1454"/>
      <c r="V88" s="4653"/>
      <c r="W88" s="4438"/>
      <c r="X88" s="1455"/>
      <c r="Y88" s="1455"/>
      <c r="Z88" s="1454"/>
    </row>
    <row r="89" spans="1:26" s="1453" customFormat="1" ht="15.5" x14ac:dyDescent="0.3">
      <c r="A89" s="1419"/>
      <c r="B89" s="1504"/>
      <c r="C89" s="1717" t="s">
        <v>112</v>
      </c>
      <c r="D89" s="554" t="s">
        <v>3</v>
      </c>
      <c r="E89" s="594" t="b">
        <f t="shared" si="5"/>
        <v>0</v>
      </c>
      <c r="F89" s="361"/>
      <c r="G89" s="1403" t="str">
        <f t="shared" si="6"/>
        <v/>
      </c>
      <c r="H89" s="1403"/>
      <c r="I89" s="44"/>
      <c r="J89" s="216" t="str">
        <f t="shared" si="7"/>
        <v/>
      </c>
      <c r="K89" s="216"/>
      <c r="L89" s="44"/>
      <c r="M89" s="68"/>
      <c r="N89" s="4415"/>
      <c r="O89" s="4530"/>
      <c r="P89" s="1455"/>
      <c r="Q89" s="1060" t="s">
        <v>3</v>
      </c>
      <c r="R89" s="574" t="b">
        <f t="shared" si="8"/>
        <v>0</v>
      </c>
      <c r="S89" s="1455"/>
      <c r="T89" s="1455"/>
      <c r="U89" s="1454"/>
      <c r="V89" s="4653"/>
      <c r="W89" s="4438"/>
      <c r="X89" s="1455"/>
      <c r="Y89" s="1455"/>
      <c r="Z89" s="1454"/>
    </row>
    <row r="90" spans="1:26" s="1453" customFormat="1" ht="15.5" x14ac:dyDescent="0.3">
      <c r="A90" s="1419"/>
      <c r="B90" s="1504"/>
      <c r="C90" s="1717" t="s">
        <v>113</v>
      </c>
      <c r="D90" s="554" t="s">
        <v>3</v>
      </c>
      <c r="E90" s="594" t="b">
        <f t="shared" si="5"/>
        <v>0</v>
      </c>
      <c r="F90" s="361"/>
      <c r="G90" s="1403" t="str">
        <f t="shared" si="6"/>
        <v/>
      </c>
      <c r="H90" s="1403"/>
      <c r="I90" s="44"/>
      <c r="J90" s="216" t="str">
        <f t="shared" si="7"/>
        <v/>
      </c>
      <c r="K90" s="216"/>
      <c r="L90" s="44"/>
      <c r="M90" s="68"/>
      <c r="N90" s="4415"/>
      <c r="O90" s="4530"/>
      <c r="P90" s="1455"/>
      <c r="Q90" s="1060" t="s">
        <v>3</v>
      </c>
      <c r="R90" s="574" t="b">
        <f t="shared" si="8"/>
        <v>0</v>
      </c>
      <c r="S90" s="1455"/>
      <c r="T90" s="1455"/>
      <c r="U90" s="1454"/>
      <c r="V90" s="4653"/>
      <c r="W90" s="4438"/>
      <c r="X90" s="1455"/>
      <c r="Y90" s="1455"/>
      <c r="Z90" s="1454"/>
    </row>
    <row r="91" spans="1:26" s="1453" customFormat="1" ht="15.5" x14ac:dyDescent="0.3">
      <c r="A91" s="1419"/>
      <c r="B91" s="1504"/>
      <c r="C91" s="1717" t="s">
        <v>122</v>
      </c>
      <c r="D91" s="554" t="s">
        <v>3</v>
      </c>
      <c r="E91" s="594" t="b">
        <f t="shared" si="5"/>
        <v>0</v>
      </c>
      <c r="F91" s="361"/>
      <c r="G91" s="1403" t="str">
        <f t="shared" si="6"/>
        <v/>
      </c>
      <c r="H91" s="1403"/>
      <c r="I91" s="44"/>
      <c r="J91" s="216" t="str">
        <f t="shared" si="7"/>
        <v/>
      </c>
      <c r="K91" s="216"/>
      <c r="L91" s="44"/>
      <c r="M91" s="68"/>
      <c r="N91" s="4415"/>
      <c r="O91" s="4530"/>
      <c r="P91" s="1455"/>
      <c r="Q91" s="1060" t="s">
        <v>3</v>
      </c>
      <c r="R91" s="574" t="b">
        <f t="shared" si="8"/>
        <v>0</v>
      </c>
      <c r="S91" s="1455"/>
      <c r="T91" s="1455"/>
      <c r="U91" s="1454"/>
      <c r="V91" s="4653"/>
      <c r="W91" s="4438"/>
      <c r="X91" s="1455"/>
      <c r="Y91" s="1455"/>
      <c r="Z91" s="1454"/>
    </row>
    <row r="92" spans="1:26" s="1453" customFormat="1" ht="15.5" x14ac:dyDescent="0.3">
      <c r="A92" s="1419"/>
      <c r="B92" s="1504"/>
      <c r="C92" s="1717" t="s">
        <v>124</v>
      </c>
      <c r="D92" s="554" t="s">
        <v>3</v>
      </c>
      <c r="E92" s="594" t="b">
        <f t="shared" si="5"/>
        <v>0</v>
      </c>
      <c r="F92" s="361"/>
      <c r="G92" s="1403" t="str">
        <f t="shared" si="6"/>
        <v/>
      </c>
      <c r="H92" s="1403"/>
      <c r="I92" s="44"/>
      <c r="J92" s="216" t="str">
        <f t="shared" si="7"/>
        <v/>
      </c>
      <c r="K92" s="216"/>
      <c r="L92" s="44"/>
      <c r="M92" s="68"/>
      <c r="N92" s="4415"/>
      <c r="O92" s="4530"/>
      <c r="P92" s="1455"/>
      <c r="Q92" s="1060" t="s">
        <v>3</v>
      </c>
      <c r="R92" s="574" t="b">
        <f t="shared" si="8"/>
        <v>0</v>
      </c>
      <c r="S92" s="1455"/>
      <c r="T92" s="1455"/>
      <c r="U92" s="1454"/>
      <c r="V92" s="4653"/>
      <c r="W92" s="4438"/>
      <c r="X92" s="1455"/>
      <c r="Y92" s="1455"/>
      <c r="Z92" s="1454"/>
    </row>
    <row r="93" spans="1:26" s="1453" customFormat="1" ht="29" x14ac:dyDescent="0.3">
      <c r="A93" s="1419"/>
      <c r="B93" s="1504"/>
      <c r="C93" s="1717" t="s">
        <v>125</v>
      </c>
      <c r="D93" s="554" t="s">
        <v>3</v>
      </c>
      <c r="E93" s="594" t="b">
        <f t="shared" si="5"/>
        <v>0</v>
      </c>
      <c r="F93" s="361"/>
      <c r="G93" s="1403" t="str">
        <f t="shared" si="6"/>
        <v/>
      </c>
      <c r="H93" s="1403"/>
      <c r="I93" s="44"/>
      <c r="J93" s="216" t="str">
        <f t="shared" si="7"/>
        <v/>
      </c>
      <c r="K93" s="216"/>
      <c r="L93" s="44"/>
      <c r="M93" s="68"/>
      <c r="N93" s="4415"/>
      <c r="O93" s="4530"/>
      <c r="P93" s="1455"/>
      <c r="Q93" s="1060" t="s">
        <v>3</v>
      </c>
      <c r="R93" s="574" t="b">
        <f t="shared" si="8"/>
        <v>0</v>
      </c>
      <c r="S93" s="1455"/>
      <c r="T93" s="1455"/>
      <c r="U93" s="1454"/>
      <c r="V93" s="4653"/>
      <c r="W93" s="4438"/>
      <c r="X93" s="1455"/>
      <c r="Y93" s="1455"/>
      <c r="Z93" s="1454"/>
    </row>
    <row r="94" spans="1:26" s="1453" customFormat="1" ht="43.5" x14ac:dyDescent="0.3">
      <c r="A94" s="1419"/>
      <c r="B94" s="1504"/>
      <c r="C94" s="1717" t="s">
        <v>128</v>
      </c>
      <c r="D94" s="554" t="s">
        <v>3</v>
      </c>
      <c r="E94" s="594" t="b">
        <f t="shared" si="5"/>
        <v>0</v>
      </c>
      <c r="F94" s="361"/>
      <c r="G94" s="1403" t="str">
        <f t="shared" si="6"/>
        <v/>
      </c>
      <c r="H94" s="1403"/>
      <c r="I94" s="44"/>
      <c r="J94" s="216" t="str">
        <f t="shared" si="7"/>
        <v/>
      </c>
      <c r="K94" s="216"/>
      <c r="L94" s="44"/>
      <c r="M94" s="68"/>
      <c r="N94" s="4415"/>
      <c r="O94" s="4530"/>
      <c r="P94" s="1455"/>
      <c r="Q94" s="1060" t="s">
        <v>3</v>
      </c>
      <c r="R94" s="574" t="b">
        <f t="shared" si="8"/>
        <v>0</v>
      </c>
      <c r="S94" s="1455"/>
      <c r="T94" s="1455"/>
      <c r="U94" s="1454"/>
      <c r="V94" s="4653"/>
      <c r="W94" s="4438"/>
      <c r="X94" s="1455"/>
      <c r="Y94" s="1455"/>
      <c r="Z94" s="1454"/>
    </row>
    <row r="95" spans="1:26" s="1453" customFormat="1" ht="15.5" x14ac:dyDescent="0.3">
      <c r="A95" s="1419"/>
      <c r="B95" s="1504"/>
      <c r="C95" s="1717" t="s">
        <v>131</v>
      </c>
      <c r="D95" s="554" t="s">
        <v>3</v>
      </c>
      <c r="E95" s="594" t="b">
        <f t="shared" si="5"/>
        <v>0</v>
      </c>
      <c r="F95" s="361"/>
      <c r="G95" s="1403" t="str">
        <f t="shared" si="6"/>
        <v/>
      </c>
      <c r="H95" s="1403"/>
      <c r="I95" s="44"/>
      <c r="J95" s="216" t="str">
        <f t="shared" si="7"/>
        <v/>
      </c>
      <c r="K95" s="216"/>
      <c r="L95" s="44"/>
      <c r="M95" s="68"/>
      <c r="N95" s="4415"/>
      <c r="O95" s="4530"/>
      <c r="P95" s="1455"/>
      <c r="Q95" s="1060" t="s">
        <v>3</v>
      </c>
      <c r="R95" s="574" t="b">
        <f t="shared" si="8"/>
        <v>0</v>
      </c>
      <c r="S95" s="1455"/>
      <c r="T95" s="1455"/>
      <c r="U95" s="1454"/>
      <c r="V95" s="4653"/>
      <c r="W95" s="4438"/>
      <c r="X95" s="1455"/>
      <c r="Y95" s="1455"/>
      <c r="Z95" s="1454"/>
    </row>
    <row r="96" spans="1:26" s="1453" customFormat="1" ht="29" x14ac:dyDescent="0.3">
      <c r="A96" s="1419"/>
      <c r="B96" s="1504"/>
      <c r="C96" s="1717" t="s">
        <v>132</v>
      </c>
      <c r="D96" s="554" t="s">
        <v>3</v>
      </c>
      <c r="E96" s="594" t="b">
        <f t="shared" si="5"/>
        <v>0</v>
      </c>
      <c r="F96" s="361"/>
      <c r="G96" s="1403" t="str">
        <f t="shared" si="6"/>
        <v/>
      </c>
      <c r="H96" s="1403"/>
      <c r="I96" s="44"/>
      <c r="J96" s="216" t="str">
        <f t="shared" si="7"/>
        <v/>
      </c>
      <c r="K96" s="216"/>
      <c r="L96" s="44"/>
      <c r="M96" s="68"/>
      <c r="N96" s="4415"/>
      <c r="O96" s="4530"/>
      <c r="P96" s="1455"/>
      <c r="Q96" s="1060" t="s">
        <v>3</v>
      </c>
      <c r="R96" s="574" t="b">
        <f t="shared" si="8"/>
        <v>0</v>
      </c>
      <c r="S96" s="1455"/>
      <c r="T96" s="1455"/>
      <c r="U96" s="1454"/>
      <c r="V96" s="4653"/>
      <c r="W96" s="4438"/>
      <c r="X96" s="1455"/>
      <c r="Y96" s="1455"/>
      <c r="Z96" s="1454"/>
    </row>
    <row r="97" spans="1:84" s="1453" customFormat="1" ht="29" x14ac:dyDescent="0.3">
      <c r="A97" s="1419"/>
      <c r="B97" s="1504"/>
      <c r="C97" s="1717" t="s">
        <v>137</v>
      </c>
      <c r="D97" s="554" t="s">
        <v>3</v>
      </c>
      <c r="E97" s="594" t="b">
        <f t="shared" si="5"/>
        <v>0</v>
      </c>
      <c r="F97" s="361"/>
      <c r="G97" s="1403" t="str">
        <f t="shared" si="6"/>
        <v/>
      </c>
      <c r="H97" s="1403"/>
      <c r="I97" s="44"/>
      <c r="J97" s="216" t="str">
        <f t="shared" si="7"/>
        <v/>
      </c>
      <c r="K97" s="216"/>
      <c r="L97" s="44"/>
      <c r="M97" s="68"/>
      <c r="N97" s="4415"/>
      <c r="O97" s="4530"/>
      <c r="P97" s="1455"/>
      <c r="Q97" s="1060" t="s">
        <v>3</v>
      </c>
      <c r="R97" s="574" t="b">
        <f t="shared" si="8"/>
        <v>0</v>
      </c>
      <c r="S97" s="1455"/>
      <c r="T97" s="1455"/>
      <c r="U97" s="1454"/>
      <c r="V97" s="4653"/>
      <c r="W97" s="4438"/>
      <c r="X97" s="1455"/>
      <c r="Y97" s="1455"/>
      <c r="Z97" s="1454"/>
    </row>
    <row r="98" spans="1:84" s="1453" customFormat="1" ht="43.5" x14ac:dyDescent="0.3">
      <c r="A98" s="1419"/>
      <c r="B98" s="1504"/>
      <c r="C98" s="1717" t="s">
        <v>140</v>
      </c>
      <c r="D98" s="554" t="s">
        <v>3</v>
      </c>
      <c r="E98" s="594" t="b">
        <f t="shared" si="5"/>
        <v>0</v>
      </c>
      <c r="F98" s="361"/>
      <c r="G98" s="1403" t="str">
        <f t="shared" si="6"/>
        <v/>
      </c>
      <c r="H98" s="1403"/>
      <c r="I98" s="44"/>
      <c r="J98" s="216" t="str">
        <f t="shared" si="7"/>
        <v/>
      </c>
      <c r="K98" s="216"/>
      <c r="L98" s="44"/>
      <c r="M98" s="68"/>
      <c r="N98" s="4415"/>
      <c r="O98" s="4530"/>
      <c r="P98" s="1455"/>
      <c r="Q98" s="1060" t="s">
        <v>3</v>
      </c>
      <c r="R98" s="574" t="b">
        <f t="shared" si="8"/>
        <v>0</v>
      </c>
      <c r="S98" s="1455"/>
      <c r="T98" s="1455"/>
      <c r="U98" s="1454"/>
      <c r="V98" s="4653"/>
      <c r="W98" s="4438"/>
      <c r="X98" s="1455"/>
      <c r="Y98" s="1455"/>
      <c r="Z98" s="1454"/>
    </row>
    <row r="99" spans="1:84" s="1462" customFormat="1" ht="15.5" x14ac:dyDescent="0.3">
      <c r="A99" s="1456"/>
      <c r="B99" s="1504"/>
      <c r="C99" s="1717" t="s">
        <v>141</v>
      </c>
      <c r="D99" s="554" t="s">
        <v>3</v>
      </c>
      <c r="E99" s="1585" t="b">
        <f t="shared" si="5"/>
        <v>0</v>
      </c>
      <c r="F99" s="1458"/>
      <c r="G99" s="1458" t="str">
        <f>IF(I99&lt;&gt;"", "Not Blank", "")</f>
        <v/>
      </c>
      <c r="H99" s="1458"/>
      <c r="I99" s="1459"/>
      <c r="J99" s="1460" t="str">
        <f t="shared" si="7"/>
        <v/>
      </c>
      <c r="K99" s="1460"/>
      <c r="L99" s="1459"/>
      <c r="M99" s="1586"/>
      <c r="N99" s="4415"/>
      <c r="O99" s="4530"/>
      <c r="P99" s="1459"/>
      <c r="Q99" s="1060" t="s">
        <v>3</v>
      </c>
      <c r="R99" s="574" t="b">
        <f t="shared" si="8"/>
        <v>0</v>
      </c>
      <c r="S99" s="1459"/>
      <c r="T99" s="1459"/>
      <c r="U99" s="1461"/>
      <c r="V99" s="4653"/>
      <c r="W99" s="4438"/>
      <c r="X99" s="1459"/>
      <c r="Y99" s="1459"/>
      <c r="Z99" s="1461"/>
    </row>
    <row r="100" spans="1:84" s="1419" customFormat="1" ht="16" thickBot="1" x14ac:dyDescent="0.35">
      <c r="B100" s="129"/>
      <c r="C100" s="1902" t="s">
        <v>142</v>
      </c>
      <c r="D100" s="567" t="s">
        <v>3</v>
      </c>
      <c r="E100" s="1593" t="b">
        <f t="shared" si="5"/>
        <v>0</v>
      </c>
      <c r="F100" s="1464"/>
      <c r="G100" s="1464" t="str">
        <f>IF(I100&lt;&gt;"", "Not Blank", "")</f>
        <v/>
      </c>
      <c r="H100" s="1464"/>
      <c r="I100" s="1464"/>
      <c r="J100" s="1465" t="str">
        <f t="shared" si="7"/>
        <v/>
      </c>
      <c r="K100" s="1465"/>
      <c r="L100" s="1464"/>
      <c r="M100" s="1592"/>
      <c r="N100" s="4416"/>
      <c r="O100" s="4531"/>
      <c r="P100" s="1464"/>
      <c r="Q100" s="1017" t="s">
        <v>3</v>
      </c>
      <c r="R100" s="922" t="b">
        <f t="shared" si="8"/>
        <v>0</v>
      </c>
      <c r="S100" s="1464"/>
      <c r="T100" s="1464"/>
      <c r="U100" s="1467"/>
      <c r="V100" s="4654"/>
      <c r="W100" s="4439"/>
      <c r="X100" s="1464"/>
      <c r="Y100" s="1464"/>
      <c r="Z100" s="1467"/>
    </row>
    <row r="101" spans="1:84" s="3634" customFormat="1" ht="15" thickTop="1" x14ac:dyDescent="0.3">
      <c r="A101" s="3679"/>
      <c r="B101" s="3679"/>
      <c r="V101" s="3635"/>
      <c r="W101" s="3635"/>
      <c r="AS101" s="3680"/>
      <c r="AT101" s="3681"/>
      <c r="AU101" s="3681"/>
      <c r="AV101" s="3681"/>
      <c r="AW101" s="3681"/>
      <c r="AX101" s="3681"/>
      <c r="AY101" s="3681"/>
      <c r="AZ101" s="3681"/>
      <c r="BA101" s="3681"/>
      <c r="BB101" s="3681"/>
      <c r="BC101" s="3681"/>
      <c r="BD101" s="3681"/>
      <c r="BE101" s="3681"/>
      <c r="BF101" s="3681"/>
      <c r="BG101" s="3681"/>
      <c r="BH101" s="3681"/>
      <c r="BI101" s="3681"/>
      <c r="BJ101" s="3681"/>
      <c r="BK101" s="3681"/>
      <c r="BL101" s="3681"/>
      <c r="BM101" s="3681"/>
      <c r="BN101" s="3681"/>
      <c r="BO101" s="3681"/>
      <c r="BP101" s="3681"/>
      <c r="BQ101" s="3681"/>
      <c r="BR101" s="3681"/>
      <c r="BS101" s="3681"/>
      <c r="BT101" s="3681"/>
      <c r="BU101" s="3681"/>
      <c r="BV101" s="3681"/>
      <c r="BW101" s="3681"/>
      <c r="BX101" s="3681"/>
      <c r="BY101" s="3681"/>
      <c r="BZ101" s="3681"/>
      <c r="CA101" s="3681"/>
      <c r="CB101" s="3681"/>
      <c r="CC101" s="3681"/>
      <c r="CD101" s="3681"/>
      <c r="CE101" s="3681"/>
      <c r="CF101" s="3682"/>
    </row>
    <row r="102" spans="1:84" s="3650" customFormat="1" ht="18.5" x14ac:dyDescent="0.3">
      <c r="A102" s="4482" t="s">
        <v>1245</v>
      </c>
      <c r="B102" s="4483"/>
      <c r="C102" s="4483"/>
      <c r="D102" s="4483"/>
      <c r="E102" s="4483"/>
      <c r="F102" s="4483"/>
      <c r="G102" s="4483"/>
      <c r="H102" s="4483"/>
      <c r="I102" s="4483"/>
      <c r="J102" s="4483"/>
      <c r="K102" s="4483"/>
      <c r="L102" s="4483"/>
      <c r="M102" s="4483"/>
      <c r="N102" s="4483"/>
      <c r="O102" s="3669"/>
      <c r="P102" s="3683"/>
      <c r="Q102" s="3683"/>
      <c r="R102" s="3683"/>
      <c r="S102" s="3684"/>
      <c r="T102" s="3685"/>
      <c r="U102" s="3685"/>
      <c r="V102" s="3669"/>
      <c r="W102" s="3669"/>
      <c r="X102" s="3683"/>
      <c r="Y102" s="3684"/>
      <c r="Z102" s="3685"/>
    </row>
    <row r="103" spans="1:84" s="3634" customFormat="1" ht="15" thickBot="1" x14ac:dyDescent="0.35">
      <c r="A103" s="3638"/>
      <c r="L103" s="3686"/>
      <c r="V103" s="3635"/>
      <c r="W103" s="3635"/>
      <c r="AS103" s="3687"/>
      <c r="AT103" s="3688"/>
      <c r="AU103" s="3688"/>
      <c r="AV103" s="3688"/>
      <c r="AW103" s="3688"/>
      <c r="AX103" s="3688"/>
      <c r="AY103" s="3688"/>
      <c r="AZ103" s="3688"/>
      <c r="BA103" s="3688"/>
      <c r="BB103" s="3688"/>
      <c r="BC103" s="3688"/>
      <c r="BD103" s="3688"/>
      <c r="BE103" s="3688"/>
      <c r="BF103" s="3688"/>
      <c r="BG103" s="3688"/>
      <c r="BH103" s="3688"/>
      <c r="BI103" s="3688"/>
      <c r="BJ103" s="3688"/>
      <c r="BK103" s="3688"/>
      <c r="BL103" s="3688"/>
      <c r="BM103" s="3688"/>
      <c r="BN103" s="3688"/>
      <c r="BO103" s="3688"/>
      <c r="BP103" s="3688"/>
      <c r="BQ103" s="3688"/>
      <c r="BR103" s="3688"/>
      <c r="BS103" s="3688"/>
      <c r="BT103" s="3688"/>
      <c r="BU103" s="3688"/>
      <c r="BV103" s="3688"/>
      <c r="BW103" s="3688"/>
      <c r="BX103" s="3688"/>
      <c r="BY103" s="3688"/>
      <c r="BZ103" s="3688"/>
      <c r="CA103" s="3688"/>
      <c r="CB103" s="3688"/>
      <c r="CC103" s="3688"/>
      <c r="CD103" s="3688"/>
      <c r="CE103" s="3688"/>
      <c r="CF103" s="3689"/>
    </row>
    <row r="104" spans="1:84" s="1558" customFormat="1" ht="59" thickTop="1" thickBot="1" x14ac:dyDescent="0.35">
      <c r="A104" s="3194" t="s">
        <v>205</v>
      </c>
      <c r="B104" s="1907" t="s">
        <v>1842</v>
      </c>
      <c r="C104" s="1809" t="s">
        <v>568</v>
      </c>
      <c r="D104" s="1640" t="s">
        <v>565</v>
      </c>
      <c r="E104" s="659" t="b">
        <f>IF(AND(E105=TRUE,E112=TRUE,E124=TRUE),TRUE,FALSE)</f>
        <v>0</v>
      </c>
      <c r="F104" s="207">
        <f>SUM(F105,F112,F116,F121,F124,)</f>
        <v>0</v>
      </c>
      <c r="G104" s="323">
        <f>SUM(G105,G112,G116,G121,G124,)</f>
        <v>0</v>
      </c>
      <c r="H104" s="323">
        <f>SUM(H105,H112,H116,H121,H124,)</f>
        <v>0</v>
      </c>
      <c r="I104" s="1727" t="str">
        <f xml:space="preserve">
IF(F104&gt;18,"Too Many Entries - Check Red Lines",
IF(G104&lt;F104,"Valid Entry required below - Check Amber Line/s",
IF(AND(E104=FALSE,G104=0,H104=0),"Nothing Entered below Yet",
IF(G104&lt;F104,"Valid Entry required below - Check Amber Line/s",
IF(AND(G104=0,H104&gt;0),"**Non-Valid Entry/ies below - Check Yellow Line/s",
IF(AND(G104&gt;0,H104&gt;0),"**Valid and Non-Valid Entries made below - Check Yellow Line/s",
IF(AND(E104=FALSE,F104&lt;18),"Not all requirements addressed below - Check Pink Line/s",
IF(AND(E104=FALSE,G104&lt;18,G104&gt;0,H104=0),"More entries to come",
IF(AND(E104,TRUE,G104=18,H104=0),"Valid Entries made below"
)))))))))</f>
        <v>Nothing Entered below Yet</v>
      </c>
      <c r="J104" s="1514">
        <f>SUM(J105,J112,J116,J121,J124,)</f>
        <v>0</v>
      </c>
      <c r="K104" s="1514">
        <f>SUM(K105,K112,K116,K121,K124,)</f>
        <v>0</v>
      </c>
      <c r="L104" s="1727" t="str">
        <f xml:space="preserve">
IF(J104&gt;18,"Too Many Entries - Check Red Lines",
IF(J104&lt;F104,"Valid Entry required below - Check Amber Line/s",
IF(AND(E104=FALSE,J104=0,K104=0),"Nothing Entered below Yet",
IF(AND(J104=0,K104&gt;0),"**Non-Valid Entry/ies below - Check Yellow Line/s",
IF(AND(J104&gt;0,K104&gt;0),"**Valid and Non-Valid Entries made below - Check Yellow Line/s",
IF(AND(E104=FALSE,J104&lt;18),"Not all requirements addressed below - Check Pink Line/s",
IF(AND(E104=FALSE,J104&lt;18,J104&gt;0,K104=0),"More entries to come",
IF(AND(E104,TRUE,J104=18,K104=0),"Valid Entries made below"
))))))))</f>
        <v>Nothing Entered below Yet</v>
      </c>
      <c r="M104" s="3195"/>
      <c r="N104" s="4138" t="s">
        <v>565</v>
      </c>
      <c r="O104" s="748" t="b">
        <f>IF(AND(O105=TRUE,O112=TRUE,O116=TRUE,O121=TRUE,O124=TRUE),TRUE,FALSE)</f>
        <v>0</v>
      </c>
      <c r="P104" s="337"/>
      <c r="Q104" s="4178" t="s">
        <v>565</v>
      </c>
      <c r="R104" s="1373" t="b">
        <f>IF(AND(R106=TRUE,R107=TRUE,R108=TRUE,R109=TRUE,R110=TRUE,R111=TRUE,R112=TRUE,R113=TRUE,R114=TRUE,R115=TRUE,R116=TRUE,R117=TRUE,R118=TRUE,R119=TRUE,R120=TRUE,R121=TRUE,R122=TRUE,R123=TRUE,R124=TRUE,R125=TRUE,R126=TRUE,R127=TRUE),TRUE,FALSE)</f>
        <v>0</v>
      </c>
      <c r="S104" s="418"/>
      <c r="T104" s="418"/>
      <c r="U104" s="1009"/>
      <c r="V104" s="4138" t="s">
        <v>565</v>
      </c>
      <c r="W104" s="335" t="b">
        <f>IF(AND(W105=TRUE,W112=TRUE,W116=TRUE,W121=TRUE,W124=TRUE),TRUE,FALSE)</f>
        <v>0</v>
      </c>
      <c r="X104" s="1783"/>
      <c r="Y104" s="1783"/>
      <c r="Z104" s="1782"/>
    </row>
    <row r="105" spans="1:84" s="1558" customFormat="1" ht="30" thickTop="1" thickBot="1" x14ac:dyDescent="0.35">
      <c r="A105" s="1751" t="s">
        <v>255</v>
      </c>
      <c r="B105" s="3150" t="s">
        <v>459</v>
      </c>
      <c r="C105" s="2258" t="s">
        <v>569</v>
      </c>
      <c r="D105" s="2359" t="s">
        <v>565</v>
      </c>
      <c r="E105" s="934" t="b">
        <f>IF(AND(E106=TRUE,E107=TRUE,E108=TRUE,E108=TRUE,E109=TRUE,E110=TRUE,E111=TRUE),TRUE,FALSE)</f>
        <v>0</v>
      </c>
      <c r="F105" s="293">
        <f>COUNTIF(E106:E111,TRUE)</f>
        <v>0</v>
      </c>
      <c r="G105" s="293">
        <f>COUNTIFS(E106:E111,TRUE,G106:G111,"Not Blank")</f>
        <v>0</v>
      </c>
      <c r="H105" s="197">
        <f>COUNTIFS(E106:E111,FALSE,G106:G111,"Not Blank")</f>
        <v>0</v>
      </c>
      <c r="I105" s="2155" t="str">
        <f xml:space="preserve">
IF(F105&gt;6,"Too Many Entries - Check Red Lines",
IF(G105&lt;F105,"Valid Entry required below - Check Amber Line/s",
IF(AND(E105=FALSE,G105=0,H105=0),"Nothing Entered below Yet",
IF(G105&lt;F105,"Valid Entry required below - Check Amber Line/s",
IF(AND(G105=0,H105&gt;0),"**Non-Valid Entry/ies below - Check Yellow Line/s",
IF(AND(G105&gt;0,H105&gt;0),"**Valid and Non-Valid Entries made below - Check Yellow Line/s",
IF(AND(E105=FALSE,F105&lt;6),"Not all requirements addressed below - Check Pink Line/s",
IF(AND(E105=FALSE,G105&lt;6,G105&gt;0,H105=0),"More entries to come",
IF(AND(E105,TRUE,G105=6,H105=0),"Valid Entries made below"
)))))))))</f>
        <v>Nothing Entered below Yet</v>
      </c>
      <c r="J105" s="3262">
        <f>COUNTIFS(E106:E111,TRUE,J106:J111,"Not Blank")</f>
        <v>0</v>
      </c>
      <c r="K105" s="3262">
        <f>COUNTIFS(E106:E108,FALSE,J106:J108,"Not Blank")</f>
        <v>0</v>
      </c>
      <c r="L105" s="3263" t="str">
        <f xml:space="preserve">
IF(J105&gt;6,"Too Many Entries - Check Red Lines",
IF(J105&lt;F105,"Valid Entry required below - Check Amber Line/s",
IF(AND(E105=FALSE,J105=0,K105=0),"Nothing Entered below Yet",
IF(AND(J105=0,K105&gt;0),"**Non-Valid Entry/ies below - Check Yellow Line/s",
IF(AND(J105&gt;0,K105&gt;0),"**Valid and Non-Valid Entries made below - Check Yellow Line/s",
IF(AND(E105=FALSE,J105&lt;6),"Not all requirements addressed below - Check Pink Line/s",
IF(AND(E105=FALSE,J105&lt;6,J105&gt;0,K105=0),"More entries to come",
IF(AND(E105,TRUE,J105=6,K105=0),"Valid Entries made below"
))))))))</f>
        <v>Nothing Entered below Yet</v>
      </c>
      <c r="M105" s="3196"/>
      <c r="N105" s="4459" t="s">
        <v>3</v>
      </c>
      <c r="O105" s="4662" t="b">
        <f>IF(OR(N105="Compliant",N105="FE with work-a-round",N105="Functionally Equivalent"),TRUE,FALSE)</f>
        <v>0</v>
      </c>
      <c r="P105" s="2176"/>
      <c r="Q105" s="4175" t="s">
        <v>565</v>
      </c>
      <c r="R105" s="773" t="b">
        <f>IF(AND(R106=TRUE,R107=TRUE,R108=TRUE,R108=TRUE,R109=TRUE,R110=TRUE,R111=TRUE),TRUE,FALSE)</f>
        <v>0</v>
      </c>
      <c r="S105" s="111"/>
      <c r="T105" s="111"/>
      <c r="U105" s="1398"/>
      <c r="V105" s="4459" t="s">
        <v>3</v>
      </c>
      <c r="W105" s="4659" t="b">
        <f>IF(OR(V105="Compliant",V105="FE with work-a-round",V105="Functionally Equivalent",V105="Not Required/Applicable"),TRUE,FALSE)</f>
        <v>0</v>
      </c>
      <c r="X105" s="1750"/>
      <c r="Y105" s="1750"/>
      <c r="Z105" s="1772"/>
      <c r="AK105" s="3197"/>
      <c r="AL105" s="1748"/>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c r="BG105" s="1748"/>
      <c r="BH105" s="1748"/>
      <c r="BI105" s="1748"/>
      <c r="BJ105" s="1748"/>
      <c r="BK105" s="1748"/>
      <c r="BL105" s="1748"/>
      <c r="BM105" s="1748"/>
      <c r="BN105" s="1748"/>
      <c r="BO105" s="1748"/>
      <c r="BP105" s="1748"/>
      <c r="BQ105" s="1748"/>
      <c r="BR105" s="1748"/>
      <c r="BS105" s="1748"/>
      <c r="BT105" s="1748"/>
      <c r="BU105" s="1748"/>
      <c r="BV105" s="1748"/>
      <c r="BW105" s="1748"/>
      <c r="BX105" s="1748"/>
      <c r="BY105" s="1748"/>
      <c r="BZ105" s="1748"/>
      <c r="CA105" s="1748"/>
      <c r="CB105" s="1748"/>
      <c r="CC105" s="1748"/>
      <c r="CD105" s="1748"/>
      <c r="CE105" s="1752"/>
    </row>
    <row r="106" spans="1:84" s="1558" customFormat="1" ht="44.5" thickTop="1" thickBot="1" x14ac:dyDescent="0.35">
      <c r="A106" s="1751" t="s">
        <v>256</v>
      </c>
      <c r="B106" s="1504"/>
      <c r="C106" s="1806" t="s">
        <v>570</v>
      </c>
      <c r="D106" s="2241" t="s">
        <v>3</v>
      </c>
      <c r="E106" s="67" t="b">
        <f t="shared" ref="E106:E111" si="9">IF(D106="Compliant",TRUE,FALSE)</f>
        <v>0</v>
      </c>
      <c r="F106" s="399"/>
      <c r="G106" s="399" t="str">
        <f t="shared" ref="G106:G111" si="10">IF(I106&lt;&gt;"", "Not Blank", "")</f>
        <v/>
      </c>
      <c r="H106" s="44"/>
      <c r="I106" s="42"/>
      <c r="J106" s="2823" t="str">
        <f t="shared" ref="J106:J111" si="11">IF(L106&lt;&gt;"", "Not Blank", "")</f>
        <v/>
      </c>
      <c r="K106" s="2823"/>
      <c r="L106" s="2823"/>
      <c r="M106" s="2963"/>
      <c r="N106" s="4459"/>
      <c r="O106" s="4662"/>
      <c r="P106" s="2611"/>
      <c r="Q106" s="3198" t="s">
        <v>3</v>
      </c>
      <c r="R106" s="574" t="b">
        <f>IF(AND(R107=TRUE,R110=TRUE,R114=TRUE,R115=TRUE),TRUE,FALSE)</f>
        <v>0</v>
      </c>
      <c r="S106" s="44"/>
      <c r="T106" s="1748"/>
      <c r="U106" s="1775"/>
      <c r="V106" s="4459"/>
      <c r="W106" s="4468"/>
      <c r="X106" s="1748"/>
      <c r="Y106" s="1748"/>
      <c r="Z106" s="1775"/>
      <c r="AK106" s="3197"/>
      <c r="AL106" s="1748"/>
      <c r="AM106" s="1748"/>
      <c r="AN106" s="1748"/>
      <c r="AO106" s="1748"/>
      <c r="AP106" s="1748"/>
      <c r="AQ106" s="1748"/>
      <c r="AR106" s="1748"/>
      <c r="AS106" s="1748"/>
      <c r="AT106" s="1748"/>
      <c r="AU106" s="1748"/>
      <c r="AV106" s="1748"/>
      <c r="AW106" s="1748"/>
      <c r="AX106" s="1748"/>
      <c r="AY106" s="1748"/>
      <c r="AZ106" s="1748"/>
      <c r="BA106" s="1748"/>
      <c r="BB106" s="1748"/>
      <c r="BC106" s="1748"/>
      <c r="BD106" s="1748"/>
      <c r="BE106" s="1748"/>
      <c r="BF106" s="1748"/>
      <c r="BG106" s="1748"/>
      <c r="BH106" s="1748"/>
      <c r="BI106" s="1748"/>
      <c r="BJ106" s="1748"/>
      <c r="BK106" s="1748"/>
      <c r="BL106" s="1748"/>
      <c r="BM106" s="1748"/>
      <c r="BN106" s="1748"/>
      <c r="BO106" s="1748"/>
      <c r="BP106" s="1748"/>
      <c r="BQ106" s="1748"/>
      <c r="BR106" s="1748"/>
      <c r="BS106" s="1748"/>
      <c r="BT106" s="1748"/>
      <c r="BU106" s="1748"/>
      <c r="BV106" s="1748"/>
      <c r="BW106" s="1748"/>
      <c r="BX106" s="1748"/>
      <c r="BY106" s="1748"/>
      <c r="BZ106" s="1748"/>
      <c r="CA106" s="1748"/>
      <c r="CB106" s="1748"/>
      <c r="CC106" s="1748"/>
      <c r="CD106" s="1748"/>
      <c r="CE106" s="1752"/>
    </row>
    <row r="107" spans="1:84" s="1558" customFormat="1" ht="59" thickTop="1" thickBot="1" x14ac:dyDescent="0.35">
      <c r="A107" s="1751" t="s">
        <v>258</v>
      </c>
      <c r="B107" s="1504"/>
      <c r="C107" s="1717" t="s">
        <v>571</v>
      </c>
      <c r="D107" s="554" t="s">
        <v>3</v>
      </c>
      <c r="E107" s="2837" t="b">
        <f t="shared" si="9"/>
        <v>0</v>
      </c>
      <c r="F107" s="399"/>
      <c r="G107" s="399" t="str">
        <f t="shared" si="10"/>
        <v/>
      </c>
      <c r="H107" s="44"/>
      <c r="I107" s="44"/>
      <c r="J107" s="1748" t="str">
        <f t="shared" si="11"/>
        <v/>
      </c>
      <c r="K107" s="1748"/>
      <c r="L107" s="1748"/>
      <c r="M107" s="2963"/>
      <c r="N107" s="4459"/>
      <c r="O107" s="4662"/>
      <c r="P107" s="1785"/>
      <c r="Q107" s="3199" t="s">
        <v>3</v>
      </c>
      <c r="R107" s="574" t="b">
        <f>IF(AND(R108=TRUE,R109=TRUE,R110=TRUE,R111=TRUE),TRUE,FALSE)</f>
        <v>0</v>
      </c>
      <c r="S107" s="44"/>
      <c r="T107" s="1748"/>
      <c r="U107" s="1775"/>
      <c r="V107" s="4459"/>
      <c r="W107" s="4468"/>
      <c r="X107" s="1748"/>
      <c r="Y107" s="1748"/>
      <c r="Z107" s="1775"/>
      <c r="AK107" s="3197"/>
      <c r="AL107" s="1748"/>
      <c r="AM107" s="1748"/>
      <c r="AN107" s="1748"/>
      <c r="AO107" s="1748"/>
      <c r="AP107" s="1748"/>
      <c r="AQ107" s="1748"/>
      <c r="AR107" s="1748"/>
      <c r="AS107" s="1748"/>
      <c r="AT107" s="1748"/>
      <c r="AU107" s="1748"/>
      <c r="AV107" s="1748"/>
      <c r="AW107" s="1748"/>
      <c r="AX107" s="1748"/>
      <c r="AY107" s="1748"/>
      <c r="AZ107" s="1748"/>
      <c r="BA107" s="1748"/>
      <c r="BB107" s="1748"/>
      <c r="BC107" s="1748"/>
      <c r="BD107" s="1748"/>
      <c r="BE107" s="1748"/>
      <c r="BF107" s="1748"/>
      <c r="BG107" s="1748"/>
      <c r="BH107" s="1748"/>
      <c r="BI107" s="1748"/>
      <c r="BJ107" s="1748"/>
      <c r="BK107" s="1748"/>
      <c r="BL107" s="1748"/>
      <c r="BM107" s="1748"/>
      <c r="BN107" s="1748"/>
      <c r="BO107" s="1748"/>
      <c r="BP107" s="1748"/>
      <c r="BQ107" s="1748"/>
      <c r="BR107" s="1748"/>
      <c r="BS107" s="1748"/>
      <c r="BT107" s="1748"/>
      <c r="BU107" s="1748"/>
      <c r="BV107" s="1748"/>
      <c r="BW107" s="1748"/>
      <c r="BX107" s="1748"/>
      <c r="BY107" s="1748"/>
      <c r="BZ107" s="1748"/>
      <c r="CA107" s="1748"/>
      <c r="CB107" s="1748"/>
      <c r="CC107" s="1748"/>
      <c r="CD107" s="1748"/>
      <c r="CE107" s="1752"/>
    </row>
    <row r="108" spans="1:84" s="1558" customFormat="1" ht="30" thickTop="1" thickBot="1" x14ac:dyDescent="0.35">
      <c r="A108" s="1751" t="s">
        <v>259</v>
      </c>
      <c r="B108" s="1504"/>
      <c r="C108" s="1717" t="s">
        <v>572</v>
      </c>
      <c r="D108" s="554" t="s">
        <v>3</v>
      </c>
      <c r="E108" s="2837" t="b">
        <f t="shared" si="9"/>
        <v>0</v>
      </c>
      <c r="F108" s="399"/>
      <c r="G108" s="399" t="str">
        <f t="shared" si="10"/>
        <v/>
      </c>
      <c r="H108" s="44"/>
      <c r="I108" s="44"/>
      <c r="J108" s="1748" t="str">
        <f t="shared" si="11"/>
        <v/>
      </c>
      <c r="K108" s="1748"/>
      <c r="L108" s="1748"/>
      <c r="M108" s="2963"/>
      <c r="N108" s="4459"/>
      <c r="O108" s="4662"/>
      <c r="P108" s="1785"/>
      <c r="Q108" s="3199" t="s">
        <v>3</v>
      </c>
      <c r="R108" s="574" t="b">
        <f>IF(AND(R109=TRUE,R110=TRUE),TRUE,FALSE)</f>
        <v>0</v>
      </c>
      <c r="S108" s="44"/>
      <c r="T108" s="1748"/>
      <c r="U108" s="1775"/>
      <c r="V108" s="4459"/>
      <c r="W108" s="4468"/>
      <c r="X108" s="1748"/>
      <c r="Y108" s="1748"/>
      <c r="Z108" s="1775"/>
      <c r="AK108" s="3197"/>
      <c r="AL108" s="1748"/>
      <c r="AM108" s="1748"/>
      <c r="AN108" s="1748"/>
      <c r="AO108" s="1748"/>
      <c r="AP108" s="1748"/>
      <c r="AQ108" s="1748"/>
      <c r="AR108" s="1748"/>
      <c r="AS108" s="1748"/>
      <c r="AT108" s="1748"/>
      <c r="AU108" s="1748"/>
      <c r="AV108" s="1748"/>
      <c r="AW108" s="1748"/>
      <c r="AX108" s="1748"/>
      <c r="AY108" s="1748"/>
      <c r="AZ108" s="1748"/>
      <c r="BA108" s="1748"/>
      <c r="BB108" s="1748"/>
      <c r="BC108" s="1748"/>
      <c r="BD108" s="1748"/>
      <c r="BE108" s="1748"/>
      <c r="BF108" s="1748"/>
      <c r="BG108" s="1748"/>
      <c r="BH108" s="1748"/>
      <c r="BI108" s="1748"/>
      <c r="BJ108" s="1748"/>
      <c r="BK108" s="1748"/>
      <c r="BL108" s="1748"/>
      <c r="BM108" s="1748"/>
      <c r="BN108" s="1748"/>
      <c r="BO108" s="1748"/>
      <c r="BP108" s="1748"/>
      <c r="BQ108" s="1748"/>
      <c r="BR108" s="1748"/>
      <c r="BS108" s="1748"/>
      <c r="BT108" s="1748"/>
      <c r="BU108" s="1748"/>
      <c r="BV108" s="1748"/>
      <c r="BW108" s="1748"/>
      <c r="BX108" s="1748"/>
      <c r="BY108" s="1748"/>
      <c r="BZ108" s="1748"/>
      <c r="CA108" s="1748"/>
      <c r="CB108" s="1748"/>
      <c r="CC108" s="1748"/>
      <c r="CD108" s="1748"/>
      <c r="CE108" s="1752"/>
    </row>
    <row r="109" spans="1:84" s="1558" customFormat="1" ht="30" thickTop="1" thickBot="1" x14ac:dyDescent="0.35">
      <c r="A109" s="1751" t="s">
        <v>260</v>
      </c>
      <c r="B109" s="1504"/>
      <c r="C109" s="1717" t="s">
        <v>573</v>
      </c>
      <c r="D109" s="554" t="s">
        <v>3</v>
      </c>
      <c r="E109" s="2837" t="b">
        <f t="shared" si="9"/>
        <v>0</v>
      </c>
      <c r="F109" s="399"/>
      <c r="G109" s="399" t="str">
        <f t="shared" si="10"/>
        <v/>
      </c>
      <c r="H109" s="44"/>
      <c r="I109" s="44"/>
      <c r="J109" s="1748" t="str">
        <f t="shared" si="11"/>
        <v/>
      </c>
      <c r="K109" s="1748"/>
      <c r="L109" s="1748"/>
      <c r="M109" s="2963"/>
      <c r="N109" s="4459"/>
      <c r="O109" s="4662"/>
      <c r="P109" s="1785"/>
      <c r="Q109" s="3199" t="s">
        <v>3</v>
      </c>
      <c r="R109" s="574" t="b">
        <f>IF(AND(R110=TRUE,R111=TRUE,R112=TRUE),TRUE,FALSE)</f>
        <v>0</v>
      </c>
      <c r="S109" s="44"/>
      <c r="T109" s="1748"/>
      <c r="U109" s="1775"/>
      <c r="V109" s="4459"/>
      <c r="W109" s="4468"/>
      <c r="X109" s="1748"/>
      <c r="Y109" s="1748"/>
      <c r="Z109" s="1775"/>
      <c r="AK109" s="3197"/>
      <c r="AL109" s="1748"/>
      <c r="AM109" s="1748"/>
      <c r="AN109" s="1748"/>
      <c r="AO109" s="1748"/>
      <c r="AP109" s="1748"/>
      <c r="AQ109" s="1748"/>
      <c r="AR109" s="1748"/>
      <c r="AS109" s="1748"/>
      <c r="AT109" s="1748"/>
      <c r="AU109" s="1748"/>
      <c r="AV109" s="1748"/>
      <c r="AW109" s="1748"/>
      <c r="AX109" s="1748"/>
      <c r="AY109" s="1748"/>
      <c r="AZ109" s="1748"/>
      <c r="BA109" s="1748"/>
      <c r="BB109" s="1748"/>
      <c r="BC109" s="1748"/>
      <c r="BD109" s="1748"/>
      <c r="BE109" s="1748"/>
      <c r="BF109" s="1748"/>
      <c r="BG109" s="1748"/>
      <c r="BH109" s="1748"/>
      <c r="BI109" s="1748"/>
      <c r="BJ109" s="1748"/>
      <c r="BK109" s="1748"/>
      <c r="BL109" s="1748"/>
      <c r="BM109" s="1748"/>
      <c r="BN109" s="1748"/>
      <c r="BO109" s="1748"/>
      <c r="BP109" s="1748"/>
      <c r="BQ109" s="1748"/>
      <c r="BR109" s="1748"/>
      <c r="BS109" s="1748"/>
      <c r="BT109" s="1748"/>
      <c r="BU109" s="1748"/>
      <c r="BV109" s="1748"/>
      <c r="BW109" s="1748"/>
      <c r="BX109" s="1748"/>
      <c r="BY109" s="1748"/>
      <c r="BZ109" s="1748"/>
      <c r="CA109" s="1748"/>
      <c r="CB109" s="1748"/>
      <c r="CC109" s="1748"/>
      <c r="CD109" s="1748"/>
      <c r="CE109" s="1752"/>
    </row>
    <row r="110" spans="1:84" s="1558" customFormat="1" ht="16.5" thickTop="1" thickBot="1" x14ac:dyDescent="0.35">
      <c r="A110" s="1751" t="s">
        <v>261</v>
      </c>
      <c r="B110" s="1504"/>
      <c r="C110" s="1717" t="s">
        <v>575</v>
      </c>
      <c r="D110" s="554" t="s">
        <v>3</v>
      </c>
      <c r="E110" s="2837" t="b">
        <f t="shared" si="9"/>
        <v>0</v>
      </c>
      <c r="F110" s="399"/>
      <c r="G110" s="399" t="str">
        <f t="shared" si="10"/>
        <v/>
      </c>
      <c r="H110" s="44"/>
      <c r="I110" s="44"/>
      <c r="J110" s="1748" t="str">
        <f t="shared" si="11"/>
        <v/>
      </c>
      <c r="K110" s="1748"/>
      <c r="L110" s="1748"/>
      <c r="M110" s="2963"/>
      <c r="N110" s="4459"/>
      <c r="O110" s="4662"/>
      <c r="P110" s="1785"/>
      <c r="Q110" s="3199" t="s">
        <v>3</v>
      </c>
      <c r="R110" s="574" t="b">
        <f>IF(OR(Q110="Compliant",Q110="FE with work-a-round",Q110="Functionally Equivalent"),TRUE,FALSE)</f>
        <v>0</v>
      </c>
      <c r="S110" s="44"/>
      <c r="T110" s="1748"/>
      <c r="U110" s="1775"/>
      <c r="V110" s="4459"/>
      <c r="W110" s="4468"/>
      <c r="X110" s="1748"/>
      <c r="Y110" s="1748"/>
      <c r="Z110" s="1775"/>
      <c r="AK110" s="3197"/>
      <c r="AL110" s="1748"/>
      <c r="AM110" s="1748"/>
      <c r="AN110" s="1748"/>
      <c r="AO110" s="1748"/>
      <c r="AP110" s="1748"/>
      <c r="AQ110" s="1748"/>
      <c r="AR110" s="1748"/>
      <c r="AS110" s="1748"/>
      <c r="AT110" s="1748"/>
      <c r="AU110" s="1748"/>
      <c r="AV110" s="1748"/>
      <c r="AW110" s="1748"/>
      <c r="AX110" s="1748"/>
      <c r="AY110" s="1748"/>
      <c r="AZ110" s="1748"/>
      <c r="BA110" s="1748"/>
      <c r="BB110" s="1748"/>
      <c r="BC110" s="1748"/>
      <c r="BD110" s="1748"/>
      <c r="BE110" s="1748"/>
      <c r="BF110" s="1748"/>
      <c r="BG110" s="1748"/>
      <c r="BH110" s="1748"/>
      <c r="BI110" s="1748"/>
      <c r="BJ110" s="1748"/>
      <c r="BK110" s="1748"/>
      <c r="BL110" s="1748"/>
      <c r="BM110" s="1748"/>
      <c r="BN110" s="1748"/>
      <c r="BO110" s="1748"/>
      <c r="BP110" s="1748"/>
      <c r="BQ110" s="1748"/>
      <c r="BR110" s="1748"/>
      <c r="BS110" s="1748"/>
      <c r="BT110" s="1748"/>
      <c r="BU110" s="1748"/>
      <c r="BV110" s="1748"/>
      <c r="BW110" s="1748"/>
      <c r="BX110" s="1748"/>
      <c r="BY110" s="1748"/>
      <c r="BZ110" s="1748"/>
      <c r="CA110" s="1748"/>
      <c r="CB110" s="1748"/>
      <c r="CC110" s="1748"/>
      <c r="CD110" s="1748"/>
      <c r="CE110" s="1752"/>
    </row>
    <row r="111" spans="1:84" s="1558" customFormat="1" ht="30" thickTop="1" thickBot="1" x14ac:dyDescent="0.35">
      <c r="A111" s="1751" t="s">
        <v>262</v>
      </c>
      <c r="B111" s="1504"/>
      <c r="C111" s="1807" t="s">
        <v>574</v>
      </c>
      <c r="D111" s="1016" t="s">
        <v>3</v>
      </c>
      <c r="E111" s="67" t="b">
        <f t="shared" si="9"/>
        <v>0</v>
      </c>
      <c r="F111" s="399"/>
      <c r="G111" s="399" t="str">
        <f t="shared" si="10"/>
        <v/>
      </c>
      <c r="H111" s="44"/>
      <c r="I111" s="79"/>
      <c r="J111" s="1748" t="str">
        <f t="shared" si="11"/>
        <v/>
      </c>
      <c r="K111" s="1748"/>
      <c r="L111" s="1776"/>
      <c r="M111" s="2964"/>
      <c r="N111" s="4459"/>
      <c r="O111" s="4662"/>
      <c r="P111" s="1784"/>
      <c r="Q111" s="3200" t="s">
        <v>3</v>
      </c>
      <c r="R111" s="922" t="b">
        <f>IF(OR(Q111="Compliant",Q111="FE with work-a-round",Q111="Functionally Equivalent"),TRUE,FALSE)</f>
        <v>0</v>
      </c>
      <c r="S111" s="124"/>
      <c r="T111" s="1764"/>
      <c r="U111" s="1780"/>
      <c r="V111" s="4459"/>
      <c r="W111" s="4660"/>
      <c r="X111" s="1764"/>
      <c r="Y111" s="1764"/>
      <c r="Z111" s="1780"/>
      <c r="AK111" s="3197"/>
      <c r="AL111" s="1748"/>
      <c r="AM111" s="1748"/>
      <c r="AN111" s="1748"/>
      <c r="AO111" s="1748"/>
      <c r="AP111" s="1748"/>
      <c r="AQ111" s="1748"/>
      <c r="AR111" s="1748"/>
      <c r="AS111" s="1748"/>
      <c r="AT111" s="1748"/>
      <c r="AU111" s="1748"/>
      <c r="AV111" s="1748"/>
      <c r="AW111" s="1748"/>
      <c r="AX111" s="1748"/>
      <c r="AY111" s="1748"/>
      <c r="AZ111" s="1748"/>
      <c r="BA111" s="1748"/>
      <c r="BB111" s="1748"/>
      <c r="BC111" s="1748"/>
      <c r="BD111" s="1748"/>
      <c r="BE111" s="1748"/>
      <c r="BF111" s="1748"/>
      <c r="BG111" s="1748"/>
      <c r="BH111" s="1748"/>
      <c r="BI111" s="1748"/>
      <c r="BJ111" s="1748"/>
      <c r="BK111" s="1748"/>
      <c r="BL111" s="1748"/>
      <c r="BM111" s="1748"/>
      <c r="BN111" s="1748"/>
      <c r="BO111" s="1748"/>
      <c r="BP111" s="1748"/>
      <c r="BQ111" s="1748"/>
      <c r="BR111" s="1748"/>
      <c r="BS111" s="1748"/>
      <c r="BT111" s="1748"/>
      <c r="BU111" s="1748"/>
      <c r="BV111" s="1748"/>
      <c r="BW111" s="1748"/>
      <c r="BX111" s="1748"/>
      <c r="BY111" s="1748"/>
      <c r="BZ111" s="1748"/>
      <c r="CA111" s="1748"/>
      <c r="CB111" s="1748"/>
      <c r="CC111" s="1748"/>
      <c r="CD111" s="1748"/>
      <c r="CE111" s="1752"/>
    </row>
    <row r="112" spans="1:84" s="1558" customFormat="1" ht="30" thickTop="1" thickBot="1" x14ac:dyDescent="0.35">
      <c r="A112" s="1751"/>
      <c r="B112" s="3150" t="s">
        <v>576</v>
      </c>
      <c r="C112" s="1685" t="s">
        <v>1772</v>
      </c>
      <c r="D112" s="1192" t="s">
        <v>565</v>
      </c>
      <c r="E112" s="556" t="b">
        <f>IF(AND(E113=TRUE,E116=TRUE,E120=TRUE,E121=TRUE),TRUE,FALSE)</f>
        <v>0</v>
      </c>
      <c r="F112" s="293">
        <f>COUNTIF(E113,TRUE)</f>
        <v>0</v>
      </c>
      <c r="G112" s="293">
        <f>COUNTIFS(E113:E115,TRUE,G113:G115,"Not Blank")</f>
        <v>0</v>
      </c>
      <c r="H112" s="293">
        <f>COUNTIFS(E113:E115,FALSE,G113:G115,"Not Blank")</f>
        <v>0</v>
      </c>
      <c r="I112" s="1514" t="str">
        <f xml:space="preserve">
IF(F112&gt;3,"Too Many Entries - Check Red Lines",
IF(G112&lt;F112,"Valid Entry required below - Check Amber Line/s",
IF(AND(E112=FALSE,G112=0,H112=0),"Nothing Entered below Yet",
IF(G112&lt;F112,"Valid Entry required below - Check Amber Line/s",
IF(AND(G112=0,H112&gt;0),"**Non-Valid Entry/ies below - Check Yellow Line/s",
IF(AND(G112&gt;0,H112&gt;0),"**Valid and Non-Valid Entries made below - Check Yellow Line/s",
IF(AND(E112=FALSE,F112&lt;3),"Not all requirements addressed below - Check Pink Line/s",
IF(AND(E112=FALSE,G112&lt;3,G112&gt;0,H112=0),"More entries to come",
IF(AND(E112,TRUE,G112=3,H112=0),"Valid Entries made below"
)))))))))</f>
        <v>Nothing Entered below Yet</v>
      </c>
      <c r="J112" s="1517">
        <f>COUNTIFS(E113:E115,TRUE,J113:J115,"Not Blank")</f>
        <v>0</v>
      </c>
      <c r="K112" s="1517">
        <f>COUNTIFS(E113:E115,FALSE,J113:J115,"Not Blank")</f>
        <v>0</v>
      </c>
      <c r="L112" s="1514" t="str">
        <f xml:space="preserve">
IF(J112&gt;3,"Too Many Entries - Check Red Lines",
IF(J112&lt;F112,"Valid Entry required below - Check Amber Line/s",
IF(AND(E112=FALSE,J112=0,K112=0),"Nothing Entered below Yet",
IF(AND(J112=0,K112&gt;0),"**Non-Valid Entry/ies below - Check Yellow Line/s",
IF(AND(J112&gt;0,K112&gt;0),"**Valid and Non-Valid Entries made below - Check Yellow Line/s",
IF(AND(E112=FALSE,J112&lt;3),"Not all requirements addressed below - Check Pink Line/s",
IF(AND(E112=FALSE,J112&lt;3,J112&gt;0,K112=0),"More entries to come",
IF(AND(E112,TRUE,J112=3,K112=0),"Valid Entries made below"
))))))))</f>
        <v>Nothing Entered below Yet</v>
      </c>
      <c r="M112" s="3201"/>
      <c r="N112" s="4459" t="s">
        <v>3</v>
      </c>
      <c r="O112" s="4662" t="b">
        <f>IF(OR(N112="Compliant",N112="FE with work-a-round",N112="Functionally Equivalent"),TRUE,FALSE)</f>
        <v>0</v>
      </c>
      <c r="P112" s="120"/>
      <c r="Q112" s="4179" t="s">
        <v>565</v>
      </c>
      <c r="R112" s="773" t="b">
        <f>IF(AND(R113=TRUE,R116=TRUE,R120=TRUE,R121=TRUE),TRUE,FALSE)</f>
        <v>0</v>
      </c>
      <c r="S112" s="111"/>
      <c r="T112" s="111"/>
      <c r="U112" s="1398"/>
      <c r="V112" s="4459" t="s">
        <v>3</v>
      </c>
      <c r="W112" s="4659" t="b">
        <f>IF(OR(V112="Compliant",V112="FE with work-a-round",V112="Functionally Equivalent",V112="Not Required/Applicable"),TRUE,FALSE)</f>
        <v>0</v>
      </c>
      <c r="X112" s="1750"/>
      <c r="Y112" s="1750"/>
      <c r="Z112" s="1772"/>
      <c r="AK112" s="3197"/>
      <c r="AL112" s="1748"/>
      <c r="AM112" s="1748"/>
      <c r="AN112" s="1748"/>
      <c r="AO112" s="1748"/>
      <c r="AP112" s="1748"/>
      <c r="AQ112" s="1748"/>
      <c r="AR112" s="1748"/>
      <c r="AS112" s="1748"/>
      <c r="AT112" s="1748"/>
      <c r="AU112" s="1748"/>
      <c r="AV112" s="1748"/>
      <c r="AW112" s="1748"/>
      <c r="AX112" s="1748"/>
      <c r="AY112" s="1748"/>
      <c r="AZ112" s="1748"/>
      <c r="BA112" s="1748"/>
      <c r="BB112" s="1748"/>
      <c r="BC112" s="1748"/>
      <c r="BD112" s="1748"/>
      <c r="BE112" s="1748"/>
      <c r="BF112" s="1748"/>
      <c r="BG112" s="1748"/>
      <c r="BH112" s="1748"/>
      <c r="BI112" s="1748"/>
      <c r="BJ112" s="1748"/>
      <c r="BK112" s="1748"/>
      <c r="BL112" s="1748"/>
      <c r="BM112" s="1748"/>
      <c r="BN112" s="1748"/>
      <c r="BO112" s="1748"/>
      <c r="BP112" s="1748"/>
      <c r="BQ112" s="1748"/>
      <c r="BR112" s="1748"/>
      <c r="BS112" s="1748"/>
      <c r="BT112" s="1748"/>
      <c r="BU112" s="1748"/>
      <c r="BV112" s="1748"/>
      <c r="BW112" s="1748"/>
      <c r="BX112" s="1748"/>
      <c r="BY112" s="1748"/>
      <c r="BZ112" s="1748"/>
      <c r="CA112" s="1748"/>
      <c r="CB112" s="1748"/>
      <c r="CC112" s="1748"/>
      <c r="CD112" s="1748"/>
      <c r="CE112" s="1752"/>
    </row>
    <row r="113" spans="1:83" s="1558" customFormat="1" ht="30" thickTop="1" thickBot="1" x14ac:dyDescent="0.35">
      <c r="A113" s="1751" t="s">
        <v>255</v>
      </c>
      <c r="B113" s="1910" t="s">
        <v>1770</v>
      </c>
      <c r="C113" s="3261" t="s">
        <v>1773</v>
      </c>
      <c r="D113" s="2343" t="s">
        <v>565</v>
      </c>
      <c r="E113" s="934" t="b">
        <f>IF(AND(E114=TRUE,E115=TRUE),TRUE,FALSE)</f>
        <v>0</v>
      </c>
      <c r="F113" s="197">
        <f>COUNTIF(E114:E115,TRUE)</f>
        <v>0</v>
      </c>
      <c r="G113" s="197">
        <f>COUNTIFS(E114:E115,TRUE,G114:G115,"Not Blank")</f>
        <v>0</v>
      </c>
      <c r="H113" s="197">
        <f>COUNTIFS(E114:E115,FALSE,G114:G115,"Not Blank")</f>
        <v>0</v>
      </c>
      <c r="I113" s="3264" t="str">
        <f xml:space="preserve">
IF(F113&gt;2,"Too Many Entries - Check Red Lines",
IF(G113&lt;F113,"Valid Entry required below - Check Amber Line/s",
IF(AND(E113=FALSE,G113=0,H113=0),"Nothing Entered below Yet",
IF(G113&lt;F113,"Valid Entry required below - Check Amber Line/s",
IF(AND(G113=0,H113&gt;0),"**Non-Valid Entry/ies below - Check Yellow Line/s",
IF(AND(G113&gt;0,H113&gt;0),"**Valid and Non-Valid Entries made below - Check Yellow Line/s",
IF(AND(E113=FALSE,F113&lt;2),"Not all requirements addressed below - Check Pink Line/s",
IF(AND(E113=FALSE,G113&lt;2,G113&gt;0,H113=0),"More entries to come",
IF(AND(E113,TRUE,G113=2,H113=0),"Valid Entries made below"
)))))))))</f>
        <v>Nothing Entered below Yet</v>
      </c>
      <c r="J113" s="3264">
        <f>COUNTIFS(E114:E115,TRUE,J114:J115,"Not Blank")</f>
        <v>0</v>
      </c>
      <c r="K113" s="3264">
        <f>COUNTIFS(E114:E115,FALSE,J114:J115,"Not Blank")</f>
        <v>0</v>
      </c>
      <c r="L113" s="3264" t="str">
        <f xml:space="preserve">
IF(J113&gt;2,"Too Many Entries - Check Red Lines",
IF(J113&lt;F113,"Valid Entry required below - Check Amber Line/s",
IF(AND(E113=FALSE,J113=0,K113=0),"Nothing Entered below Yet",
IF(AND(J113=0,K113&gt;0),"**Non-Valid Entry/ies below - Check Yellow Line/s",
IF(AND(J113&gt;0,K113&gt;0),"**Valid and Non-Valid Entries made below - Check Yellow Line/s",
IF(AND(E113=FALSE,J113&lt;2),"Not all requirements addressed below - Check Pink Line/s",
IF(AND(E113=FALSE,J113&lt;2,J113&gt;0,K113=0),"More entries to come",
IF(AND(E113,TRUE,J113=2,K113=0),"Valid Entries made below"
))))))))</f>
        <v>Nothing Entered below Yet</v>
      </c>
      <c r="M113" s="2965"/>
      <c r="N113" s="4459"/>
      <c r="O113" s="4662"/>
      <c r="P113" s="3203"/>
      <c r="Q113" s="4175" t="s">
        <v>565</v>
      </c>
      <c r="R113" s="574" t="b">
        <f>IF(AND(R114=TRUE,R115=TRUE),TRUE,FALSE)</f>
        <v>0</v>
      </c>
      <c r="S113" s="44"/>
      <c r="T113" s="1748"/>
      <c r="U113" s="1775"/>
      <c r="V113" s="4459"/>
      <c r="W113" s="4468"/>
      <c r="X113" s="1748"/>
      <c r="Y113" s="1748"/>
      <c r="Z113" s="1775"/>
      <c r="AK113" s="3197"/>
      <c r="AL113" s="1748"/>
      <c r="AM113" s="1748"/>
      <c r="AN113" s="1748"/>
      <c r="AO113" s="1748"/>
      <c r="AP113" s="1748"/>
      <c r="AQ113" s="1748"/>
      <c r="AR113" s="1748"/>
      <c r="AS113" s="1748"/>
      <c r="AT113" s="1748"/>
      <c r="AU113" s="1748"/>
      <c r="AV113" s="1748"/>
      <c r="AW113" s="1748"/>
      <c r="AX113" s="1748"/>
      <c r="AY113" s="1748"/>
      <c r="AZ113" s="1748"/>
      <c r="BA113" s="1748"/>
      <c r="BB113" s="1748"/>
      <c r="BC113" s="1748"/>
      <c r="BD113" s="1748"/>
      <c r="BE113" s="1748"/>
      <c r="BF113" s="1748"/>
      <c r="BG113" s="1748"/>
      <c r="BH113" s="1748"/>
      <c r="BI113" s="1748"/>
      <c r="BJ113" s="1748"/>
      <c r="BK113" s="1748"/>
      <c r="BL113" s="1748"/>
      <c r="BM113" s="1748"/>
      <c r="BN113" s="1748"/>
      <c r="BO113" s="1748"/>
      <c r="BP113" s="1748"/>
      <c r="BQ113" s="1748"/>
      <c r="BR113" s="1748"/>
      <c r="BS113" s="1748"/>
      <c r="BT113" s="1748"/>
      <c r="BU113" s="1748"/>
      <c r="BV113" s="1748"/>
      <c r="BW113" s="1748"/>
      <c r="BX113" s="1748"/>
      <c r="BY113" s="1748"/>
      <c r="BZ113" s="1748"/>
      <c r="CA113" s="1748"/>
      <c r="CB113" s="1748"/>
      <c r="CC113" s="1748"/>
      <c r="CD113" s="1748"/>
      <c r="CE113" s="1752"/>
    </row>
    <row r="114" spans="1:83" s="1558" customFormat="1" ht="16.5" thickTop="1" thickBot="1" x14ac:dyDescent="0.35">
      <c r="A114" s="1751" t="s">
        <v>256</v>
      </c>
      <c r="B114" s="1504"/>
      <c r="C114" s="1806" t="s">
        <v>577</v>
      </c>
      <c r="D114" s="2241" t="s">
        <v>3</v>
      </c>
      <c r="E114" s="67" t="b">
        <f>IF(D114="Compliant",TRUE,FALSE)</f>
        <v>0</v>
      </c>
      <c r="F114" s="44"/>
      <c r="G114" s="44" t="str">
        <f t="shared" ref="G114:G115" si="12">IF(I114&lt;&gt;"", "Not Blank", "")</f>
        <v/>
      </c>
      <c r="H114" s="44"/>
      <c r="I114" s="42"/>
      <c r="J114" s="42" t="str">
        <f t="shared" ref="J114:J115" si="13">IF(L114&lt;&gt;"", "Not Blank", "")</f>
        <v/>
      </c>
      <c r="K114" s="42"/>
      <c r="L114" s="42"/>
      <c r="M114" s="2965"/>
      <c r="N114" s="4459"/>
      <c r="O114" s="4662"/>
      <c r="P114" s="2611"/>
      <c r="Q114" s="3198" t="s">
        <v>3</v>
      </c>
      <c r="R114" s="574" t="b">
        <f>IF(OR(Q114="Compliant",Q114="FE with work-a-round",Q114="Functionally Equivalent"),TRUE,FALSE)</f>
        <v>0</v>
      </c>
      <c r="S114" s="44"/>
      <c r="T114" s="1748"/>
      <c r="U114" s="1775"/>
      <c r="V114" s="4459"/>
      <c r="W114" s="4468"/>
      <c r="X114" s="1748"/>
      <c r="Y114" s="1748"/>
      <c r="Z114" s="1775"/>
      <c r="AK114" s="3197"/>
      <c r="AL114" s="1748"/>
      <c r="AM114" s="1748"/>
      <c r="AN114" s="1748"/>
      <c r="AO114" s="1748"/>
      <c r="AP114" s="1748"/>
      <c r="AQ114" s="1748"/>
      <c r="AR114" s="1748"/>
      <c r="AS114" s="1748"/>
      <c r="AT114" s="1748"/>
      <c r="AU114" s="1748"/>
      <c r="AV114" s="1748"/>
      <c r="AW114" s="1748"/>
      <c r="AX114" s="1748"/>
      <c r="AY114" s="1748"/>
      <c r="AZ114" s="1748"/>
      <c r="BA114" s="1748"/>
      <c r="BB114" s="1748"/>
      <c r="BC114" s="1748"/>
      <c r="BD114" s="1748"/>
      <c r="BE114" s="1748"/>
      <c r="BF114" s="1748"/>
      <c r="BG114" s="1748"/>
      <c r="BH114" s="1748"/>
      <c r="BI114" s="1748"/>
      <c r="BJ114" s="1748"/>
      <c r="BK114" s="1748"/>
      <c r="BL114" s="1748"/>
      <c r="BM114" s="1748"/>
      <c r="BN114" s="1748"/>
      <c r="BO114" s="1748"/>
      <c r="BP114" s="1748"/>
      <c r="BQ114" s="1748"/>
      <c r="BR114" s="1748"/>
      <c r="BS114" s="1748"/>
      <c r="BT114" s="1748"/>
      <c r="BU114" s="1748"/>
      <c r="BV114" s="1748"/>
      <c r="BW114" s="1748"/>
      <c r="BX114" s="1748"/>
      <c r="BY114" s="1748"/>
      <c r="BZ114" s="1748"/>
      <c r="CA114" s="1748"/>
      <c r="CB114" s="1748"/>
      <c r="CC114" s="1748"/>
      <c r="CD114" s="1748"/>
      <c r="CE114" s="1752"/>
    </row>
    <row r="115" spans="1:83" s="1558" customFormat="1" ht="30" thickTop="1" thickBot="1" x14ac:dyDescent="0.35">
      <c r="A115" s="1751" t="s">
        <v>258</v>
      </c>
      <c r="B115" s="1504"/>
      <c r="C115" s="1807" t="s">
        <v>578</v>
      </c>
      <c r="D115" s="1016" t="s">
        <v>3</v>
      </c>
      <c r="E115" s="2837" t="b">
        <f>IF(D115="Compliant",TRUE,FALSE)</f>
        <v>0</v>
      </c>
      <c r="F115" s="399"/>
      <c r="G115" s="399" t="str">
        <f t="shared" si="12"/>
        <v/>
      </c>
      <c r="H115" s="399"/>
      <c r="I115" s="79"/>
      <c r="J115" s="44" t="str">
        <f t="shared" si="13"/>
        <v/>
      </c>
      <c r="K115" s="44"/>
      <c r="L115" s="79"/>
      <c r="M115" s="2966"/>
      <c r="N115" s="4459"/>
      <c r="O115" s="4662"/>
      <c r="P115" s="1784"/>
      <c r="Q115" s="3200" t="s">
        <v>3</v>
      </c>
      <c r="R115" s="922" t="b">
        <f>IF(OR(Q115="Compliant",Q115="FE with work-a-round",Q115="Functionally Equivalent"),TRUE,FALSE)</f>
        <v>0</v>
      </c>
      <c r="S115" s="124"/>
      <c r="T115" s="1764"/>
      <c r="U115" s="1780"/>
      <c r="V115" s="4459"/>
      <c r="W115" s="4660"/>
      <c r="X115" s="1764"/>
      <c r="Y115" s="1764"/>
      <c r="Z115" s="1780"/>
      <c r="AK115" s="3197"/>
      <c r="AL115" s="1748"/>
      <c r="AM115" s="1748"/>
      <c r="AN115" s="1748"/>
      <c r="AO115" s="1748"/>
      <c r="AP115" s="1748"/>
      <c r="AQ115" s="1748"/>
      <c r="AR115" s="1748"/>
      <c r="AS115" s="1748"/>
      <c r="AT115" s="1748"/>
      <c r="AU115" s="1748"/>
      <c r="AV115" s="1748"/>
      <c r="AW115" s="1748"/>
      <c r="AX115" s="1748"/>
      <c r="AY115" s="1748"/>
      <c r="AZ115" s="1748"/>
      <c r="BA115" s="1748"/>
      <c r="BB115" s="1748"/>
      <c r="BC115" s="1748"/>
      <c r="BD115" s="1748"/>
      <c r="BE115" s="1748"/>
      <c r="BF115" s="1748"/>
      <c r="BG115" s="1748"/>
      <c r="BH115" s="1748"/>
      <c r="BI115" s="1748"/>
      <c r="BJ115" s="1748"/>
      <c r="BK115" s="1748"/>
      <c r="BL115" s="1748"/>
      <c r="BM115" s="1748"/>
      <c r="BN115" s="1748"/>
      <c r="BO115" s="1748"/>
      <c r="BP115" s="1748"/>
      <c r="BQ115" s="1748"/>
      <c r="BR115" s="1748"/>
      <c r="BS115" s="1748"/>
      <c r="BT115" s="1748"/>
      <c r="BU115" s="1748"/>
      <c r="BV115" s="1748"/>
      <c r="BW115" s="1748"/>
      <c r="BX115" s="1748"/>
      <c r="BY115" s="1748"/>
      <c r="BZ115" s="1748"/>
      <c r="CA115" s="1748"/>
      <c r="CB115" s="1748"/>
      <c r="CC115" s="1748"/>
      <c r="CD115" s="1748"/>
      <c r="CE115" s="1752"/>
    </row>
    <row r="116" spans="1:83" s="1558" customFormat="1" ht="30" thickTop="1" thickBot="1" x14ac:dyDescent="0.35">
      <c r="A116" s="1751" t="s">
        <v>259</v>
      </c>
      <c r="B116" s="3150" t="s">
        <v>1639</v>
      </c>
      <c r="C116" s="2175" t="s">
        <v>1774</v>
      </c>
      <c r="D116" s="2343" t="s">
        <v>565</v>
      </c>
      <c r="E116" s="556" t="b">
        <f>IF(AND(E117=TRUE,E118=TRUE,E119=TRUE,E120=TRUE),TRUE,FALSE)</f>
        <v>0</v>
      </c>
      <c r="F116" s="293">
        <f>COUNTIF(E117:E120,TRUE)</f>
        <v>0</v>
      </c>
      <c r="G116" s="293">
        <f>COUNTIFS(E117:E120,TRUE,G117:G120,"Not Blank")</f>
        <v>0</v>
      </c>
      <c r="H116" s="293">
        <f>COUNTIFS(E117:E120,FALSE,G117:G120,"Not Blank")</f>
        <v>0</v>
      </c>
      <c r="I116" s="2155" t="str">
        <f xml:space="preserve">
IF(F116&gt;3,"Too Many Entries - Check Red Lines",
IF(G116&lt;F116,"Valid Entry required below - Check Amber Line/s",
IF(AND(E116=FALSE,G116=0,H116=0),"Nothing Entered below Yet",
IF(G116&lt;F116,"Valid Entry required below - Check Amber Line/s",
IF(AND(G116=0,H116&gt;0),"**Non-Valid Entry/ies below - Check Yellow Line/s",
IF(AND(G116&gt;0,H116&gt;0),"**Valid and Non-Valid Entries made below - Check Yellow Line/s",
IF(AND(E116=FALSE,F116&lt;3),"Not all requirements addressed below - Check Pink Line/s",
IF(AND(E116=FALSE,G116&lt;3,G116&gt;0,H116=0),"More entries to come",
IF(AND(E116,TRUE,G116=3,H116=0),"Valid Entries made below"
)))))))))</f>
        <v>Nothing Entered below Yet</v>
      </c>
      <c r="J116" s="2257">
        <f>COUNTIFS(E117:E120,TRUE,J117:J120,"Not Blank")</f>
        <v>0</v>
      </c>
      <c r="K116" s="2257">
        <f>COUNTIFS(E117:E120,FALSE,J117:J120,"Not Blank")</f>
        <v>0</v>
      </c>
      <c r="L116" s="2155" t="str">
        <f xml:space="preserve">
IF(J116&gt;3,"Too Many Entries - Check Red Lines",
IF(J116&lt;F116,"Valid Entry required below - Check Amber Line/s",
IF(AND(E116=FALSE,J116=0,K116=0),"Nothing Entered below Yet",
IF(AND(J116=0,K116&gt;0),"**Non-Valid Entry/ies below - Check Yellow Line/s",
IF(AND(J116&gt;0,K116&gt;0),"**Valid and Non-Valid Entries made below - Check Yellow Line/s",
IF(AND(E116=FALSE,J116&lt;3),"Not all requirements addressed below - Check Pink Line/s",
IF(AND(E116=FALSE,J116&lt;3,J116&gt;0,K116=0),"More entries to come",
IF(AND(E116,TRUE,J116=3,K116=0),"Valid Entries made below"
))))))))</f>
        <v>Nothing Entered below Yet</v>
      </c>
      <c r="M116" s="2965"/>
      <c r="N116" s="4459" t="s">
        <v>3</v>
      </c>
      <c r="O116" s="4662" t="b">
        <f>IF(OR(N116="Compliant",N116="FE with work-a-round",N116="Functionally Equivalent"),TRUE,FALSE)</f>
        <v>0</v>
      </c>
      <c r="P116" s="807"/>
      <c r="Q116" s="4175" t="s">
        <v>565</v>
      </c>
      <c r="R116" s="773" t="b">
        <f>IF(AND(R117=TRUE,R118=TRUE,R119=TRUE,R120=TRUE),TRUE,FALSE)</f>
        <v>0</v>
      </c>
      <c r="S116" s="111"/>
      <c r="T116" s="111"/>
      <c r="U116" s="1398"/>
      <c r="V116" s="4459" t="s">
        <v>3</v>
      </c>
      <c r="W116" s="4659" t="b">
        <f>IF(OR(V116="Compliant",V116="FE with work-a-round",V116="Functionally Equivalent",V116="Not Required/Applicable"),TRUE,FALSE)</f>
        <v>0</v>
      </c>
      <c r="X116" s="1750"/>
      <c r="Y116" s="1750"/>
      <c r="Z116" s="1772"/>
      <c r="AK116" s="3197"/>
      <c r="AL116" s="1748"/>
      <c r="AM116" s="1748"/>
      <c r="AN116" s="1748"/>
      <c r="AO116" s="1748"/>
      <c r="AP116" s="1748"/>
      <c r="AQ116" s="1748"/>
      <c r="AR116" s="1748"/>
      <c r="AS116" s="1748"/>
      <c r="AT116" s="1748"/>
      <c r="AU116" s="1748"/>
      <c r="AV116" s="1748"/>
      <c r="AW116" s="1748"/>
      <c r="AX116" s="1748"/>
      <c r="AY116" s="1748"/>
      <c r="AZ116" s="1748"/>
      <c r="BA116" s="1748"/>
      <c r="BB116" s="1748"/>
      <c r="BC116" s="1748"/>
      <c r="BD116" s="1748"/>
      <c r="BE116" s="1748"/>
      <c r="BF116" s="1748"/>
      <c r="BG116" s="1748"/>
      <c r="BH116" s="1748"/>
      <c r="BI116" s="1748"/>
      <c r="BJ116" s="1748"/>
      <c r="BK116" s="1748"/>
      <c r="BL116" s="1748"/>
      <c r="BM116" s="1748"/>
      <c r="BN116" s="1748"/>
      <c r="BO116" s="1748"/>
      <c r="BP116" s="1748"/>
      <c r="BQ116" s="1748"/>
      <c r="BR116" s="1748"/>
      <c r="BS116" s="1748"/>
      <c r="BT116" s="1748"/>
      <c r="BU116" s="1748"/>
      <c r="BV116" s="1748"/>
      <c r="BW116" s="1748"/>
      <c r="BX116" s="1748"/>
      <c r="BY116" s="1748"/>
      <c r="BZ116" s="1748"/>
      <c r="CA116" s="1748"/>
      <c r="CB116" s="1748"/>
      <c r="CC116" s="1748"/>
      <c r="CD116" s="1748"/>
      <c r="CE116" s="1752"/>
    </row>
    <row r="117" spans="1:83" s="1558" customFormat="1" ht="30" thickTop="1" thickBot="1" x14ac:dyDescent="0.35">
      <c r="A117" s="1751" t="s">
        <v>260</v>
      </c>
      <c r="B117" s="1504"/>
      <c r="C117" s="1806" t="s">
        <v>579</v>
      </c>
      <c r="D117" s="2241" t="s">
        <v>3</v>
      </c>
      <c r="E117" s="2837" t="b">
        <f>IF(D117="Compliant",TRUE,FALSE)</f>
        <v>0</v>
      </c>
      <c r="F117" s="399"/>
      <c r="G117" s="399" t="str">
        <f t="shared" ref="G117:G120" si="14">IF(I117&lt;&gt;"", "Not Blank", "")</f>
        <v/>
      </c>
      <c r="H117" s="399"/>
      <c r="I117" s="42"/>
      <c r="J117" s="42" t="str">
        <f t="shared" ref="J117:J120" si="15">IF(L117&lt;&gt;"", "Not Blank", "")</f>
        <v/>
      </c>
      <c r="K117" s="42"/>
      <c r="L117" s="42"/>
      <c r="M117" s="2965"/>
      <c r="N117" s="4459"/>
      <c r="O117" s="4662"/>
      <c r="P117" s="3204"/>
      <c r="Q117" s="3198" t="s">
        <v>3</v>
      </c>
      <c r="R117" s="574" t="b">
        <f>IF(OR(Q117="Compliant",Q117="FE with work-a-round",Q117="Functionally Equivalent"),TRUE,FALSE)</f>
        <v>0</v>
      </c>
      <c r="S117" s="44"/>
      <c r="T117" s="1748"/>
      <c r="U117" s="1775"/>
      <c r="V117" s="4459"/>
      <c r="W117" s="4468"/>
      <c r="X117" s="1748"/>
      <c r="Y117" s="1748"/>
      <c r="Z117" s="1775"/>
      <c r="AK117" s="3197"/>
      <c r="AL117" s="1748"/>
      <c r="AM117" s="1748"/>
      <c r="AN117" s="1748"/>
      <c r="AO117" s="1748"/>
      <c r="AP117" s="1748"/>
      <c r="AQ117" s="1748"/>
      <c r="AR117" s="1748"/>
      <c r="AS117" s="1748"/>
      <c r="AT117" s="1748"/>
      <c r="AU117" s="1748"/>
      <c r="AV117" s="1748"/>
      <c r="AW117" s="1748"/>
      <c r="AX117" s="1748"/>
      <c r="AY117" s="1748"/>
      <c r="AZ117" s="1748"/>
      <c r="BA117" s="1748"/>
      <c r="BB117" s="1748"/>
      <c r="BC117" s="1748"/>
      <c r="BD117" s="1748"/>
      <c r="BE117" s="1748"/>
      <c r="BF117" s="1748"/>
      <c r="BG117" s="1748"/>
      <c r="BH117" s="1748"/>
      <c r="BI117" s="1748"/>
      <c r="BJ117" s="1748"/>
      <c r="BK117" s="1748"/>
      <c r="BL117" s="1748"/>
      <c r="BM117" s="1748"/>
      <c r="BN117" s="1748"/>
      <c r="BO117" s="1748"/>
      <c r="BP117" s="1748"/>
      <c r="BQ117" s="1748"/>
      <c r="BR117" s="1748"/>
      <c r="BS117" s="1748"/>
      <c r="BT117" s="1748"/>
      <c r="BU117" s="1748"/>
      <c r="BV117" s="1748"/>
      <c r="BW117" s="1748"/>
      <c r="BX117" s="1748"/>
      <c r="BY117" s="1748"/>
      <c r="BZ117" s="1748"/>
      <c r="CA117" s="1748"/>
      <c r="CB117" s="1748"/>
      <c r="CC117" s="1748"/>
      <c r="CD117" s="1748"/>
      <c r="CE117" s="1752"/>
    </row>
    <row r="118" spans="1:83" s="1558" customFormat="1" ht="30" thickTop="1" thickBot="1" x14ac:dyDescent="0.35">
      <c r="A118" s="1751" t="s">
        <v>261</v>
      </c>
      <c r="B118" s="1504"/>
      <c r="C118" s="1717" t="s">
        <v>1775</v>
      </c>
      <c r="D118" s="554" t="s">
        <v>3</v>
      </c>
      <c r="E118" s="2837" t="b">
        <f>IF(D118="Compliant",TRUE,FALSE)</f>
        <v>0</v>
      </c>
      <c r="F118" s="399"/>
      <c r="G118" s="399" t="str">
        <f t="shared" si="14"/>
        <v/>
      </c>
      <c r="H118" s="399"/>
      <c r="I118" s="44"/>
      <c r="J118" s="44" t="str">
        <f t="shared" si="15"/>
        <v/>
      </c>
      <c r="K118" s="44"/>
      <c r="L118" s="44"/>
      <c r="M118" s="2965"/>
      <c r="N118" s="4459"/>
      <c r="O118" s="4662"/>
      <c r="P118" s="1785"/>
      <c r="Q118" s="3199" t="s">
        <v>3</v>
      </c>
      <c r="R118" s="574" t="b">
        <f>IF(OR(Q118="Compliant",Q118="FE with work-a-round",Q118="Functionally Equivalent"),TRUE,FALSE)</f>
        <v>0</v>
      </c>
      <c r="S118" s="44"/>
      <c r="T118" s="1748"/>
      <c r="U118" s="1775"/>
      <c r="V118" s="4459"/>
      <c r="W118" s="4468"/>
      <c r="X118" s="1748"/>
      <c r="Y118" s="1748"/>
      <c r="Z118" s="1775"/>
      <c r="AK118" s="3197"/>
      <c r="AL118" s="1748"/>
      <c r="AM118" s="1748"/>
      <c r="AN118" s="1748"/>
      <c r="AO118" s="1748"/>
      <c r="AP118" s="1748"/>
      <c r="AQ118" s="1748"/>
      <c r="AR118" s="1748"/>
      <c r="AS118" s="1748"/>
      <c r="AT118" s="1748"/>
      <c r="AU118" s="1748"/>
      <c r="AV118" s="1748"/>
      <c r="AW118" s="1748"/>
      <c r="AX118" s="1748"/>
      <c r="AY118" s="1748"/>
      <c r="AZ118" s="1748"/>
      <c r="BA118" s="1748"/>
      <c r="BB118" s="1748"/>
      <c r="BC118" s="1748"/>
      <c r="BD118" s="1748"/>
      <c r="BE118" s="1748"/>
      <c r="BF118" s="1748"/>
      <c r="BG118" s="1748"/>
      <c r="BH118" s="1748"/>
      <c r="BI118" s="1748"/>
      <c r="BJ118" s="1748"/>
      <c r="BK118" s="1748"/>
      <c r="BL118" s="1748"/>
      <c r="BM118" s="1748"/>
      <c r="BN118" s="1748"/>
      <c r="BO118" s="1748"/>
      <c r="BP118" s="1748"/>
      <c r="BQ118" s="1748"/>
      <c r="BR118" s="1748"/>
      <c r="BS118" s="1748"/>
      <c r="BT118" s="1748"/>
      <c r="BU118" s="1748"/>
      <c r="BV118" s="1748"/>
      <c r="BW118" s="1748"/>
      <c r="BX118" s="1748"/>
      <c r="BY118" s="1748"/>
      <c r="BZ118" s="1748"/>
      <c r="CA118" s="1748"/>
      <c r="CB118" s="1748"/>
      <c r="CC118" s="1748"/>
      <c r="CD118" s="1748"/>
      <c r="CE118" s="1752"/>
    </row>
    <row r="119" spans="1:83" s="1558" customFormat="1" ht="30" thickTop="1" thickBot="1" x14ac:dyDescent="0.35">
      <c r="A119" s="1751" t="s">
        <v>262</v>
      </c>
      <c r="B119" s="1504"/>
      <c r="C119" s="1717" t="s">
        <v>1776</v>
      </c>
      <c r="D119" s="554" t="s">
        <v>3</v>
      </c>
      <c r="E119" s="67" t="b">
        <f>IF(D119="Compliant",TRUE,FALSE)</f>
        <v>0</v>
      </c>
      <c r="F119" s="44"/>
      <c r="G119" s="44" t="str">
        <f t="shared" si="14"/>
        <v/>
      </c>
      <c r="H119" s="44"/>
      <c r="I119" s="44"/>
      <c r="J119" s="44" t="str">
        <f t="shared" si="15"/>
        <v/>
      </c>
      <c r="K119" s="44"/>
      <c r="L119" s="44"/>
      <c r="M119" s="2965"/>
      <c r="N119" s="4459"/>
      <c r="O119" s="4662"/>
      <c r="P119" s="1785"/>
      <c r="Q119" s="3199" t="s">
        <v>3</v>
      </c>
      <c r="R119" s="574" t="b">
        <f>IF(OR(Q119="Compliant",Q119="FE with work-a-round",Q119="Functionally Equivalent"),TRUE,FALSE)</f>
        <v>0</v>
      </c>
      <c r="S119" s="44"/>
      <c r="T119" s="1748"/>
      <c r="U119" s="1775"/>
      <c r="V119" s="4459"/>
      <c r="W119" s="4468"/>
      <c r="X119" s="1748"/>
      <c r="Y119" s="1748"/>
      <c r="Z119" s="1775"/>
      <c r="AK119" s="3197"/>
      <c r="AL119" s="1748"/>
      <c r="AM119" s="1748"/>
      <c r="AN119" s="1748"/>
      <c r="AO119" s="1748"/>
      <c r="AP119" s="1748"/>
      <c r="AQ119" s="1748"/>
      <c r="AR119" s="1748"/>
      <c r="AS119" s="1748"/>
      <c r="AT119" s="1748"/>
      <c r="AU119" s="1748"/>
      <c r="AV119" s="1748"/>
      <c r="AW119" s="1748"/>
      <c r="AX119" s="1748"/>
      <c r="AY119" s="1748"/>
      <c r="AZ119" s="1748"/>
      <c r="BA119" s="1748"/>
      <c r="BB119" s="1748"/>
      <c r="BC119" s="1748"/>
      <c r="BD119" s="1748"/>
      <c r="BE119" s="1748"/>
      <c r="BF119" s="1748"/>
      <c r="BG119" s="1748"/>
      <c r="BH119" s="1748"/>
      <c r="BI119" s="1748"/>
      <c r="BJ119" s="1748"/>
      <c r="BK119" s="1748"/>
      <c r="BL119" s="1748"/>
      <c r="BM119" s="1748"/>
      <c r="BN119" s="1748"/>
      <c r="BO119" s="1748"/>
      <c r="BP119" s="1748"/>
      <c r="BQ119" s="1748"/>
      <c r="BR119" s="1748"/>
      <c r="BS119" s="1748"/>
      <c r="BT119" s="1748"/>
      <c r="BU119" s="1748"/>
      <c r="BV119" s="1748"/>
      <c r="BW119" s="1748"/>
      <c r="BX119" s="1748"/>
      <c r="BY119" s="1748"/>
      <c r="BZ119" s="1748"/>
      <c r="CA119" s="1748"/>
      <c r="CB119" s="1748"/>
      <c r="CC119" s="1748"/>
      <c r="CD119" s="1748"/>
      <c r="CE119" s="1752"/>
    </row>
    <row r="120" spans="1:83" s="1558" customFormat="1" ht="30" thickTop="1" thickBot="1" x14ac:dyDescent="0.35">
      <c r="A120" s="1751"/>
      <c r="B120" s="1910" t="s">
        <v>1771</v>
      </c>
      <c r="C120" s="1687" t="s">
        <v>580</v>
      </c>
      <c r="D120" s="1016" t="s">
        <v>3</v>
      </c>
      <c r="E120" s="67" t="b">
        <f>IF(D120="Compliant",TRUE,FALSE)</f>
        <v>0</v>
      </c>
      <c r="F120" s="44"/>
      <c r="G120" s="44" t="str">
        <f t="shared" si="14"/>
        <v/>
      </c>
      <c r="H120" s="44"/>
      <c r="I120" s="79"/>
      <c r="J120" s="44" t="str">
        <f t="shared" si="15"/>
        <v/>
      </c>
      <c r="K120" s="44"/>
      <c r="L120" s="79"/>
      <c r="M120" s="2965"/>
      <c r="N120" s="4459"/>
      <c r="O120" s="4662"/>
      <c r="P120" s="1784"/>
      <c r="Q120" s="3200" t="s">
        <v>3</v>
      </c>
      <c r="R120" s="922" t="b">
        <f>IF(OR(Q120="Compliant",Q120="FE with work-a-round",Q120="Functionally Equivalent"),TRUE,FALSE)</f>
        <v>0</v>
      </c>
      <c r="S120" s="124"/>
      <c r="T120" s="1764"/>
      <c r="U120" s="1780"/>
      <c r="V120" s="4459"/>
      <c r="W120" s="4660"/>
      <c r="X120" s="1764"/>
      <c r="Y120" s="1764"/>
      <c r="Z120" s="1780"/>
    </row>
    <row r="121" spans="1:83" s="1558" customFormat="1" ht="30" thickTop="1" thickBot="1" x14ac:dyDescent="0.35">
      <c r="A121" s="1751"/>
      <c r="B121" s="3150" t="s">
        <v>1640</v>
      </c>
      <c r="C121" s="2275" t="s">
        <v>581</v>
      </c>
      <c r="D121" s="2343" t="s">
        <v>565</v>
      </c>
      <c r="E121" s="3265" t="b">
        <f>IF(AND(E122=TRUE,E123=TRUE),TRUE,FALSE)</f>
        <v>0</v>
      </c>
      <c r="F121" s="3264">
        <f>COUNTIF(E122:E123,TRUE)</f>
        <v>0</v>
      </c>
      <c r="G121" s="3264">
        <f>COUNTIFS(E122:E123,TRUE,G122:G123,"Not Blank")</f>
        <v>0</v>
      </c>
      <c r="H121" s="3264">
        <f>COUNTIFS(E122:E123,FALSE,G122:G123,"Not Blank")</f>
        <v>0</v>
      </c>
      <c r="I121" s="2155" t="str">
        <f xml:space="preserve">
IF(F121&gt;2,"Too Many Entries - Check Red Lines",
IF(G121&lt;F121,"Valid Entry required below - Check Amber Line/s",
IF(AND(E121=FALSE,G121=0,H121=0),"Nothing Entered below Yet",
IF(G121&lt;F121,"Valid Entry required below - Check Amber Line/s",
IF(AND(G121=0,H121&gt;0),"**Non-Valid Entry/ies below - Check Yellow Line/s",
IF(AND(G121&gt;0,H121&gt;0),"**Valid and Non-Valid Entries made below - Check Yellow Line/s",
IF(AND(E121=FALSE,F121&lt;2),"Not all requirements addressed below - Check Pink Line/s",
IF(AND(E121=FALSE,G121&lt;2,G121&gt;0,H121=0),"More entries to come",
IF(AND(E121,TRUE,G121=2,H121=0),"Valid Entries made below"
)))))))))</f>
        <v>Nothing Entered below Yet</v>
      </c>
      <c r="J121" s="2257">
        <f>COUNTIFS(E122:E123,TRUE,J122:J123,"Not Blank")</f>
        <v>0</v>
      </c>
      <c r="K121" s="2257">
        <f>COUNTIFS(E122:E123,FALSE,J122:J123,"Not Blank")</f>
        <v>0</v>
      </c>
      <c r="L121" s="2155" t="str">
        <f xml:space="preserve">
IF(J121&gt;2,"Too Many Entries - Check Red Lines",
IF(J121&lt;F121,"Valid Entry required below - Check Amber Line/s",
IF(AND(E121=FALSE,J121=0,K121=0),"Nothing Entered below Yet",
IF(AND(J121=0,K121&gt;0),"**Non-Valid Entry/ies below - Check Yellow Line/s",
IF(AND(J121&gt;0,K121&gt;0),"**Valid and Non-Valid Entries made below - Check Yellow Line/s",
IF(AND(E121=FALSE,J121&lt;2),"Not all requirements addressed below - Check Pink Line/s",
IF(AND(E121=FALSE,J121&lt;2,J121&gt;0,K121=0),"More entries to come",
IF(AND(E121,TRUE,J121=2,K121=0),"Valid Entries made below"
))))))))</f>
        <v>Nothing Entered below Yet</v>
      </c>
      <c r="M121" s="3201"/>
      <c r="N121" s="4459" t="s">
        <v>3</v>
      </c>
      <c r="O121" s="4662" t="b">
        <f>IF(OR(N121="Compliant",N121="FE with work-a-round",N121="Functionally Equivalent"),TRUE,FALSE)</f>
        <v>0</v>
      </c>
      <c r="P121" s="807"/>
      <c r="Q121" s="4175" t="s">
        <v>565</v>
      </c>
      <c r="R121" s="773" t="b">
        <f>IF(AND(R122=TRUE,R123=TRUE),TRUE,FALSE)</f>
        <v>0</v>
      </c>
      <c r="S121" s="111"/>
      <c r="T121" s="111"/>
      <c r="U121" s="1398"/>
      <c r="V121" s="4459" t="s">
        <v>3</v>
      </c>
      <c r="W121" s="4659" t="b">
        <f>IF(OR(V121="Compliant",V121="FE with work-a-round",V121="Functionally Equivalent",V121="Not Required/Applicable"),TRUE,FALSE)</f>
        <v>0</v>
      </c>
      <c r="X121" s="1750"/>
      <c r="Y121" s="1750"/>
      <c r="Z121" s="1772"/>
    </row>
    <row r="122" spans="1:83" s="1558" customFormat="1" ht="30" thickTop="1" thickBot="1" x14ac:dyDescent="0.35">
      <c r="A122" s="1751"/>
      <c r="B122" s="1504"/>
      <c r="C122" s="2167" t="s">
        <v>582</v>
      </c>
      <c r="D122" s="2241" t="s">
        <v>3</v>
      </c>
      <c r="E122" s="41" t="b">
        <f>IF(D122="Compliant",TRUE,FALSE)</f>
        <v>0</v>
      </c>
      <c r="F122" s="42"/>
      <c r="G122" s="42" t="str">
        <f t="shared" ref="G122:G123" si="16">IF(I122&lt;&gt;"", "Not Blank", "")</f>
        <v/>
      </c>
      <c r="H122" s="42"/>
      <c r="I122" s="42"/>
      <c r="J122" s="42" t="str">
        <f t="shared" ref="J122:J123" si="17">IF(L122&lt;&gt;"", "Not Blank", "")</f>
        <v/>
      </c>
      <c r="K122" s="42"/>
      <c r="L122" s="42"/>
      <c r="M122" s="2965"/>
      <c r="N122" s="4459"/>
      <c r="O122" s="4662"/>
      <c r="P122" s="3204"/>
      <c r="Q122" s="3198" t="s">
        <v>3</v>
      </c>
      <c r="R122" s="574" t="b">
        <f>IF(OR(Q122="Compliant",Q122="FE with work-a-round",Q122="Functionally Equivalent"),TRUE,FALSE)</f>
        <v>0</v>
      </c>
      <c r="S122" s="44"/>
      <c r="T122" s="1748"/>
      <c r="U122" s="1775"/>
      <c r="V122" s="4459"/>
      <c r="W122" s="4468"/>
      <c r="X122" s="1748"/>
      <c r="Y122" s="1748"/>
      <c r="Z122" s="1775"/>
    </row>
    <row r="123" spans="1:83" s="1558" customFormat="1" ht="30" thickTop="1" thickBot="1" x14ac:dyDescent="0.35">
      <c r="A123" s="1751"/>
      <c r="B123" s="1508"/>
      <c r="C123" s="1807" t="s">
        <v>583</v>
      </c>
      <c r="D123" s="2850" t="s">
        <v>3</v>
      </c>
      <c r="E123" s="78" t="b">
        <f>IF(D123="Compliant",TRUE,FALSE)</f>
        <v>0</v>
      </c>
      <c r="F123" s="79"/>
      <c r="G123" s="79" t="str">
        <f t="shared" si="16"/>
        <v/>
      </c>
      <c r="H123" s="79"/>
      <c r="I123" s="79"/>
      <c r="J123" s="79" t="str">
        <f t="shared" si="17"/>
        <v/>
      </c>
      <c r="K123" s="79"/>
      <c r="L123" s="79"/>
      <c r="M123" s="2966"/>
      <c r="N123" s="4414"/>
      <c r="O123" s="4533"/>
      <c r="P123" s="1784"/>
      <c r="Q123" s="3205" t="s">
        <v>3</v>
      </c>
      <c r="R123" s="922" t="b">
        <f>IF(OR(Q123="Compliant",Q123="FE with work-a-round",Q123="Functionally Equivalent"),TRUE,FALSE)</f>
        <v>0</v>
      </c>
      <c r="S123" s="124"/>
      <c r="T123" s="1764"/>
      <c r="U123" s="1780"/>
      <c r="V123" s="4414"/>
      <c r="W123" s="4660"/>
      <c r="X123" s="1764"/>
      <c r="Y123" s="1764"/>
      <c r="Z123" s="1780"/>
    </row>
    <row r="124" spans="1:83" s="1558" customFormat="1" ht="30" thickTop="1" thickBot="1" x14ac:dyDescent="0.35">
      <c r="A124" s="1751">
        <v>5</v>
      </c>
      <c r="B124" s="1907" t="s">
        <v>584</v>
      </c>
      <c r="C124" s="2230" t="s">
        <v>1769</v>
      </c>
      <c r="D124" s="1192" t="s">
        <v>565</v>
      </c>
      <c r="E124" s="3206" t="b">
        <f>IF(AND(E125=TRUE,E126=TRUE,E127=TRUE),TRUE,FALSE)</f>
        <v>0</v>
      </c>
      <c r="F124" s="1779">
        <f>COUNTIF(E125:E127,TRUE)</f>
        <v>0</v>
      </c>
      <c r="G124" s="1779">
        <f>COUNTIFS(E125:E127,TRUE,G125:G127,"Not Blank")</f>
        <v>0</v>
      </c>
      <c r="H124" s="1779">
        <f>COUNTIFS(E125:E127,FALSE,G125:G127,"Not Blank")</f>
        <v>0</v>
      </c>
      <c r="I124" s="4180" t="str">
        <f xml:space="preserve">
IF(F124&gt;3,"Too Many Entries - Check Red Lines",
IF(G124&lt;F124,"Valid Entry required below - Check Amber Line/s",
IF(AND(E124=FALSE,G124=0,H124=0),"Nothing Entered below Yet",
IF(G124&lt;F124,"Valid Entry required below - Check Amber Line/s",
IF(AND(G124=0,H124&gt;0),"**Non-Valid Entry/ies below - Check Yellow Line/s",
IF(AND(G124&gt;0,H124&gt;0),"**Valid and Non-Valid Entries made below - Check Yellow Line/s",
IF(AND(E124=FALSE,F124&lt;3),"Not all requirements addressed below - Check Pink Line/s",
IF(AND(E124=FALSE,G124&lt;3,G124&gt;0,H124=0),"More entries to come",
IF(AND(E124,TRUE,G124=3,H124=0),"Valid Entries made below"
)))))))))</f>
        <v>Nothing Entered below Yet</v>
      </c>
      <c r="J124" s="4181">
        <f>COUNTIFS(E125:E127,TRUE,J125:J127,"Not Blank")</f>
        <v>0</v>
      </c>
      <c r="K124" s="4181">
        <f>COUNTIFS(E125:E127,FALSE,J125:J127,"Not Blank")</f>
        <v>0</v>
      </c>
      <c r="L124" s="4180" t="str">
        <f xml:space="preserve">
IF(J124&gt;3,"Too Many Entries - Check Red Lines",
IF(J124&lt;F124,"Valid Entry required below - Check Amber Line/s",
IF(AND(E124=FALSE,J124=0,K124=0),"Nothing Entered below Yet",
IF(AND(J124=0,K124&gt;0),"**Non-Valid Entry/ies below - Check Yellow Line/s",
IF(AND(J124&gt;0,K124&gt;0),"**Valid and Non-Valid Entries made below - Check Yellow Line/s",
IF(AND(E124=FALSE,J124&lt;3),"Not all requirements addressed below - Check Pink Line/s",
IF(AND(E124=FALSE,J124&lt;3,J124&gt;0,K124=0),"More entries to come",
IF(AND(E124,TRUE,J124=3,K124=0),"Valid Entries made below"
))))))))</f>
        <v>Nothing Entered below Yet</v>
      </c>
      <c r="M124" s="2957"/>
      <c r="N124" s="4459" t="s">
        <v>3</v>
      </c>
      <c r="O124" s="4663" t="b">
        <f>IF(OR(N124="Compliant",N124="FE with work-a-round",N124="Functionally Equivalent"),TRUE,FALSE)</f>
        <v>0</v>
      </c>
      <c r="P124" s="314"/>
      <c r="Q124" s="4175" t="s">
        <v>565</v>
      </c>
      <c r="R124" s="1244" t="b">
        <f>IF(AND(R125=TRUE,R126=TRUE,R127=TRUE),TRUE,FALSE)</f>
        <v>0</v>
      </c>
      <c r="S124" s="315"/>
      <c r="T124" s="301"/>
      <c r="U124" s="2644"/>
      <c r="V124" s="4459" t="s">
        <v>3</v>
      </c>
      <c r="W124" s="4439" t="b">
        <f>IF(OR(V124="Compliant",V124="FE with work-a-round",V124="Functionally Equivalent",V124="Not Required/Applicable"),TRUE,FALSE)</f>
        <v>0</v>
      </c>
      <c r="X124" s="3207"/>
      <c r="Y124" s="2823"/>
      <c r="Z124" s="2839"/>
      <c r="AK124" s="3197"/>
      <c r="AL124" s="1748"/>
      <c r="AM124" s="1748"/>
      <c r="AN124" s="1748"/>
      <c r="AO124" s="1748"/>
      <c r="AP124" s="1748"/>
      <c r="AQ124" s="1748"/>
      <c r="AR124" s="1748"/>
      <c r="AS124" s="1748"/>
      <c r="AT124" s="1748"/>
      <c r="AU124" s="1748"/>
      <c r="AV124" s="1748"/>
      <c r="AW124" s="1748"/>
      <c r="AX124" s="1748"/>
      <c r="AY124" s="1748"/>
      <c r="AZ124" s="1748"/>
      <c r="BA124" s="1748"/>
      <c r="BB124" s="1748"/>
      <c r="BC124" s="1748"/>
      <c r="BD124" s="1748"/>
      <c r="BE124" s="1748"/>
      <c r="BF124" s="1748"/>
      <c r="BG124" s="1748"/>
      <c r="BH124" s="1748"/>
      <c r="BI124" s="1748"/>
      <c r="BJ124" s="1748"/>
      <c r="BK124" s="1748"/>
      <c r="BL124" s="1748"/>
      <c r="BM124" s="1748"/>
      <c r="BN124" s="1748"/>
      <c r="BO124" s="1748"/>
      <c r="BP124" s="1748"/>
      <c r="BQ124" s="1748"/>
      <c r="BR124" s="1748"/>
      <c r="BS124" s="1748"/>
      <c r="BT124" s="1748"/>
      <c r="BU124" s="1748"/>
      <c r="BV124" s="1748"/>
      <c r="BW124" s="1748"/>
      <c r="BX124" s="1748"/>
      <c r="BY124" s="1748"/>
      <c r="BZ124" s="1748"/>
      <c r="CA124" s="1748"/>
      <c r="CB124" s="1748"/>
      <c r="CC124" s="1748"/>
      <c r="CD124" s="1748"/>
      <c r="CE124" s="1752"/>
    </row>
    <row r="125" spans="1:83" s="1558" customFormat="1" ht="30" thickTop="1" thickBot="1" x14ac:dyDescent="0.35">
      <c r="A125" s="1751">
        <v>5.0999999999999996</v>
      </c>
      <c r="B125" s="1504"/>
      <c r="C125" s="1806" t="s">
        <v>627</v>
      </c>
      <c r="D125" s="3266" t="s">
        <v>3</v>
      </c>
      <c r="E125" s="2837" t="b">
        <f>IF(D125="Compliant",TRUE,FALSE)</f>
        <v>0</v>
      </c>
      <c r="F125" s="399"/>
      <c r="G125" s="399" t="str">
        <f t="shared" ref="G125:G127" si="18">IF(I125&lt;&gt;"", "Not Blank", "")</f>
        <v/>
      </c>
      <c r="H125" s="399"/>
      <c r="I125" s="2164"/>
      <c r="J125" s="44" t="str">
        <f t="shared" ref="J125:J127" si="19">IF(L125&lt;&gt;"", "Not Blank", "")</f>
        <v/>
      </c>
      <c r="K125" s="44"/>
      <c r="L125" s="2164"/>
      <c r="M125" s="843"/>
      <c r="N125" s="4459"/>
      <c r="O125" s="4663"/>
      <c r="P125" s="3204"/>
      <c r="Q125" s="1863" t="s">
        <v>3</v>
      </c>
      <c r="R125" s="574" t="b">
        <f>IF(OR(Q125="Compliant",Q125="FE with work-a-round",Q125="Functionally Equivalent"),TRUE,FALSE)</f>
        <v>0</v>
      </c>
      <c r="S125" s="67"/>
      <c r="T125" s="1748"/>
      <c r="U125" s="1752"/>
      <c r="V125" s="4459"/>
      <c r="W125" s="4661"/>
      <c r="X125" s="3197"/>
      <c r="Y125" s="1748"/>
      <c r="Z125" s="1775"/>
    </row>
    <row r="126" spans="1:83" s="1558" customFormat="1" ht="102.5" thickTop="1" thickBot="1" x14ac:dyDescent="0.35">
      <c r="A126" s="1751"/>
      <c r="B126" s="1504"/>
      <c r="C126" s="1717" t="s">
        <v>628</v>
      </c>
      <c r="D126" s="1490" t="s">
        <v>3</v>
      </c>
      <c r="E126" s="2837" t="b">
        <f>IF(D126="Compliant",TRUE,FALSE)</f>
        <v>0</v>
      </c>
      <c r="F126" s="399"/>
      <c r="G126" s="399" t="str">
        <f t="shared" si="18"/>
        <v/>
      </c>
      <c r="H126" s="399"/>
      <c r="I126" s="44"/>
      <c r="J126" s="44" t="str">
        <f t="shared" si="19"/>
        <v/>
      </c>
      <c r="K126" s="44"/>
      <c r="L126" s="44"/>
      <c r="M126" s="843"/>
      <c r="N126" s="4459"/>
      <c r="O126" s="4663"/>
      <c r="P126" s="2837"/>
      <c r="Q126" s="1060" t="s">
        <v>3</v>
      </c>
      <c r="R126" s="574" t="b">
        <f>IF(OR(Q126="Compliant",Q126="FE with work-a-round",Q126="Functionally Equivalent"),TRUE,FALSE)</f>
        <v>0</v>
      </c>
      <c r="S126" s="67"/>
      <c r="T126" s="1748"/>
      <c r="U126" s="1752"/>
      <c r="V126" s="4459"/>
      <c r="W126" s="4661"/>
      <c r="X126" s="3197"/>
      <c r="Y126" s="1748"/>
      <c r="Z126" s="1775"/>
    </row>
    <row r="127" spans="1:83" s="1558" customFormat="1" ht="44.5" thickTop="1" thickBot="1" x14ac:dyDescent="0.35">
      <c r="A127" s="1751">
        <v>5.2</v>
      </c>
      <c r="B127" s="1505"/>
      <c r="C127" s="1800" t="s">
        <v>629</v>
      </c>
      <c r="D127" s="1491" t="s">
        <v>3</v>
      </c>
      <c r="E127" s="2838" t="b">
        <f>IF(D127="Compliant",TRUE,FALSE)</f>
        <v>0</v>
      </c>
      <c r="F127" s="1765"/>
      <c r="G127" s="1765" t="str">
        <f t="shared" si="18"/>
        <v/>
      </c>
      <c r="H127" s="1765"/>
      <c r="I127" s="124"/>
      <c r="J127" s="124" t="str">
        <f t="shared" si="19"/>
        <v/>
      </c>
      <c r="K127" s="124"/>
      <c r="L127" s="124"/>
      <c r="M127" s="844"/>
      <c r="N127" s="4459"/>
      <c r="O127" s="4663"/>
      <c r="P127" s="2838"/>
      <c r="Q127" s="1017" t="s">
        <v>3</v>
      </c>
      <c r="R127" s="922" t="b">
        <f>IF(OR(Q127="Compliant",Q127="FE with work-a-round",Q127="Functionally Equivalent"),TRUE,FALSE)</f>
        <v>0</v>
      </c>
      <c r="S127" s="161"/>
      <c r="T127" s="1764"/>
      <c r="U127" s="2758"/>
      <c r="V127" s="4459"/>
      <c r="W127" s="4661"/>
      <c r="X127" s="3208"/>
      <c r="Y127" s="1764"/>
      <c r="Z127" s="1780"/>
    </row>
    <row r="128" spans="1:83" ht="13.5" thickTop="1" x14ac:dyDescent="0.3">
      <c r="A128" s="3209"/>
      <c r="B128" s="1438"/>
      <c r="C128" s="1438"/>
      <c r="D128" s="1438"/>
      <c r="E128" s="1438"/>
      <c r="F128" s="1438"/>
      <c r="G128" s="1438"/>
      <c r="H128" s="1438"/>
      <c r="I128" s="57"/>
      <c r="J128" s="57"/>
      <c r="K128" s="57"/>
      <c r="L128" s="1438"/>
      <c r="M128" s="1387"/>
      <c r="N128" s="1387"/>
      <c r="O128" s="1387"/>
      <c r="P128" s="2573"/>
      <c r="Q128" s="1387"/>
      <c r="R128" s="1387"/>
      <c r="S128" s="1387"/>
    </row>
  </sheetData>
  <sheetProtection algorithmName="SHA-512" hashValue="yswF/J/WVpY8l4Vd6ZFRRNnqc90s7XuXUDt19ucqIIoPrHdZydjlH17XYsmIJONMYKhmD3PAGBjeed6XFBLowg==" saltValue="nX/is/HSSdavZkoOOBdZEQ==" spinCount="100000" sheet="1" formatCells="0" insertHyperlinks="0" selectLockedCells="1" autoFilter="0"/>
  <mergeCells count="99">
    <mergeCell ref="B1:D1"/>
    <mergeCell ref="B3:D3"/>
    <mergeCell ref="A6:C6"/>
    <mergeCell ref="A7:C7"/>
    <mergeCell ref="A25:C25"/>
    <mergeCell ref="D25:N25"/>
    <mergeCell ref="N14:N16"/>
    <mergeCell ref="A4:C4"/>
    <mergeCell ref="B2:J2"/>
    <mergeCell ref="A102:N102"/>
    <mergeCell ref="N105:N111"/>
    <mergeCell ref="N112:N115"/>
    <mergeCell ref="N116:N120"/>
    <mergeCell ref="N44:N51"/>
    <mergeCell ref="O14:O16"/>
    <mergeCell ref="Q14:Q16"/>
    <mergeCell ref="R14:R16"/>
    <mergeCell ref="A70:C70"/>
    <mergeCell ref="D70:N70"/>
    <mergeCell ref="A33:C33"/>
    <mergeCell ref="D33:N33"/>
    <mergeCell ref="D41:N41"/>
    <mergeCell ref="A41:C41"/>
    <mergeCell ref="N27:N31"/>
    <mergeCell ref="O53:O55"/>
    <mergeCell ref="N53:N55"/>
    <mergeCell ref="R9:R12"/>
    <mergeCell ref="Q9:Q12"/>
    <mergeCell ref="P9:P12"/>
    <mergeCell ref="O9:O12"/>
    <mergeCell ref="N9:N12"/>
    <mergeCell ref="V14:V16"/>
    <mergeCell ref="W14:W16"/>
    <mergeCell ref="U9:U12"/>
    <mergeCell ref="T9:T12"/>
    <mergeCell ref="S9:S12"/>
    <mergeCell ref="Z9:Z12"/>
    <mergeCell ref="Y9:Y12"/>
    <mergeCell ref="X9:X12"/>
    <mergeCell ref="W9:W12"/>
    <mergeCell ref="V9:V12"/>
    <mergeCell ref="W35:W39"/>
    <mergeCell ref="V35:V39"/>
    <mergeCell ref="O35:O39"/>
    <mergeCell ref="N35:N39"/>
    <mergeCell ref="Z27:Z31"/>
    <mergeCell ref="Y27:Y31"/>
    <mergeCell ref="X27:X31"/>
    <mergeCell ref="W27:W31"/>
    <mergeCell ref="V27:V31"/>
    <mergeCell ref="U27:U31"/>
    <mergeCell ref="T27:T31"/>
    <mergeCell ref="S27:S31"/>
    <mergeCell ref="R27:R31"/>
    <mergeCell ref="Q27:Q31"/>
    <mergeCell ref="P27:P31"/>
    <mergeCell ref="O27:O31"/>
    <mergeCell ref="N121:N123"/>
    <mergeCell ref="N124:N127"/>
    <mergeCell ref="O105:O111"/>
    <mergeCell ref="O112:O115"/>
    <mergeCell ref="O116:O120"/>
    <mergeCell ref="O121:O123"/>
    <mergeCell ref="O124:O127"/>
    <mergeCell ref="V116:V120"/>
    <mergeCell ref="V121:V123"/>
    <mergeCell ref="V124:V127"/>
    <mergeCell ref="W105:W111"/>
    <mergeCell ref="W112:W115"/>
    <mergeCell ref="W116:W120"/>
    <mergeCell ref="W121:W123"/>
    <mergeCell ref="W124:W127"/>
    <mergeCell ref="V105:V111"/>
    <mergeCell ref="V112:V115"/>
    <mergeCell ref="W56:W61"/>
    <mergeCell ref="V56:V61"/>
    <mergeCell ref="O56:O61"/>
    <mergeCell ref="N56:N61"/>
    <mergeCell ref="O62:O64"/>
    <mergeCell ref="N62:N64"/>
    <mergeCell ref="W62:W64"/>
    <mergeCell ref="V62:V64"/>
    <mergeCell ref="W77:W100"/>
    <mergeCell ref="W65:W68"/>
    <mergeCell ref="V65:V68"/>
    <mergeCell ref="O65:O68"/>
    <mergeCell ref="N65:N68"/>
    <mergeCell ref="V77:V100"/>
    <mergeCell ref="O77:O100"/>
    <mergeCell ref="N77:N100"/>
    <mergeCell ref="W73:W76"/>
    <mergeCell ref="V73:V76"/>
    <mergeCell ref="O73:O76"/>
    <mergeCell ref="N73:N76"/>
    <mergeCell ref="W53:W55"/>
    <mergeCell ref="V53:V55"/>
    <mergeCell ref="O44:O51"/>
    <mergeCell ref="W44:W51"/>
    <mergeCell ref="V44:V51"/>
  </mergeCells>
  <conditionalFormatting sqref="D10:D12">
    <cfRule type="expression" dxfId="4986" priority="720">
      <formula>IF($D10="Compliant",TRUE)</formula>
    </cfRule>
    <cfRule type="expression" dxfId="4985" priority="721">
      <formula>IF($D10=" ",TRUE)</formula>
    </cfRule>
    <cfRule type="expression" dxfId="4984" priority="727">
      <formula>IF($D10="Not Compliant",TRUE)</formula>
    </cfRule>
  </conditionalFormatting>
  <conditionalFormatting sqref="B22:C22">
    <cfRule type="expression" dxfId="4983" priority="647">
      <formula>IF($E22=TRUE,TRUE,FALSE)</formula>
    </cfRule>
  </conditionalFormatting>
  <conditionalFormatting sqref="B20:C20">
    <cfRule type="expression" dxfId="4982" priority="646">
      <formula>IF($E20=TRUE,TRUE,FALSE)</formula>
    </cfRule>
  </conditionalFormatting>
  <conditionalFormatting sqref="B21:C21">
    <cfRule type="expression" dxfId="4981" priority="645">
      <formula>IF($E21=TRUE,TRUE,FALSE)</formula>
    </cfRule>
  </conditionalFormatting>
  <conditionalFormatting sqref="B23:C23">
    <cfRule type="expression" dxfId="4980" priority="644">
      <formula>IF($E23=TRUE,TRUE,FALSE)</formula>
    </cfRule>
  </conditionalFormatting>
  <conditionalFormatting sqref="D20:D23">
    <cfRule type="expression" dxfId="4979" priority="643">
      <formula>IF($E20,TRUE)</formula>
    </cfRule>
  </conditionalFormatting>
  <conditionalFormatting sqref="C16">
    <cfRule type="expression" dxfId="4978" priority="624">
      <formula>IF(AND($E14,TRUE,$E16=FALSE),TRUE,FALSE)</formula>
    </cfRule>
    <cfRule type="expression" dxfId="4977" priority="625">
      <formula>IF(AND($E15,TRUE,$E16,TRUE),TRUE,FALSE)</formula>
    </cfRule>
    <cfRule type="expression" dxfId="4976" priority="626">
      <formula>IF($E16,TRUE)</formula>
    </cfRule>
  </conditionalFormatting>
  <conditionalFormatting sqref="C15">
    <cfRule type="expression" dxfId="4975" priority="621">
      <formula>IF(AND($E14,TRUE,$E15=FALSE),TRUE,FALSE)</formula>
    </cfRule>
    <cfRule type="expression" dxfId="4974" priority="622">
      <formula>IF(AND($E15,TRUE,$E16,TRUE),TRUE,FALSE)</formula>
    </cfRule>
    <cfRule type="expression" dxfId="4973" priority="623">
      <formula>IF($E15,TRUE)</formula>
    </cfRule>
  </conditionalFormatting>
  <conditionalFormatting sqref="B14:D14">
    <cfRule type="expression" dxfId="4972" priority="619">
      <formula>IF(AND($E15,TRUE,$E16,TRUE),TRUE,FALSE)</formula>
    </cfRule>
    <cfRule type="expression" dxfId="4971" priority="620">
      <formula>IF($E14,TRUE)</formula>
    </cfRule>
  </conditionalFormatting>
  <conditionalFormatting sqref="B35:D35">
    <cfRule type="expression" dxfId="4970" priority="617">
      <formula>IF($E35,TRUE)</formula>
    </cfRule>
  </conditionalFormatting>
  <conditionalFormatting sqref="B36:B39">
    <cfRule type="expression" dxfId="4969" priority="614">
      <formula>IF(AND($E36=FALSE,OR($I36&lt;&gt;"",$L36&lt;&gt;"")),TRUE,FALSE)</formula>
    </cfRule>
    <cfRule type="expression" dxfId="4968" priority="615">
      <formula>IF(AND($E36=TRUE,$I36&lt;&gt;"",$L36&lt;&gt;""),TRUE,FALSE)</formula>
    </cfRule>
    <cfRule type="expression" dxfId="4967" priority="616">
      <formula>IF(AND($E36=TRUE,OR($I36="",$L36="")),TRUE,FALSE)</formula>
    </cfRule>
  </conditionalFormatting>
  <conditionalFormatting sqref="B46:B51">
    <cfRule type="expression" dxfId="4966" priority="595">
      <formula>IF(AND($E46=FALSE,OR($I46&lt;&gt;"",$L46&lt;&gt;"")),TRUE,FALSE)</formula>
    </cfRule>
    <cfRule type="expression" dxfId="4965" priority="596">
      <formula>IF(AND($E46=TRUE,$I46&lt;&gt;"",$L46&lt;&gt;""),TRUE,FALSE)</formula>
    </cfRule>
    <cfRule type="expression" dxfId="4964" priority="597">
      <formula>IF(AND($E46=TRUE,OR($I46="",$L46="")),TRUE,FALSE)</formula>
    </cfRule>
  </conditionalFormatting>
  <conditionalFormatting sqref="B54:B55">
    <cfRule type="expression" dxfId="4963" priority="592">
      <formula>IF(AND($E54=FALSE,OR($I54&lt;&gt;"",$L54&lt;&gt;"")),TRUE,FALSE)</formula>
    </cfRule>
    <cfRule type="expression" dxfId="4962" priority="593">
      <formula>IF(AND($E54=TRUE,$I54&lt;&gt;"",$L54&lt;&gt;""),TRUE,FALSE)</formula>
    </cfRule>
    <cfRule type="expression" dxfId="4961" priority="594">
      <formula>IF(AND($E54=TRUE,OR($I54="",$L54="")),TRUE,FALSE)</formula>
    </cfRule>
  </conditionalFormatting>
  <conditionalFormatting sqref="B57:B61">
    <cfRule type="expression" dxfId="4960" priority="589">
      <formula>IF(AND($E57=FALSE,OR($I57&lt;&gt;"",$L57&lt;&gt;"")),TRUE,FALSE)</formula>
    </cfRule>
    <cfRule type="expression" dxfId="4959" priority="590">
      <formula>IF(AND($E57=TRUE,$I57&lt;&gt;"",$L57&lt;&gt;""),TRUE,FALSE)</formula>
    </cfRule>
    <cfRule type="expression" dxfId="4958" priority="591">
      <formula>IF(AND($E57=TRUE,OR($I57="",$L57="")),TRUE,FALSE)</formula>
    </cfRule>
  </conditionalFormatting>
  <conditionalFormatting sqref="B63:B64">
    <cfRule type="expression" dxfId="4957" priority="586">
      <formula>IF(AND($E63=FALSE,OR($I63&lt;&gt;"",$L63&lt;&gt;"")),TRUE,FALSE)</formula>
    </cfRule>
    <cfRule type="expression" dxfId="4956" priority="587">
      <formula>IF(AND($E63=TRUE,$I63&lt;&gt;"",$L63&lt;&gt;""),TRUE,FALSE)</formula>
    </cfRule>
    <cfRule type="expression" dxfId="4955" priority="588">
      <formula>IF(AND($E63=TRUE,OR($I63="",$L63="")),TRUE,FALSE)</formula>
    </cfRule>
  </conditionalFormatting>
  <conditionalFormatting sqref="B66:B68">
    <cfRule type="expression" dxfId="4954" priority="583">
      <formula>IF(AND($E66=FALSE,OR($I66&lt;&gt;"",$L66&lt;&gt;"")),TRUE,FALSE)</formula>
    </cfRule>
    <cfRule type="expression" dxfId="4953" priority="584">
      <formula>IF(AND($E66=TRUE,$I66&lt;&gt;"",$L66&lt;&gt;""),TRUE,FALSE)</formula>
    </cfRule>
    <cfRule type="expression" dxfId="4952" priority="585">
      <formula>IF(AND($E66=TRUE,OR($I66="",$L66="")),TRUE,FALSE)</formula>
    </cfRule>
  </conditionalFormatting>
  <conditionalFormatting sqref="B74:B76">
    <cfRule type="expression" dxfId="4951" priority="580">
      <formula>IF(AND($E74=FALSE,OR($I74&lt;&gt;"",$L74&lt;&gt;"")),TRUE,FALSE)</formula>
    </cfRule>
    <cfRule type="expression" dxfId="4950" priority="581">
      <formula>IF(AND($E74=TRUE,$I74&lt;&gt;"",$L74&lt;&gt;""),TRUE,FALSE)</formula>
    </cfRule>
    <cfRule type="expression" dxfId="4949" priority="582">
      <formula>IF(AND($E74=TRUE,OR($I74="",$L74="")),TRUE,FALSE)</formula>
    </cfRule>
  </conditionalFormatting>
  <conditionalFormatting sqref="B78:B100">
    <cfRule type="expression" dxfId="4948" priority="577">
      <formula>IF(AND($E78=FALSE,OR($I78&lt;&gt;"",$L78&lt;&gt;"")),TRUE,FALSE)</formula>
    </cfRule>
    <cfRule type="expression" dxfId="4947" priority="578">
      <formula>IF(AND($E78=TRUE,$I78&lt;&gt;"",$L78&lt;&gt;""),TRUE,FALSE)</formula>
    </cfRule>
    <cfRule type="expression" dxfId="4946" priority="579">
      <formula>IF(AND($E78=TRUE,OR($I78="",$L78="")),TRUE,FALSE)</formula>
    </cfRule>
  </conditionalFormatting>
  <conditionalFormatting sqref="B106:B111">
    <cfRule type="expression" dxfId="4945" priority="574">
      <formula>IF(AND($E106=FALSE,OR($I106&lt;&gt;"",$L106&lt;&gt;"")),TRUE,FALSE)</formula>
    </cfRule>
    <cfRule type="expression" dxfId="4944" priority="575">
      <formula>IF(AND($E106=TRUE,$I106&lt;&gt;"",$L106&lt;&gt;""),TRUE,FALSE)</formula>
    </cfRule>
    <cfRule type="expression" dxfId="4943" priority="576">
      <formula>IF(AND($E106=TRUE,OR($I106="",$L106="")),TRUE,FALSE)</formula>
    </cfRule>
  </conditionalFormatting>
  <conditionalFormatting sqref="B113:B115">
    <cfRule type="expression" dxfId="4942" priority="571">
      <formula>IF(AND($E113=FALSE,OR($I113&lt;&gt;"",$L113&lt;&gt;"")),TRUE,FALSE)</formula>
    </cfRule>
    <cfRule type="expression" dxfId="4941" priority="572">
      <formula>IF(AND($E113=TRUE,$I113&lt;&gt;"",$L113&lt;&gt;""),TRUE,FALSE)</formula>
    </cfRule>
    <cfRule type="expression" dxfId="4940" priority="573">
      <formula>IF(AND($E113=TRUE,OR($I113="",$L113="")),TRUE,FALSE)</formula>
    </cfRule>
  </conditionalFormatting>
  <conditionalFormatting sqref="B117:B120">
    <cfRule type="expression" dxfId="4939" priority="568">
      <formula>IF(AND($E117=FALSE,OR($I117&lt;&gt;"",$L117&lt;&gt;"")),TRUE,FALSE)</formula>
    </cfRule>
    <cfRule type="expression" dxfId="4938" priority="569">
      <formula>IF(AND($E117=TRUE,$I117&lt;&gt;"",$L117&lt;&gt;""),TRUE,FALSE)</formula>
    </cfRule>
    <cfRule type="expression" dxfId="4937" priority="570">
      <formula>IF(AND($E117=TRUE,OR($I117="",$L117="")),TRUE,FALSE)</formula>
    </cfRule>
  </conditionalFormatting>
  <conditionalFormatting sqref="B122:B123">
    <cfRule type="expression" dxfId="4936" priority="565">
      <formula>IF(AND($E122=FALSE,OR($I122&lt;&gt;"",$L122&lt;&gt;"")),TRUE,FALSE)</formula>
    </cfRule>
    <cfRule type="expression" dxfId="4935" priority="566">
      <formula>IF(AND($E122=TRUE,$I122&lt;&gt;"",$L122&lt;&gt;""),TRUE,FALSE)</formula>
    </cfRule>
    <cfRule type="expression" dxfId="4934" priority="567">
      <formula>IF(AND($E122=TRUE,OR($I122="",$L122="")),TRUE,FALSE)</formula>
    </cfRule>
  </conditionalFormatting>
  <conditionalFormatting sqref="B125:B127">
    <cfRule type="expression" dxfId="4933" priority="562">
      <formula>IF(AND($E125=FALSE,OR($I125&lt;&gt;"",$L125&lt;&gt;"")),TRUE,FALSE)</formula>
    </cfRule>
    <cfRule type="expression" dxfId="4932" priority="563">
      <formula>IF(AND($E125=TRUE,$I125&lt;&gt;"",$L125&lt;&gt;""),TRUE,FALSE)</formula>
    </cfRule>
    <cfRule type="expression" dxfId="4931" priority="564">
      <formula>IF(AND($E125=TRUE,OR($I125="",$L125="")),TRUE,FALSE)</formula>
    </cfRule>
  </conditionalFormatting>
  <conditionalFormatting sqref="B15">
    <cfRule type="expression" dxfId="4930" priority="543">
      <formula>IF(AND($E15=TRUE,$E16=TRUE),TRUE,FALSE)</formula>
    </cfRule>
    <cfRule type="expression" dxfId="4929" priority="544">
      <formula>IF(AND($E15=FALSE,OR($I15&lt;&gt;"",$L15&lt;&gt;"")),TRUE,FALSE)</formula>
    </cfRule>
    <cfRule type="expression" dxfId="4928" priority="545">
      <formula>IF(AND($E15=TRUE,OR($I15="",$J15="")),TRUE,FALSE)</formula>
    </cfRule>
    <cfRule type="expression" dxfId="4927" priority="546">
      <formula>IF(AND($E15=TRUE,OR($I15&lt;&gt;"",$L15="")),TRUE,FALSE)</formula>
    </cfRule>
    <cfRule type="expression" dxfId="4926" priority="547">
      <formula>IF(AND($F$14&gt;0,$D15="",$E15=FALSE),TRUE,FALSE)</formula>
    </cfRule>
  </conditionalFormatting>
  <conditionalFormatting sqref="B9 D9">
    <cfRule type="expression" dxfId="4925" priority="541">
      <formula>IF($E9,TRUE)</formula>
    </cfRule>
  </conditionalFormatting>
  <conditionalFormatting sqref="B44 D44">
    <cfRule type="expression" dxfId="4924" priority="540">
      <formula>IF($E44,TRUE)</formula>
    </cfRule>
  </conditionalFormatting>
  <conditionalFormatting sqref="B45 D45">
    <cfRule type="expression" dxfId="4923" priority="539">
      <formula>IF($E45,TRUE)</formula>
    </cfRule>
  </conditionalFormatting>
  <conditionalFormatting sqref="B52 D52">
    <cfRule type="expression" dxfId="4922" priority="538">
      <formula>IF($E52,TRUE)</formula>
    </cfRule>
  </conditionalFormatting>
  <conditionalFormatting sqref="B53 D53">
    <cfRule type="expression" dxfId="4921" priority="537">
      <formula>IF($E53,TRUE)</formula>
    </cfRule>
  </conditionalFormatting>
  <conditionalFormatting sqref="B56 D56">
    <cfRule type="expression" dxfId="4920" priority="536">
      <formula>IF($E56,TRUE)</formula>
    </cfRule>
  </conditionalFormatting>
  <conditionalFormatting sqref="B62 D62">
    <cfRule type="expression" dxfId="4919" priority="535">
      <formula>IF($E62,TRUE)</formula>
    </cfRule>
  </conditionalFormatting>
  <conditionalFormatting sqref="B65 D65">
    <cfRule type="expression" dxfId="4918" priority="534">
      <formula>IF($E65,TRUE)</formula>
    </cfRule>
  </conditionalFormatting>
  <conditionalFormatting sqref="B72 D72">
    <cfRule type="expression" dxfId="4917" priority="533">
      <formula>IF($E72,TRUE)</formula>
    </cfRule>
  </conditionalFormatting>
  <conditionalFormatting sqref="B73 D73">
    <cfRule type="expression" dxfId="4916" priority="532">
      <formula>IF($E73,TRUE)</formula>
    </cfRule>
  </conditionalFormatting>
  <conditionalFormatting sqref="B77 D77">
    <cfRule type="expression" dxfId="4915" priority="531">
      <formula>IF($E77,TRUE)</formula>
    </cfRule>
  </conditionalFormatting>
  <conditionalFormatting sqref="B104 D104">
    <cfRule type="expression" dxfId="4914" priority="530">
      <formula>IF($E104,TRUE)</formula>
    </cfRule>
  </conditionalFormatting>
  <conditionalFormatting sqref="B105 D105">
    <cfRule type="expression" dxfId="4913" priority="529">
      <formula>IF($E105,TRUE)</formula>
    </cfRule>
  </conditionalFormatting>
  <conditionalFormatting sqref="B112 D112">
    <cfRule type="expression" dxfId="4912" priority="528">
      <formula>IF($E112,TRUE)</formula>
    </cfRule>
  </conditionalFormatting>
  <conditionalFormatting sqref="B116 D116">
    <cfRule type="expression" dxfId="4911" priority="527">
      <formula>IF($E116,TRUE)</formula>
    </cfRule>
  </conditionalFormatting>
  <conditionalFormatting sqref="B121 D121">
    <cfRule type="expression" dxfId="4910" priority="526">
      <formula>IF($E121,TRUE)</formula>
    </cfRule>
  </conditionalFormatting>
  <conditionalFormatting sqref="B124 D124">
    <cfRule type="expression" dxfId="4909" priority="525">
      <formula>IF($E124,TRUE)</formula>
    </cfRule>
  </conditionalFormatting>
  <conditionalFormatting sqref="B43 D43">
    <cfRule type="expression" dxfId="4908" priority="524">
      <formula>IF($E43,TRUE)</formula>
    </cfRule>
  </conditionalFormatting>
  <conditionalFormatting sqref="B28:B31">
    <cfRule type="expression" dxfId="4907" priority="519">
      <formula>IF(AND($E28=TRUE,$F$27&gt;1),TRUE,FALSE)</formula>
    </cfRule>
    <cfRule type="expression" dxfId="4906" priority="520">
      <formula>IF(AND($E28=TRUE,$I28&lt;&gt;"",$L28&lt;&gt;""),TRUE,FALSE)</formula>
    </cfRule>
    <cfRule type="expression" dxfId="4905" priority="521">
      <formula>IF(AND($E28=TRUE,OR($I28="",$L28="")),TRUE,FALSE)</formula>
    </cfRule>
    <cfRule type="expression" dxfId="4904" priority="522">
      <formula>IF(AND($E28=FALSE,OR($G28="Not Blank",$J28="Not Blank")),TRUE,FALSE)</formula>
    </cfRule>
    <cfRule type="expression" dxfId="4903" priority="523">
      <formula>IF(AND($E28=FALSE,$F$27&gt;0),TRUE,FALSE)</formula>
    </cfRule>
  </conditionalFormatting>
  <conditionalFormatting sqref="B27 D27">
    <cfRule type="expression" dxfId="4902" priority="517">
      <formula>IF($F27&gt;1,TRUE)</formula>
    </cfRule>
    <cfRule type="expression" dxfId="4901" priority="518">
      <formula>IF(AND($E27,TRUE,$F27=1),TRUE)</formula>
    </cfRule>
  </conditionalFormatting>
  <conditionalFormatting sqref="B10:B12">
    <cfRule type="expression" dxfId="4900" priority="514">
      <formula>IF(AND($E10=FALSE,OR($I10&lt;&gt;"",$L10&lt;&gt;"")),TRUE,FALSE)</formula>
    </cfRule>
    <cfRule type="expression" dxfId="4899" priority="515">
      <formula>IF(AND($E10=TRUE,$I10&lt;&gt;"",$L10&lt;&gt;""),TRUE,FALSE)</formula>
    </cfRule>
    <cfRule type="expression" dxfId="4898" priority="516">
      <formula>IF(AND($E10=TRUE,OR($I10="",$L10="")),TRUE,FALSE)</formula>
    </cfRule>
  </conditionalFormatting>
  <conditionalFormatting sqref="D113">
    <cfRule type="expression" dxfId="4897" priority="482">
      <formula>IF($D113="Compliant",TRUE)</formula>
    </cfRule>
    <cfRule type="expression" dxfId="4896" priority="483">
      <formula>IF($D113=" ",TRUE)</formula>
    </cfRule>
    <cfRule type="expression" dxfId="4895" priority="489">
      <formula>IF($D113="Not Compliant",TRUE)</formula>
    </cfRule>
  </conditionalFormatting>
  <conditionalFormatting sqref="W20:W23">
    <cfRule type="expression" dxfId="4894" priority="455">
      <formula>IF($X20,TRUE)</formula>
    </cfRule>
  </conditionalFormatting>
  <conditionalFormatting sqref="N44">
    <cfRule type="expression" dxfId="4893" priority="446">
      <formula>IF($N44="Compliant",TRUE)</formula>
    </cfRule>
    <cfRule type="expression" dxfId="4892" priority="447">
      <formula>IF($N44="FE with work-a-round",TRUE)</formula>
    </cfRule>
    <cfRule type="expression" dxfId="4891" priority="448">
      <formula>IF($N44="Functionally Equivalent",TRUE)</formula>
    </cfRule>
    <cfRule type="expression" dxfId="4890" priority="449">
      <formula>IF($N44="Likely to become compliant",TRUE)</formula>
    </cfRule>
    <cfRule type="expression" dxfId="4889" priority="450">
      <formula>IF($N44="Partly Compliant",TRUE)</formula>
    </cfRule>
    <cfRule type="expression" dxfId="4888" priority="451">
      <formula>IF($N44="Unknown/Missing",TRUE)</formula>
    </cfRule>
    <cfRule type="expression" dxfId="4887" priority="452">
      <formula>IF($N44="Not Required/Applicable",TRUE)</formula>
    </cfRule>
    <cfRule type="expression" dxfId="4886" priority="453">
      <formula>IF($N44="Not Compliant",TRUE)</formula>
    </cfRule>
    <cfRule type="expression" dxfId="4885" priority="454">
      <formula>IF($N44=" ",TRUE)</formula>
    </cfRule>
  </conditionalFormatting>
  <conditionalFormatting sqref="Q46:Q51">
    <cfRule type="expression" dxfId="4884" priority="428">
      <formula>IF(Q46="Compliant",TRUE)</formula>
    </cfRule>
    <cfRule type="expression" dxfId="4883" priority="429">
      <formula>IF(Q46="FE with work-a-round",TRUE)</formula>
    </cfRule>
    <cfRule type="expression" dxfId="4882" priority="430">
      <formula>IF(Q46="Functionally Equivalent",TRUE)</formula>
    </cfRule>
    <cfRule type="expression" dxfId="4881" priority="431">
      <formula>IF(Q46="Likely to become compliant",TRUE)</formula>
    </cfRule>
    <cfRule type="expression" dxfId="4880" priority="432">
      <formula>IF(Q46="Partly Compliant",TRUE)</formula>
    </cfRule>
    <cfRule type="expression" dxfId="4879" priority="433">
      <formula>IF(Q46="Unknown/Missing",TRUE)</formula>
    </cfRule>
    <cfRule type="expression" dxfId="4878" priority="434">
      <formula>IF(Q46="Not Required/Applicable",TRUE)</formula>
    </cfRule>
    <cfRule type="expression" dxfId="4877" priority="435">
      <formula>IF(Q46="Not Compliant",TRUE)</formula>
    </cfRule>
    <cfRule type="expression" dxfId="4876" priority="436">
      <formula>IF($N46=" ",TRUE)</formula>
    </cfRule>
  </conditionalFormatting>
  <conditionalFormatting sqref="N35">
    <cfRule type="expression" dxfId="4875" priority="419">
      <formula>IF($N35="Compliant",TRUE)</formula>
    </cfRule>
    <cfRule type="expression" dxfId="4874" priority="420">
      <formula>IF($N35="FE with work-a-round",TRUE)</formula>
    </cfRule>
    <cfRule type="expression" dxfId="4873" priority="421">
      <formula>IF($N35="Functionally Equivalent",TRUE)</formula>
    </cfRule>
    <cfRule type="expression" dxfId="4872" priority="422">
      <formula>IF($N35="Likely to become compliant",TRUE)</formula>
    </cfRule>
    <cfRule type="expression" dxfId="4871" priority="423">
      <formula>IF($N35="Partly Compliant",TRUE)</formula>
    </cfRule>
    <cfRule type="expression" dxfId="4870" priority="424">
      <formula>IF($N35="Unknown/Missing",TRUE)</formula>
    </cfRule>
    <cfRule type="expression" dxfId="4869" priority="425">
      <formula>IF($N35="Not Required/Applicable",TRUE)</formula>
    </cfRule>
    <cfRule type="expression" dxfId="4868" priority="426">
      <formula>IF($N35="Not Compliant",TRUE)</formula>
    </cfRule>
    <cfRule type="expression" dxfId="4867" priority="427">
      <formula>IF($N35=" ",TRUE)</formula>
    </cfRule>
  </conditionalFormatting>
  <conditionalFormatting sqref="Q36:Q39">
    <cfRule type="expression" dxfId="4866" priority="410">
      <formula>IF(Q36="Compliant",TRUE)</formula>
    </cfRule>
    <cfRule type="expression" dxfId="4865" priority="411">
      <formula>IF(Q36="FE with work-a-round",TRUE)</formula>
    </cfRule>
    <cfRule type="expression" dxfId="4864" priority="412">
      <formula>IF(Q36="Functionally Equivalent",TRUE)</formula>
    </cfRule>
    <cfRule type="expression" dxfId="4863" priority="413">
      <formula>IF($Q36="Likely to become compliant",TRUE)</formula>
    </cfRule>
    <cfRule type="expression" dxfId="4862" priority="414">
      <formula>IF($Q36="Partly Compliant",TRUE)</formula>
    </cfRule>
    <cfRule type="expression" dxfId="4861" priority="415">
      <formula>IF($Q36="Unknown/Missing",TRUE)</formula>
    </cfRule>
    <cfRule type="expression" dxfId="4860" priority="416">
      <formula>IF($Q36="Not Required/Applicable",TRUE)</formula>
    </cfRule>
    <cfRule type="expression" dxfId="4859" priority="417">
      <formula>IF(Q36="Not Compliant",TRUE)</formula>
    </cfRule>
    <cfRule type="expression" dxfId="4858" priority="418">
      <formula>IF(Q36=" ",TRUE)</formula>
    </cfRule>
  </conditionalFormatting>
  <conditionalFormatting sqref="V35">
    <cfRule type="expression" dxfId="4857" priority="401">
      <formula>IF(V35="Compliant",TRUE)</formula>
    </cfRule>
    <cfRule type="expression" dxfId="4856" priority="402">
      <formula>IF(V35="FE with work-a-round",TRUE)</formula>
    </cfRule>
    <cfRule type="expression" dxfId="4855" priority="403">
      <formula>IF(V35="Functionally Equivalent",TRUE)</formula>
    </cfRule>
    <cfRule type="expression" dxfId="4854" priority="404">
      <formula>IF(V35="Likely to become compliant",TRUE)</formula>
    </cfRule>
    <cfRule type="expression" dxfId="4853" priority="405">
      <formula>IF(V35="Partly Compliant",TRUE)</formula>
    </cfRule>
    <cfRule type="expression" dxfId="4852" priority="406">
      <formula>IF(V35="Unknown/Missing",TRUE)</formula>
    </cfRule>
    <cfRule type="expression" dxfId="4851" priority="407">
      <formula>IF(V35="Not Required/Applicable",TRUE)</formula>
    </cfRule>
    <cfRule type="expression" dxfId="4850" priority="408">
      <formula>IF(V35="Not Compliant",TRUE)</formula>
    </cfRule>
    <cfRule type="expression" dxfId="4849" priority="409">
      <formula>IF($N35=" ",TRUE)</formula>
    </cfRule>
  </conditionalFormatting>
  <conditionalFormatting sqref="Q35">
    <cfRule type="expression" dxfId="4848" priority="400">
      <formula>IF(R35=TRUE,TRUE,FALSE)</formula>
    </cfRule>
  </conditionalFormatting>
  <conditionalFormatting sqref="Q35">
    <cfRule type="expression" dxfId="4847" priority="399">
      <formula>IF(R35=FALSE,TRUE,FALSE)</formula>
    </cfRule>
  </conditionalFormatting>
  <conditionalFormatting sqref="O43">
    <cfRule type="expression" dxfId="4846" priority="395">
      <formula>IF(AND($E43=TRUE,$I43="Valid Entry required below - Check amber box",#REF!="Compliant"),TRUE,FALSE)</formula>
    </cfRule>
    <cfRule type="expression" dxfId="4845" priority="396">
      <formula>IF(AND($E43=TRUE,$I43="Valid Entry made below",#REF!="Compliant"),TRUE,FALSE)</formula>
    </cfRule>
    <cfRule type="expression" dxfId="4844" priority="397">
      <formula>IF(AND($E43=FALSE,#REF!&lt;&gt;""),TRUE,FALSE)</formula>
    </cfRule>
    <cfRule type="expression" dxfId="4843" priority="398">
      <formula>IF(AND($I43&lt;&gt;"",#REF!&lt;&gt;""),TRUE,FALSE)</formula>
    </cfRule>
  </conditionalFormatting>
  <conditionalFormatting sqref="N43">
    <cfRule type="expression" dxfId="4842" priority="393">
      <formula>IF(O43=FALSE,TRUE,FALSE)</formula>
    </cfRule>
    <cfRule type="expression" dxfId="4841" priority="394">
      <formula>IF(O43=TRUE,TRUE,FALSE)</formula>
    </cfRule>
  </conditionalFormatting>
  <conditionalFormatting sqref="Q43 Q45">
    <cfRule type="expression" dxfId="4840" priority="392">
      <formula>IF(R43=TRUE,TRUE,FALSE)</formula>
    </cfRule>
  </conditionalFormatting>
  <conditionalFormatting sqref="V43">
    <cfRule type="expression" dxfId="4839" priority="389">
      <formula>IF(W43=FALSE,TRUE,FALSE)</formula>
    </cfRule>
    <cfRule type="expression" dxfId="4838" priority="390">
      <formula>IF(W43=TRUE,TRUE,FALSE)</formula>
    </cfRule>
  </conditionalFormatting>
  <conditionalFormatting sqref="Q43 Q45">
    <cfRule type="expression" dxfId="4837" priority="391">
      <formula>IF(R43=FALSE,TRUE,FALSE)</formula>
    </cfRule>
  </conditionalFormatting>
  <conditionalFormatting sqref="V20:V23 Q20:Q23 N20:N23">
    <cfRule type="expression" dxfId="4836" priority="387">
      <formula>IF(O20=FALSE,TRUE,FALSE)</formula>
    </cfRule>
    <cfRule type="expression" dxfId="4835" priority="388">
      <formula>IF(O20=TRUE,TRUE,FALSE)</formula>
    </cfRule>
  </conditionalFormatting>
  <conditionalFormatting sqref="N14">
    <cfRule type="expression" dxfId="4834" priority="378">
      <formula>IF($N14="Compliant",TRUE)</formula>
    </cfRule>
    <cfRule type="expression" dxfId="4833" priority="379">
      <formula>IF($N14="FE with work-a-round",TRUE)</formula>
    </cfRule>
    <cfRule type="expression" dxfId="4832" priority="380">
      <formula>IF($N14="Functionally Equivalent",TRUE)</formula>
    </cfRule>
    <cfRule type="expression" dxfId="4831" priority="381">
      <formula>IF($N14="Likely to become compliant",TRUE)</formula>
    </cfRule>
    <cfRule type="expression" dxfId="4830" priority="382">
      <formula>IF($N14="Partly Compliant",TRUE)</formula>
    </cfRule>
    <cfRule type="expression" dxfId="4829" priority="383">
      <formula>IF($N14="Unknown/Missing",TRUE)</formula>
    </cfRule>
    <cfRule type="expression" dxfId="4828" priority="384">
      <formula>IF($N14="Not Required/Applicable",TRUE)</formula>
    </cfRule>
    <cfRule type="expression" dxfId="4827" priority="385">
      <formula>IF($N14="Not Compliant",TRUE)</formula>
    </cfRule>
    <cfRule type="expression" dxfId="4826" priority="386">
      <formula>IF($N14=" ",TRUE)</formula>
    </cfRule>
  </conditionalFormatting>
  <conditionalFormatting sqref="V14">
    <cfRule type="expression" dxfId="4825" priority="369">
      <formula>IF(V14="Compliant",TRUE)</formula>
    </cfRule>
    <cfRule type="expression" dxfId="4824" priority="370">
      <formula>IF(V14="FE with work-a-round",TRUE)</formula>
    </cfRule>
    <cfRule type="expression" dxfId="4823" priority="371">
      <formula>IF(V14="Functionally Equivalent",TRUE)</formula>
    </cfRule>
    <cfRule type="expression" dxfId="4822" priority="372">
      <formula>IF(V14="Likely to become compliant",TRUE)</formula>
    </cfRule>
    <cfRule type="expression" dxfId="4821" priority="373">
      <formula>IF(V14="Partly Compliant",TRUE)</formula>
    </cfRule>
    <cfRule type="expression" dxfId="4820" priority="374">
      <formula>IF(V14="Unknown/Missing",TRUE)</formula>
    </cfRule>
    <cfRule type="expression" dxfId="4819" priority="375">
      <formula>IF(V14="Not Required/Applicable",TRUE)</formula>
    </cfRule>
    <cfRule type="expression" dxfId="4818" priority="376">
      <formula>IF(V14="Not Compliant",TRUE)</formula>
    </cfRule>
    <cfRule type="expression" dxfId="4817" priority="377">
      <formula>IF($N14=" ",TRUE)</formula>
    </cfRule>
  </conditionalFormatting>
  <conditionalFormatting sqref="Q14">
    <cfRule type="expression" dxfId="4816" priority="360">
      <formula>IF(Q14="Compliant",TRUE)</formula>
    </cfRule>
    <cfRule type="expression" dxfId="4815" priority="361">
      <formula>IF(Q14="FE with work-a-round",TRUE)</formula>
    </cfRule>
    <cfRule type="expression" dxfId="4814" priority="362">
      <formula>IF(Q14="Functionally Equivalent",TRUE)</formula>
    </cfRule>
    <cfRule type="expression" dxfId="4813" priority="363">
      <formula>IF($Q14="Likely to become compliant",TRUE)</formula>
    </cfRule>
    <cfRule type="expression" dxfId="4812" priority="364">
      <formula>IF($Q14="Partly Compliant",TRUE)</formula>
    </cfRule>
    <cfRule type="expression" dxfId="4811" priority="365">
      <formula>IF($Q14="Unknown/Missing",TRUE)</formula>
    </cfRule>
    <cfRule type="expression" dxfId="4810" priority="366">
      <formula>IF($Q14="Not Required/Applicable",TRUE)</formula>
    </cfRule>
    <cfRule type="expression" dxfId="4809" priority="367">
      <formula>IF(Q14="Not Compliant",TRUE)</formula>
    </cfRule>
    <cfRule type="expression" dxfId="4808" priority="368">
      <formula>IF(Q14=" ",TRUE)</formula>
    </cfRule>
  </conditionalFormatting>
  <conditionalFormatting sqref="N9">
    <cfRule type="expression" dxfId="4807" priority="351">
      <formula>IF($N9="Compliant",TRUE)</formula>
    </cfRule>
    <cfRule type="expression" dxfId="4806" priority="352">
      <formula>IF($N9="FE with work-a-round",TRUE)</formula>
    </cfRule>
    <cfRule type="expression" dxfId="4805" priority="353">
      <formula>IF($N9="Functionally Equivalent",TRUE)</formula>
    </cfRule>
    <cfRule type="expression" dxfId="4804" priority="354">
      <formula>IF($N9="Likely to become compliant",TRUE)</formula>
    </cfRule>
    <cfRule type="expression" dxfId="4803" priority="355">
      <formula>IF($N9="Partly Compliant",TRUE)</formula>
    </cfRule>
    <cfRule type="expression" dxfId="4802" priority="356">
      <formula>IF($N9="Unknown/Missing",TRUE)</formula>
    </cfRule>
    <cfRule type="expression" dxfId="4801" priority="357">
      <formula>IF($N9="Not Required/Applicable",TRUE)</formula>
    </cfRule>
    <cfRule type="expression" dxfId="4800" priority="358">
      <formula>IF($N9="Not Compliant",TRUE)</formula>
    </cfRule>
    <cfRule type="expression" dxfId="4799" priority="359">
      <formula>IF($N9=" ",TRUE)</formula>
    </cfRule>
  </conditionalFormatting>
  <conditionalFormatting sqref="V9">
    <cfRule type="expression" dxfId="4798" priority="342">
      <formula>IF(V9="Compliant",TRUE)</formula>
    </cfRule>
    <cfRule type="expression" dxfId="4797" priority="343">
      <formula>IF(V9="FE with work-a-round",TRUE)</formula>
    </cfRule>
    <cfRule type="expression" dxfId="4796" priority="344">
      <formula>IF(V9="Functionally Equivalent",TRUE)</formula>
    </cfRule>
    <cfRule type="expression" dxfId="4795" priority="345">
      <formula>IF(V9="Likely to become compliant",TRUE)</formula>
    </cfRule>
    <cfRule type="expression" dxfId="4794" priority="346">
      <formula>IF(V9="Partly Compliant",TRUE)</formula>
    </cfRule>
    <cfRule type="expression" dxfId="4793" priority="347">
      <formula>IF(V9="Unknown/Missing",TRUE)</formula>
    </cfRule>
    <cfRule type="expression" dxfId="4792" priority="348">
      <formula>IF(V9="Not Required/Applicable",TRUE)</formula>
    </cfRule>
    <cfRule type="expression" dxfId="4791" priority="349">
      <formula>IF(V9="Not Compliant",TRUE)</formula>
    </cfRule>
    <cfRule type="expression" dxfId="4790" priority="350">
      <formula>IF($N9=" ",TRUE)</formula>
    </cfRule>
  </conditionalFormatting>
  <conditionalFormatting sqref="Q9">
    <cfRule type="expression" dxfId="4789" priority="333">
      <formula>IF(Q9="Compliant",TRUE)</formula>
    </cfRule>
    <cfRule type="expression" dxfId="4788" priority="334">
      <formula>IF(Q9="FE with work-a-round",TRUE)</formula>
    </cfRule>
    <cfRule type="expression" dxfId="4787" priority="335">
      <formula>IF(Q9="Functionally Equivalent",TRUE)</formula>
    </cfRule>
    <cfRule type="expression" dxfId="4786" priority="336">
      <formula>IF($Q9="Likely to become compliant",TRUE)</formula>
    </cfRule>
    <cfRule type="expression" dxfId="4785" priority="337">
      <formula>IF($Q9="Partly Compliant",TRUE)</formula>
    </cfRule>
    <cfRule type="expression" dxfId="4784" priority="338">
      <formula>IF($Q9="Unknown/Missing",TRUE)</formula>
    </cfRule>
    <cfRule type="expression" dxfId="4783" priority="339">
      <formula>IF($Q9="Not Required/Applicable",TRUE)</formula>
    </cfRule>
    <cfRule type="expression" dxfId="4782" priority="340">
      <formula>IF(Q9="Not Compliant",TRUE)</formula>
    </cfRule>
    <cfRule type="expression" dxfId="4781" priority="341">
      <formula>IF(Q9=" ",TRUE)</formula>
    </cfRule>
  </conditionalFormatting>
  <conditionalFormatting sqref="N27">
    <cfRule type="expression" dxfId="4780" priority="324">
      <formula>IF($N27="Compliant",TRUE)</formula>
    </cfRule>
    <cfRule type="expression" dxfId="4779" priority="325">
      <formula>IF($N27="FE with work-a-round",TRUE)</formula>
    </cfRule>
    <cfRule type="expression" dxfId="4778" priority="326">
      <formula>IF($N27="Functionally Equivalent",TRUE)</formula>
    </cfRule>
    <cfRule type="expression" dxfId="4777" priority="327">
      <formula>IF($N27="Likely to become compliant",TRUE)</formula>
    </cfRule>
    <cfRule type="expression" dxfId="4776" priority="328">
      <formula>IF($N27="Partly Compliant",TRUE)</formula>
    </cfRule>
    <cfRule type="expression" dxfId="4775" priority="329">
      <formula>IF($N27="Unknown/Missing",TRUE)</formula>
    </cfRule>
    <cfRule type="expression" dxfId="4774" priority="330">
      <formula>IF($N27="Not Required/Applicable",TRUE)</formula>
    </cfRule>
    <cfRule type="expression" dxfId="4773" priority="331">
      <formula>IF($N27="Not Compliant",TRUE)</formula>
    </cfRule>
    <cfRule type="expression" dxfId="4772" priority="332">
      <formula>IF($N27=" ",TRUE)</formula>
    </cfRule>
  </conditionalFormatting>
  <conditionalFormatting sqref="V27">
    <cfRule type="expression" dxfId="4771" priority="315">
      <formula>IF(V27="Compliant",TRUE)</formula>
    </cfRule>
    <cfRule type="expression" dxfId="4770" priority="316">
      <formula>IF(V27="FE with work-a-round",TRUE)</formula>
    </cfRule>
    <cfRule type="expression" dxfId="4769" priority="317">
      <formula>IF(V27="Functionally Equivalent",TRUE)</formula>
    </cfRule>
    <cfRule type="expression" dxfId="4768" priority="318">
      <formula>IF(V27="Likely to become compliant",TRUE)</formula>
    </cfRule>
    <cfRule type="expression" dxfId="4767" priority="319">
      <formula>IF(V27="Partly Compliant",TRUE)</formula>
    </cfRule>
    <cfRule type="expression" dxfId="4766" priority="320">
      <formula>IF(V27="Unknown/Missing",TRUE)</formula>
    </cfRule>
    <cfRule type="expression" dxfId="4765" priority="321">
      <formula>IF(V27="Not Required/Applicable",TRUE)</formula>
    </cfRule>
    <cfRule type="expression" dxfId="4764" priority="322">
      <formula>IF(V27="Not Compliant",TRUE)</formula>
    </cfRule>
    <cfRule type="expression" dxfId="4763" priority="323">
      <formula>IF($N27=" ",TRUE)</formula>
    </cfRule>
  </conditionalFormatting>
  <conditionalFormatting sqref="Q27">
    <cfRule type="expression" dxfId="4762" priority="306">
      <formula>IF(Q27="Compliant",TRUE)</formula>
    </cfRule>
    <cfRule type="expression" dxfId="4761" priority="307">
      <formula>IF(Q27="FE with work-a-round",TRUE)</formula>
    </cfRule>
    <cfRule type="expression" dxfId="4760" priority="308">
      <formula>IF(Q27="Functionally Equivalent",TRUE)</formula>
    </cfRule>
    <cfRule type="expression" dxfId="4759" priority="309">
      <formula>IF($Q27="Likely to become compliant",TRUE)</formula>
    </cfRule>
    <cfRule type="expression" dxfId="4758" priority="310">
      <formula>IF($Q27="Partly Compliant",TRUE)</formula>
    </cfRule>
    <cfRule type="expression" dxfId="4757" priority="311">
      <formula>IF($Q27="Unknown/Missing",TRUE)</formula>
    </cfRule>
    <cfRule type="expression" dxfId="4756" priority="312">
      <formula>IF($Q27="Not Required/Applicable",TRUE)</formula>
    </cfRule>
    <cfRule type="expression" dxfId="4755" priority="313">
      <formula>IF(Q27="Not Compliant",TRUE)</formula>
    </cfRule>
    <cfRule type="expression" dxfId="4754" priority="314">
      <formula>IF(Q27=" ",TRUE)</formula>
    </cfRule>
  </conditionalFormatting>
  <conditionalFormatting sqref="O52">
    <cfRule type="expression" dxfId="4753" priority="302">
      <formula>IF(AND($E52=TRUE,$I52="Valid Entry required below - Check amber box",#REF!="Compliant"),TRUE,FALSE)</formula>
    </cfRule>
    <cfRule type="expression" dxfId="4752" priority="303">
      <formula>IF(AND($E52=TRUE,$I52="Valid Entry made below",#REF!="Compliant"),TRUE,FALSE)</formula>
    </cfRule>
    <cfRule type="expression" dxfId="4751" priority="304">
      <formula>IF(AND($E52=FALSE,#REF!&lt;&gt;""),TRUE,FALSE)</formula>
    </cfRule>
    <cfRule type="expression" dxfId="4750" priority="305">
      <formula>IF(AND($I52&lt;&gt;"",#REF!&lt;&gt;""),TRUE,FALSE)</formula>
    </cfRule>
  </conditionalFormatting>
  <conditionalFormatting sqref="N52">
    <cfRule type="expression" dxfId="4749" priority="300">
      <formula>IF(O52=FALSE,TRUE,FALSE)</formula>
    </cfRule>
    <cfRule type="expression" dxfId="4748" priority="301">
      <formula>IF(O52=TRUE,TRUE,FALSE)</formula>
    </cfRule>
  </conditionalFormatting>
  <conditionalFormatting sqref="Q52">
    <cfRule type="expression" dxfId="4747" priority="299">
      <formula>IF(R52=TRUE,TRUE,FALSE)</formula>
    </cfRule>
  </conditionalFormatting>
  <conditionalFormatting sqref="V52">
    <cfRule type="expression" dxfId="4746" priority="296">
      <formula>IF(W52=FALSE,TRUE,FALSE)</formula>
    </cfRule>
    <cfRule type="expression" dxfId="4745" priority="297">
      <formula>IF(W52=TRUE,TRUE,FALSE)</formula>
    </cfRule>
  </conditionalFormatting>
  <conditionalFormatting sqref="Q52">
    <cfRule type="expression" dxfId="4744" priority="298">
      <formula>IF(R52=FALSE,TRUE,FALSE)</formula>
    </cfRule>
  </conditionalFormatting>
  <conditionalFormatting sqref="N53">
    <cfRule type="expression" dxfId="4743" priority="287">
      <formula>IF($N53="Compliant",TRUE)</formula>
    </cfRule>
    <cfRule type="expression" dxfId="4742" priority="288">
      <formula>IF($N53="FE with work-a-round",TRUE)</formula>
    </cfRule>
    <cfRule type="expression" dxfId="4741" priority="289">
      <formula>IF($N53="Functionally Equivalent",TRUE)</formula>
    </cfRule>
    <cfRule type="expression" dxfId="4740" priority="290">
      <formula>IF($N53="Likely to become compliant",TRUE)</formula>
    </cfRule>
    <cfRule type="expression" dxfId="4739" priority="291">
      <formula>IF($N53="Partly Compliant",TRUE)</formula>
    </cfRule>
    <cfRule type="expression" dxfId="4738" priority="292">
      <formula>IF($N53="Unknown/Missing",TRUE)</formula>
    </cfRule>
    <cfRule type="expression" dxfId="4737" priority="293">
      <formula>IF($N53="Not Required/Applicable",TRUE)</formula>
    </cfRule>
    <cfRule type="expression" dxfId="4736" priority="294">
      <formula>IF($N53="Not Compliant",TRUE)</formula>
    </cfRule>
    <cfRule type="expression" dxfId="4735" priority="295">
      <formula>IF($N53=" ",TRUE)</formula>
    </cfRule>
  </conditionalFormatting>
  <conditionalFormatting sqref="V53">
    <cfRule type="expression" dxfId="4734" priority="278">
      <formula>IF(V53="Compliant",TRUE)</formula>
    </cfRule>
    <cfRule type="expression" dxfId="4733" priority="279">
      <formula>IF(V53="FE with work-a-round",TRUE)</formula>
    </cfRule>
    <cfRule type="expression" dxfId="4732" priority="280">
      <formula>IF(V53="Functionally Equivalent",TRUE)</formula>
    </cfRule>
    <cfRule type="expression" dxfId="4731" priority="281">
      <formula>IF(V53="Likely to become compliant",TRUE)</formula>
    </cfRule>
    <cfRule type="expression" dxfId="4730" priority="282">
      <formula>IF(V53="Partly Compliant",TRUE)</formula>
    </cfRule>
    <cfRule type="expression" dxfId="4729" priority="283">
      <formula>IF(V53="Unknown/Missing",TRUE)</formula>
    </cfRule>
    <cfRule type="expression" dxfId="4728" priority="284">
      <formula>IF(V53="Not Required/Applicable",TRUE)</formula>
    </cfRule>
    <cfRule type="expression" dxfId="4727" priority="285">
      <formula>IF(V53="Not Compliant",TRUE)</formula>
    </cfRule>
    <cfRule type="expression" dxfId="4726" priority="286">
      <formula>IF($N53=" ",TRUE)</formula>
    </cfRule>
  </conditionalFormatting>
  <conditionalFormatting sqref="Q53">
    <cfRule type="expression" dxfId="4725" priority="277">
      <formula>IF(R53=TRUE,TRUE,FALSE)</formula>
    </cfRule>
  </conditionalFormatting>
  <conditionalFormatting sqref="Q53">
    <cfRule type="expression" dxfId="4724" priority="276">
      <formula>IF(R53=FALSE,TRUE,FALSE)</formula>
    </cfRule>
  </conditionalFormatting>
  <conditionalFormatting sqref="N56">
    <cfRule type="expression" dxfId="4723" priority="267">
      <formula>IF($N56="Compliant",TRUE)</formula>
    </cfRule>
    <cfRule type="expression" dxfId="4722" priority="268">
      <formula>IF($N56="FE with work-a-round",TRUE)</formula>
    </cfRule>
    <cfRule type="expression" dxfId="4721" priority="269">
      <formula>IF($N56="Functionally Equivalent",TRUE)</formula>
    </cfRule>
    <cfRule type="expression" dxfId="4720" priority="270">
      <formula>IF($N56="Likely to become compliant",TRUE)</formula>
    </cfRule>
    <cfRule type="expression" dxfId="4719" priority="271">
      <formula>IF($N56="Partly Compliant",TRUE)</formula>
    </cfRule>
    <cfRule type="expression" dxfId="4718" priority="272">
      <formula>IF($N56="Unknown/Missing",TRUE)</formula>
    </cfRule>
    <cfRule type="expression" dxfId="4717" priority="273">
      <formula>IF($N56="Not Required/Applicable",TRUE)</formula>
    </cfRule>
    <cfRule type="expression" dxfId="4716" priority="274">
      <formula>IF($N56="Not Compliant",TRUE)</formula>
    </cfRule>
    <cfRule type="expression" dxfId="4715" priority="275">
      <formula>IF($N56=" ",TRUE)</formula>
    </cfRule>
  </conditionalFormatting>
  <conditionalFormatting sqref="V56">
    <cfRule type="expression" dxfId="4714" priority="258">
      <formula>IF(V56="Compliant",TRUE)</formula>
    </cfRule>
    <cfRule type="expression" dxfId="4713" priority="259">
      <formula>IF(V56="FE with work-a-round",TRUE)</formula>
    </cfRule>
    <cfRule type="expression" dxfId="4712" priority="260">
      <formula>IF(V56="Functionally Equivalent",TRUE)</formula>
    </cfRule>
    <cfRule type="expression" dxfId="4711" priority="261">
      <formula>IF(V56="Likely to become compliant",TRUE)</formula>
    </cfRule>
    <cfRule type="expression" dxfId="4710" priority="262">
      <formula>IF(V56="Partly Compliant",TRUE)</formula>
    </cfRule>
    <cfRule type="expression" dxfId="4709" priority="263">
      <formula>IF(V56="Unknown/Missing",TRUE)</formula>
    </cfRule>
    <cfRule type="expression" dxfId="4708" priority="264">
      <formula>IF(V56="Not Required/Applicable",TRUE)</formula>
    </cfRule>
    <cfRule type="expression" dxfId="4707" priority="265">
      <formula>IF(V56="Not Compliant",TRUE)</formula>
    </cfRule>
    <cfRule type="expression" dxfId="4706" priority="266">
      <formula>IF($N56=" ",TRUE)</formula>
    </cfRule>
  </conditionalFormatting>
  <conditionalFormatting sqref="Q56">
    <cfRule type="expression" dxfId="4705" priority="257">
      <formula>IF(R56=TRUE,TRUE,FALSE)</formula>
    </cfRule>
  </conditionalFormatting>
  <conditionalFormatting sqref="Q56">
    <cfRule type="expression" dxfId="4704" priority="256">
      <formula>IF(R56=FALSE,TRUE,FALSE)</formula>
    </cfRule>
  </conditionalFormatting>
  <conditionalFormatting sqref="N62">
    <cfRule type="expression" dxfId="4703" priority="247">
      <formula>IF($N62="Compliant",TRUE)</formula>
    </cfRule>
    <cfRule type="expression" dxfId="4702" priority="248">
      <formula>IF($N62="FE with work-a-round",TRUE)</formula>
    </cfRule>
    <cfRule type="expression" dxfId="4701" priority="249">
      <formula>IF($N62="Functionally Equivalent",TRUE)</formula>
    </cfRule>
    <cfRule type="expression" dxfId="4700" priority="250">
      <formula>IF($N62="Likely to become compliant",TRUE)</formula>
    </cfRule>
    <cfRule type="expression" dxfId="4699" priority="251">
      <formula>IF($N62="Partly Compliant",TRUE)</formula>
    </cfRule>
    <cfRule type="expression" dxfId="4698" priority="252">
      <formula>IF($N62="Unknown/Missing",TRUE)</formula>
    </cfRule>
    <cfRule type="expression" dxfId="4697" priority="253">
      <formula>IF($N62="Not Required/Applicable",TRUE)</formula>
    </cfRule>
    <cfRule type="expression" dxfId="4696" priority="254">
      <formula>IF($N62="Not Compliant",TRUE)</formula>
    </cfRule>
    <cfRule type="expression" dxfId="4695" priority="255">
      <formula>IF($N62=" ",TRUE)</formula>
    </cfRule>
  </conditionalFormatting>
  <conditionalFormatting sqref="V62">
    <cfRule type="expression" dxfId="4694" priority="238">
      <formula>IF(V62="Compliant",TRUE)</formula>
    </cfRule>
    <cfRule type="expression" dxfId="4693" priority="239">
      <formula>IF(V62="FE with work-a-round",TRUE)</formula>
    </cfRule>
    <cfRule type="expression" dxfId="4692" priority="240">
      <formula>IF(V62="Functionally Equivalent",TRUE)</formula>
    </cfRule>
    <cfRule type="expression" dxfId="4691" priority="241">
      <formula>IF(V62="Likely to become compliant",TRUE)</formula>
    </cfRule>
    <cfRule type="expression" dxfId="4690" priority="242">
      <formula>IF(V62="Partly Compliant",TRUE)</formula>
    </cfRule>
    <cfRule type="expression" dxfId="4689" priority="243">
      <formula>IF(V62="Unknown/Missing",TRUE)</formula>
    </cfRule>
    <cfRule type="expression" dxfId="4688" priority="244">
      <formula>IF(V62="Not Required/Applicable",TRUE)</formula>
    </cfRule>
    <cfRule type="expression" dxfId="4687" priority="245">
      <formula>IF(V62="Not Compliant",TRUE)</formula>
    </cfRule>
    <cfRule type="expression" dxfId="4686" priority="246">
      <formula>IF($N62=" ",TRUE)</formula>
    </cfRule>
  </conditionalFormatting>
  <conditionalFormatting sqref="Q62">
    <cfRule type="expression" dxfId="4685" priority="237">
      <formula>IF(R62=TRUE,TRUE,FALSE)</formula>
    </cfRule>
  </conditionalFormatting>
  <conditionalFormatting sqref="Q62">
    <cfRule type="expression" dxfId="4684" priority="236">
      <formula>IF(R62=FALSE,TRUE,FALSE)</formula>
    </cfRule>
  </conditionalFormatting>
  <conditionalFormatting sqref="N65">
    <cfRule type="expression" dxfId="4683" priority="227">
      <formula>IF($N65="Compliant",TRUE)</formula>
    </cfRule>
    <cfRule type="expression" dxfId="4682" priority="228">
      <formula>IF($N65="FE with work-a-round",TRUE)</formula>
    </cfRule>
    <cfRule type="expression" dxfId="4681" priority="229">
      <formula>IF($N65="Functionally Equivalent",TRUE)</formula>
    </cfRule>
    <cfRule type="expression" dxfId="4680" priority="230">
      <formula>IF($N65="Likely to become compliant",TRUE)</formula>
    </cfRule>
    <cfRule type="expression" dxfId="4679" priority="231">
      <formula>IF($N65="Partly Compliant",TRUE)</formula>
    </cfRule>
    <cfRule type="expression" dxfId="4678" priority="232">
      <formula>IF($N65="Unknown/Missing",TRUE)</formula>
    </cfRule>
    <cfRule type="expression" dxfId="4677" priority="233">
      <formula>IF($N65="Not Required/Applicable",TRUE)</formula>
    </cfRule>
    <cfRule type="expression" dxfId="4676" priority="234">
      <formula>IF($N65="Not Compliant",TRUE)</formula>
    </cfRule>
    <cfRule type="expression" dxfId="4675" priority="235">
      <formula>IF($N65=" ",TRUE)</formula>
    </cfRule>
  </conditionalFormatting>
  <conditionalFormatting sqref="V65">
    <cfRule type="expression" dxfId="4674" priority="218">
      <formula>IF(V65="Compliant",TRUE)</formula>
    </cfRule>
    <cfRule type="expression" dxfId="4673" priority="219">
      <formula>IF(V65="FE with work-a-round",TRUE)</formula>
    </cfRule>
    <cfRule type="expression" dxfId="4672" priority="220">
      <formula>IF(V65="Functionally Equivalent",TRUE)</formula>
    </cfRule>
    <cfRule type="expression" dxfId="4671" priority="221">
      <formula>IF(V65="Likely to become compliant",TRUE)</formula>
    </cfRule>
    <cfRule type="expression" dxfId="4670" priority="222">
      <formula>IF(V65="Partly Compliant",TRUE)</formula>
    </cfRule>
    <cfRule type="expression" dxfId="4669" priority="223">
      <formula>IF(V65="Unknown/Missing",TRUE)</formula>
    </cfRule>
    <cfRule type="expression" dxfId="4668" priority="224">
      <formula>IF(V65="Not Required/Applicable",TRUE)</formula>
    </cfRule>
    <cfRule type="expression" dxfId="4667" priority="225">
      <formula>IF(V65="Not Compliant",TRUE)</formula>
    </cfRule>
    <cfRule type="expression" dxfId="4666" priority="226">
      <formula>IF($N65=" ",TRUE)</formula>
    </cfRule>
  </conditionalFormatting>
  <conditionalFormatting sqref="Q65">
    <cfRule type="expression" dxfId="4665" priority="217">
      <formula>IF(R65=TRUE,TRUE,FALSE)</formula>
    </cfRule>
  </conditionalFormatting>
  <conditionalFormatting sqref="Q65">
    <cfRule type="expression" dxfId="4664" priority="216">
      <formula>IF(R65=FALSE,TRUE,FALSE)</formula>
    </cfRule>
  </conditionalFormatting>
  <conditionalFormatting sqref="N73">
    <cfRule type="expression" dxfId="4663" priority="207">
      <formula>IF($N73="Compliant",TRUE)</formula>
    </cfRule>
    <cfRule type="expression" dxfId="4662" priority="208">
      <formula>IF($N73="FE with work-a-round",TRUE)</formula>
    </cfRule>
    <cfRule type="expression" dxfId="4661" priority="209">
      <formula>IF($N73="Functionally Equivalent",TRUE)</formula>
    </cfRule>
    <cfRule type="expression" dxfId="4660" priority="210">
      <formula>IF($N73="Likely to become compliant",TRUE)</formula>
    </cfRule>
    <cfRule type="expression" dxfId="4659" priority="211">
      <formula>IF($N73="Partly Compliant",TRUE)</formula>
    </cfRule>
    <cfRule type="expression" dxfId="4658" priority="212">
      <formula>IF($N73="Unknown/Missing",TRUE)</formula>
    </cfRule>
    <cfRule type="expression" dxfId="4657" priority="213">
      <formula>IF($N73="Not Required/Applicable",TRUE)</formula>
    </cfRule>
    <cfRule type="expression" dxfId="4656" priority="214">
      <formula>IF($N73="Not Compliant",TRUE)</formula>
    </cfRule>
    <cfRule type="expression" dxfId="4655" priority="215">
      <formula>IF($N73=" ",TRUE)</formula>
    </cfRule>
  </conditionalFormatting>
  <conditionalFormatting sqref="V73">
    <cfRule type="expression" dxfId="4654" priority="198">
      <formula>IF(V73="Compliant",TRUE)</formula>
    </cfRule>
    <cfRule type="expression" dxfId="4653" priority="199">
      <formula>IF(V73="FE with work-a-round",TRUE)</formula>
    </cfRule>
    <cfRule type="expression" dxfId="4652" priority="200">
      <formula>IF(V73="Functionally Equivalent",TRUE)</formula>
    </cfRule>
    <cfRule type="expression" dxfId="4651" priority="201">
      <formula>IF(V73="Likely to become compliant",TRUE)</formula>
    </cfRule>
    <cfRule type="expression" dxfId="4650" priority="202">
      <formula>IF(V73="Partly Compliant",TRUE)</formula>
    </cfRule>
    <cfRule type="expression" dxfId="4649" priority="203">
      <formula>IF(V73="Unknown/Missing",TRUE)</formula>
    </cfRule>
    <cfRule type="expression" dxfId="4648" priority="204">
      <formula>IF(V73="Not Required/Applicable",TRUE)</formula>
    </cfRule>
    <cfRule type="expression" dxfId="4647" priority="205">
      <formula>IF(V73="Not Compliant",TRUE)</formula>
    </cfRule>
    <cfRule type="expression" dxfId="4646" priority="206">
      <formula>IF($N73=" ",TRUE)</formula>
    </cfRule>
  </conditionalFormatting>
  <conditionalFormatting sqref="Q73">
    <cfRule type="expression" dxfId="4645" priority="197">
      <formula>IF(R73=TRUE,TRUE,FALSE)</formula>
    </cfRule>
  </conditionalFormatting>
  <conditionalFormatting sqref="Q73">
    <cfRule type="expression" dxfId="4644" priority="196">
      <formula>IF(R73=FALSE,TRUE,FALSE)</formula>
    </cfRule>
  </conditionalFormatting>
  <conditionalFormatting sqref="N77">
    <cfRule type="expression" dxfId="4643" priority="187">
      <formula>IF($N77="Compliant",TRUE)</formula>
    </cfRule>
    <cfRule type="expression" dxfId="4642" priority="188">
      <formula>IF($N77="FE with work-a-round",TRUE)</formula>
    </cfRule>
    <cfRule type="expression" dxfId="4641" priority="189">
      <formula>IF($N77="Functionally Equivalent",TRUE)</formula>
    </cfRule>
    <cfRule type="expression" dxfId="4640" priority="190">
      <formula>IF($N77="Likely to become compliant",TRUE)</formula>
    </cfRule>
    <cfRule type="expression" dxfId="4639" priority="191">
      <formula>IF($N77="Partly Compliant",TRUE)</formula>
    </cfRule>
    <cfRule type="expression" dxfId="4638" priority="192">
      <formula>IF($N77="Unknown/Missing",TRUE)</formula>
    </cfRule>
    <cfRule type="expression" dxfId="4637" priority="193">
      <formula>IF($N77="Not Required/Applicable",TRUE)</formula>
    </cfRule>
    <cfRule type="expression" dxfId="4636" priority="194">
      <formula>IF($N77="Not Compliant",TRUE)</formula>
    </cfRule>
    <cfRule type="expression" dxfId="4635" priority="195">
      <formula>IF($N77=" ",TRUE)</formula>
    </cfRule>
  </conditionalFormatting>
  <conditionalFormatting sqref="V77">
    <cfRule type="expression" dxfId="4634" priority="178">
      <formula>IF(V77="Compliant",TRUE)</formula>
    </cfRule>
    <cfRule type="expression" dxfId="4633" priority="179">
      <formula>IF(V77="FE with work-a-round",TRUE)</formula>
    </cfRule>
    <cfRule type="expression" dxfId="4632" priority="180">
      <formula>IF(V77="Functionally Equivalent",TRUE)</formula>
    </cfRule>
    <cfRule type="expression" dxfId="4631" priority="181">
      <formula>IF(V77="Likely to become compliant",TRUE)</formula>
    </cfRule>
    <cfRule type="expression" dxfId="4630" priority="182">
      <formula>IF(V77="Partly Compliant",TRUE)</formula>
    </cfRule>
    <cfRule type="expression" dxfId="4629" priority="183">
      <formula>IF(V77="Unknown/Missing",TRUE)</formula>
    </cfRule>
    <cfRule type="expression" dxfId="4628" priority="184">
      <formula>IF(V77="Not Required/Applicable",TRUE)</formula>
    </cfRule>
    <cfRule type="expression" dxfId="4627" priority="185">
      <formula>IF(V77="Not Compliant",TRUE)</formula>
    </cfRule>
    <cfRule type="expression" dxfId="4626" priority="186">
      <formula>IF($N77=" ",TRUE)</formula>
    </cfRule>
  </conditionalFormatting>
  <conditionalFormatting sqref="N105">
    <cfRule type="expression" dxfId="4625" priority="167">
      <formula>IF($N105="Compliant",TRUE)</formula>
    </cfRule>
    <cfRule type="expression" dxfId="4624" priority="168">
      <formula>IF($N105="FE with work-a-round",TRUE)</formula>
    </cfRule>
    <cfRule type="expression" dxfId="4623" priority="169">
      <formula>IF($N105="Functionally Equivalent",TRUE)</formula>
    </cfRule>
    <cfRule type="expression" dxfId="4622" priority="170">
      <formula>IF($N105="Likely to become compliant",TRUE)</formula>
    </cfRule>
    <cfRule type="expression" dxfId="4621" priority="171">
      <formula>IF($N105="Partly Compliant",TRUE)</formula>
    </cfRule>
    <cfRule type="expression" dxfId="4620" priority="172">
      <formula>IF($N105="Unknown/Missing",TRUE)</formula>
    </cfRule>
    <cfRule type="expression" dxfId="4619" priority="173">
      <formula>IF($N105="Not Required/Applicable",TRUE)</formula>
    </cfRule>
    <cfRule type="expression" dxfId="4618" priority="174">
      <formula>IF($N105="Not Compliant",TRUE)</formula>
    </cfRule>
    <cfRule type="expression" dxfId="4617" priority="175">
      <formula>IF($N105=" ",TRUE)</formula>
    </cfRule>
  </conditionalFormatting>
  <conditionalFormatting sqref="V105">
    <cfRule type="expression" dxfId="4616" priority="158">
      <formula>IF(V105="Compliant",TRUE)</formula>
    </cfRule>
    <cfRule type="expression" dxfId="4615" priority="159">
      <formula>IF(V105="FE with work-a-round",TRUE)</formula>
    </cfRule>
    <cfRule type="expression" dxfId="4614" priority="160">
      <formula>IF(V105="Functionally Equivalent",TRUE)</formula>
    </cfRule>
    <cfRule type="expression" dxfId="4613" priority="161">
      <formula>IF(V105="Likely to become compliant",TRUE)</formula>
    </cfRule>
    <cfRule type="expression" dxfId="4612" priority="162">
      <formula>IF(V105="Partly Compliant",TRUE)</formula>
    </cfRule>
    <cfRule type="expression" dxfId="4611" priority="163">
      <formula>IF(V105="Unknown/Missing",TRUE)</formula>
    </cfRule>
    <cfRule type="expression" dxfId="4610" priority="164">
      <formula>IF(V105="Not Required/Applicable",TRUE)</formula>
    </cfRule>
    <cfRule type="expression" dxfId="4609" priority="165">
      <formula>IF(V105="Not Compliant",TRUE)</formula>
    </cfRule>
    <cfRule type="expression" dxfId="4608" priority="166">
      <formula>IF($N105=" ",TRUE)</formula>
    </cfRule>
  </conditionalFormatting>
  <conditionalFormatting sqref="Q105">
    <cfRule type="expression" dxfId="4607" priority="157">
      <formula>IF(R105=TRUE,TRUE,FALSE)</formula>
    </cfRule>
  </conditionalFormatting>
  <conditionalFormatting sqref="Q105">
    <cfRule type="expression" dxfId="4606" priority="156">
      <formula>IF(R105=FALSE,TRUE,FALSE)</formula>
    </cfRule>
  </conditionalFormatting>
  <conditionalFormatting sqref="N112">
    <cfRule type="expression" dxfId="4605" priority="147">
      <formula>IF($N112="Compliant",TRUE)</formula>
    </cfRule>
    <cfRule type="expression" dxfId="4604" priority="148">
      <formula>IF($N112="FE with work-a-round",TRUE)</formula>
    </cfRule>
    <cfRule type="expression" dxfId="4603" priority="149">
      <formula>IF($N112="Functionally Equivalent",TRUE)</formula>
    </cfRule>
    <cfRule type="expression" dxfId="4602" priority="150">
      <formula>IF($N112="Likely to become compliant",TRUE)</formula>
    </cfRule>
    <cfRule type="expression" dxfId="4601" priority="151">
      <formula>IF($N112="Partly Compliant",TRUE)</formula>
    </cfRule>
    <cfRule type="expression" dxfId="4600" priority="152">
      <formula>IF($N112="Unknown/Missing",TRUE)</formula>
    </cfRule>
    <cfRule type="expression" dxfId="4599" priority="153">
      <formula>IF($N112="Not Required/Applicable",TRUE)</formula>
    </cfRule>
    <cfRule type="expression" dxfId="4598" priority="154">
      <formula>IF($N112="Not Compliant",TRUE)</formula>
    </cfRule>
    <cfRule type="expression" dxfId="4597" priority="155">
      <formula>IF($N112=" ",TRUE)</formula>
    </cfRule>
  </conditionalFormatting>
  <conditionalFormatting sqref="V112">
    <cfRule type="expression" dxfId="4596" priority="138">
      <formula>IF(V112="Compliant",TRUE)</formula>
    </cfRule>
    <cfRule type="expression" dxfId="4595" priority="139">
      <formula>IF(V112="FE with work-a-round",TRUE)</formula>
    </cfRule>
    <cfRule type="expression" dxfId="4594" priority="140">
      <formula>IF(V112="Functionally Equivalent",TRUE)</formula>
    </cfRule>
    <cfRule type="expression" dxfId="4593" priority="141">
      <formula>IF(V112="Likely to become compliant",TRUE)</formula>
    </cfRule>
    <cfRule type="expression" dxfId="4592" priority="142">
      <formula>IF(V112="Partly Compliant",TRUE)</formula>
    </cfRule>
    <cfRule type="expression" dxfId="4591" priority="143">
      <formula>IF(V112="Unknown/Missing",TRUE)</formula>
    </cfRule>
    <cfRule type="expression" dxfId="4590" priority="144">
      <formula>IF(V112="Not Required/Applicable",TRUE)</formula>
    </cfRule>
    <cfRule type="expression" dxfId="4589" priority="145">
      <formula>IF(V112="Not Compliant",TRUE)</formula>
    </cfRule>
    <cfRule type="expression" dxfId="4588" priority="146">
      <formula>IF($N112=" ",TRUE)</formula>
    </cfRule>
  </conditionalFormatting>
  <conditionalFormatting sqref="Q112:Q113">
    <cfRule type="expression" dxfId="4587" priority="137">
      <formula>IF(R112=TRUE,TRUE,FALSE)</formula>
    </cfRule>
  </conditionalFormatting>
  <conditionalFormatting sqref="Q112:Q113">
    <cfRule type="expression" dxfId="4586" priority="136">
      <formula>IF(R112=FALSE,TRUE,FALSE)</formula>
    </cfRule>
  </conditionalFormatting>
  <conditionalFormatting sqref="N116">
    <cfRule type="expression" dxfId="4585" priority="127">
      <formula>IF($N116="Compliant",TRUE)</formula>
    </cfRule>
    <cfRule type="expression" dxfId="4584" priority="128">
      <formula>IF($N116="FE with work-a-round",TRUE)</formula>
    </cfRule>
    <cfRule type="expression" dxfId="4583" priority="129">
      <formula>IF($N116="Functionally Equivalent",TRUE)</formula>
    </cfRule>
    <cfRule type="expression" dxfId="4582" priority="130">
      <formula>IF($N116="Likely to become compliant",TRUE)</formula>
    </cfRule>
    <cfRule type="expression" dxfId="4581" priority="131">
      <formula>IF($N116="Partly Compliant",TRUE)</formula>
    </cfRule>
    <cfRule type="expression" dxfId="4580" priority="132">
      <formula>IF($N116="Unknown/Missing",TRUE)</formula>
    </cfRule>
    <cfRule type="expression" dxfId="4579" priority="133">
      <formula>IF($N116="Not Required/Applicable",TRUE)</formula>
    </cfRule>
    <cfRule type="expression" dxfId="4578" priority="134">
      <formula>IF($N116="Not Compliant",TRUE)</formula>
    </cfRule>
    <cfRule type="expression" dxfId="4577" priority="135">
      <formula>IF($N116=" ",TRUE)</formula>
    </cfRule>
  </conditionalFormatting>
  <conditionalFormatting sqref="V116">
    <cfRule type="expression" dxfId="4576" priority="118">
      <formula>IF(V116="Compliant",TRUE)</formula>
    </cfRule>
    <cfRule type="expression" dxfId="4575" priority="119">
      <formula>IF(V116="FE with work-a-round",TRUE)</formula>
    </cfRule>
    <cfRule type="expression" dxfId="4574" priority="120">
      <formula>IF(V116="Functionally Equivalent",TRUE)</formula>
    </cfRule>
    <cfRule type="expression" dxfId="4573" priority="121">
      <formula>IF(V116="Likely to become compliant",TRUE)</formula>
    </cfRule>
    <cfRule type="expression" dxfId="4572" priority="122">
      <formula>IF(V116="Partly Compliant",TRUE)</formula>
    </cfRule>
    <cfRule type="expression" dxfId="4571" priority="123">
      <formula>IF(V116="Unknown/Missing",TRUE)</formula>
    </cfRule>
    <cfRule type="expression" dxfId="4570" priority="124">
      <formula>IF(V116="Not Required/Applicable",TRUE)</formula>
    </cfRule>
    <cfRule type="expression" dxfId="4569" priority="125">
      <formula>IF(V116="Not Compliant",TRUE)</formula>
    </cfRule>
    <cfRule type="expression" dxfId="4568" priority="126">
      <formula>IF($N116=" ",TRUE)</formula>
    </cfRule>
  </conditionalFormatting>
  <conditionalFormatting sqref="Q116">
    <cfRule type="expression" dxfId="4567" priority="117">
      <formula>IF(R116=TRUE,TRUE,FALSE)</formula>
    </cfRule>
  </conditionalFormatting>
  <conditionalFormatting sqref="Q116">
    <cfRule type="expression" dxfId="4566" priority="116">
      <formula>IF(R116=FALSE,TRUE,FALSE)</formula>
    </cfRule>
  </conditionalFormatting>
  <conditionalFormatting sqref="N121">
    <cfRule type="expression" dxfId="4565" priority="107">
      <formula>IF($N121="Compliant",TRUE)</formula>
    </cfRule>
    <cfRule type="expression" dxfId="4564" priority="108">
      <formula>IF($N121="FE with work-a-round",TRUE)</formula>
    </cfRule>
    <cfRule type="expression" dxfId="4563" priority="109">
      <formula>IF($N121="Functionally Equivalent",TRUE)</formula>
    </cfRule>
    <cfRule type="expression" dxfId="4562" priority="110">
      <formula>IF($N121="Likely to become compliant",TRUE)</formula>
    </cfRule>
    <cfRule type="expression" dxfId="4561" priority="111">
      <formula>IF($N121="Partly Compliant",TRUE)</formula>
    </cfRule>
    <cfRule type="expression" dxfId="4560" priority="112">
      <formula>IF($N121="Unknown/Missing",TRUE)</formula>
    </cfRule>
    <cfRule type="expression" dxfId="4559" priority="113">
      <formula>IF($N121="Not Required/Applicable",TRUE)</formula>
    </cfRule>
    <cfRule type="expression" dxfId="4558" priority="114">
      <formula>IF($N121="Not Compliant",TRUE)</formula>
    </cfRule>
    <cfRule type="expression" dxfId="4557" priority="115">
      <formula>IF($N121=" ",TRUE)</formula>
    </cfRule>
  </conditionalFormatting>
  <conditionalFormatting sqref="V121">
    <cfRule type="expression" dxfId="4556" priority="98">
      <formula>IF(V121="Compliant",TRUE)</formula>
    </cfRule>
    <cfRule type="expression" dxfId="4555" priority="99">
      <formula>IF(V121="FE with work-a-round",TRUE)</formula>
    </cfRule>
    <cfRule type="expression" dxfId="4554" priority="100">
      <formula>IF(V121="Functionally Equivalent",TRUE)</formula>
    </cfRule>
    <cfRule type="expression" dxfId="4553" priority="101">
      <formula>IF(V121="Likely to become compliant",TRUE)</formula>
    </cfRule>
    <cfRule type="expression" dxfId="4552" priority="102">
      <formula>IF(V121="Partly Compliant",TRUE)</formula>
    </cfRule>
    <cfRule type="expression" dxfId="4551" priority="103">
      <formula>IF(V121="Unknown/Missing",TRUE)</formula>
    </cfRule>
    <cfRule type="expression" dxfId="4550" priority="104">
      <formula>IF(V121="Not Required/Applicable",TRUE)</formula>
    </cfRule>
    <cfRule type="expression" dxfId="4549" priority="105">
      <formula>IF(V121="Not Compliant",TRUE)</formula>
    </cfRule>
    <cfRule type="expression" dxfId="4548" priority="106">
      <formula>IF($N121=" ",TRUE)</formula>
    </cfRule>
  </conditionalFormatting>
  <conditionalFormatting sqref="Q121">
    <cfRule type="expression" dxfId="4547" priority="97">
      <formula>IF(R121=TRUE,TRUE,FALSE)</formula>
    </cfRule>
  </conditionalFormatting>
  <conditionalFormatting sqref="Q121">
    <cfRule type="expression" dxfId="4546" priority="96">
      <formula>IF(R121=FALSE,TRUE,FALSE)</formula>
    </cfRule>
  </conditionalFormatting>
  <conditionalFormatting sqref="N124">
    <cfRule type="expression" dxfId="4545" priority="87">
      <formula>IF($N124="Compliant",TRUE)</formula>
    </cfRule>
    <cfRule type="expression" dxfId="4544" priority="88">
      <formula>IF($N124="FE with work-a-round",TRUE)</formula>
    </cfRule>
    <cfRule type="expression" dxfId="4543" priority="89">
      <formula>IF($N124="Functionally Equivalent",TRUE)</formula>
    </cfRule>
    <cfRule type="expression" dxfId="4542" priority="90">
      <formula>IF($N124="Likely to become compliant",TRUE)</formula>
    </cfRule>
    <cfRule type="expression" dxfId="4541" priority="91">
      <formula>IF($N124="Partly Compliant",TRUE)</formula>
    </cfRule>
    <cfRule type="expression" dxfId="4540" priority="92">
      <formula>IF($N124="Unknown/Missing",TRUE)</formula>
    </cfRule>
    <cfRule type="expression" dxfId="4539" priority="93">
      <formula>IF($N124="Not Required/Applicable",TRUE)</formula>
    </cfRule>
    <cfRule type="expression" dxfId="4538" priority="94">
      <formula>IF($N124="Not Compliant",TRUE)</formula>
    </cfRule>
    <cfRule type="expression" dxfId="4537" priority="95">
      <formula>IF($N124=" ",TRUE)</formula>
    </cfRule>
  </conditionalFormatting>
  <conditionalFormatting sqref="V124">
    <cfRule type="expression" dxfId="4536" priority="78">
      <formula>IF(V124="Compliant",TRUE)</formula>
    </cfRule>
    <cfRule type="expression" dxfId="4535" priority="79">
      <formula>IF(V124="FE with work-a-round",TRUE)</formula>
    </cfRule>
    <cfRule type="expression" dxfId="4534" priority="80">
      <formula>IF(V124="Functionally Equivalent",TRUE)</formula>
    </cfRule>
    <cfRule type="expression" dxfId="4533" priority="81">
      <formula>IF(V124="Likely to become compliant",TRUE)</formula>
    </cfRule>
    <cfRule type="expression" dxfId="4532" priority="82">
      <formula>IF(V124="Partly Compliant",TRUE)</formula>
    </cfRule>
    <cfRule type="expression" dxfId="4531" priority="83">
      <formula>IF(V124="Unknown/Missing",TRUE)</formula>
    </cfRule>
    <cfRule type="expression" dxfId="4530" priority="84">
      <formula>IF(V124="Not Required/Applicable",TRUE)</formula>
    </cfRule>
    <cfRule type="expression" dxfId="4529" priority="85">
      <formula>IF(V124="Not Compliant",TRUE)</formula>
    </cfRule>
    <cfRule type="expression" dxfId="4528" priority="86">
      <formula>IF($N124=" ",TRUE)</formula>
    </cfRule>
  </conditionalFormatting>
  <conditionalFormatting sqref="Q124">
    <cfRule type="expression" dxfId="4527" priority="77">
      <formula>IF(R124=TRUE,TRUE,FALSE)</formula>
    </cfRule>
  </conditionalFormatting>
  <conditionalFormatting sqref="Q124">
    <cfRule type="expression" dxfId="4526" priority="76">
      <formula>IF(R124=FALSE,TRUE,FALSE)</formula>
    </cfRule>
  </conditionalFormatting>
  <conditionalFormatting sqref="Q44">
    <cfRule type="expression" dxfId="4525" priority="69">
      <formula>IF(R44=TRUE,TRUE,FALSE)</formula>
    </cfRule>
  </conditionalFormatting>
  <conditionalFormatting sqref="Q44">
    <cfRule type="expression" dxfId="4524" priority="68">
      <formula>IF(R44=FALSE,TRUE,FALSE)</formula>
    </cfRule>
  </conditionalFormatting>
  <conditionalFormatting sqref="O72">
    <cfRule type="expression" dxfId="4523" priority="62">
      <formula>IF(AND($E72=TRUE,$I72="Valid Entry required below - Check amber box",#REF!="Compliant"),TRUE,FALSE)</formula>
    </cfRule>
    <cfRule type="expression" dxfId="4522" priority="63">
      <formula>IF(AND($E72=TRUE,$I72="Valid Entry made below",#REF!="Compliant"),TRUE,FALSE)</formula>
    </cfRule>
    <cfRule type="expression" dxfId="4521" priority="64">
      <formula>IF(AND($E72=FALSE,#REF!&lt;&gt;""),TRUE,FALSE)</formula>
    </cfRule>
    <cfRule type="expression" dxfId="4520" priority="65">
      <formula>IF(AND($I72&lt;&gt;"",#REF!&lt;&gt;""),TRUE,FALSE)</formula>
    </cfRule>
  </conditionalFormatting>
  <conditionalFormatting sqref="N72">
    <cfRule type="expression" dxfId="4519" priority="60">
      <formula>IF(O72=FALSE,TRUE,FALSE)</formula>
    </cfRule>
    <cfRule type="expression" dxfId="4518" priority="61">
      <formula>IF(O72=TRUE,TRUE,FALSE)</formula>
    </cfRule>
  </conditionalFormatting>
  <conditionalFormatting sqref="Q72">
    <cfRule type="expression" dxfId="4517" priority="59">
      <formula>IF(R72=TRUE,TRUE,FALSE)</formula>
    </cfRule>
  </conditionalFormatting>
  <conditionalFormatting sqref="V72">
    <cfRule type="expression" dxfId="4516" priority="56">
      <formula>IF(W72=FALSE,TRUE,FALSE)</formula>
    </cfRule>
    <cfRule type="expression" dxfId="4515" priority="57">
      <formula>IF(W72=TRUE,TRUE,FALSE)</formula>
    </cfRule>
  </conditionalFormatting>
  <conditionalFormatting sqref="Q72">
    <cfRule type="expression" dxfId="4514" priority="58">
      <formula>IF(R72=FALSE,TRUE,FALSE)</formula>
    </cfRule>
  </conditionalFormatting>
  <conditionalFormatting sqref="O104">
    <cfRule type="expression" dxfId="4513" priority="52">
      <formula>IF(AND($E104=TRUE,$I104="Valid Entry required below - Check amber box",#REF!="Compliant"),TRUE,FALSE)</formula>
    </cfRule>
    <cfRule type="expression" dxfId="4512" priority="53">
      <formula>IF(AND($E104=TRUE,$I104="Valid Entry made below",#REF!="Compliant"),TRUE,FALSE)</formula>
    </cfRule>
    <cfRule type="expression" dxfId="4511" priority="54">
      <formula>IF(AND($E104=FALSE,#REF!&lt;&gt;""),TRUE,FALSE)</formula>
    </cfRule>
    <cfRule type="expression" dxfId="4510" priority="55">
      <formula>IF(AND($I104&lt;&gt;"",#REF!&lt;&gt;""),TRUE,FALSE)</formula>
    </cfRule>
  </conditionalFormatting>
  <conditionalFormatting sqref="N104">
    <cfRule type="expression" dxfId="4509" priority="50">
      <formula>IF(O104=FALSE,TRUE,FALSE)</formula>
    </cfRule>
    <cfRule type="expression" dxfId="4508" priority="51">
      <formula>IF(O104=TRUE,TRUE,FALSE)</formula>
    </cfRule>
  </conditionalFormatting>
  <conditionalFormatting sqref="Q104">
    <cfRule type="expression" dxfId="4507" priority="49">
      <formula>IF(R104=TRUE,TRUE,FALSE)</formula>
    </cfRule>
  </conditionalFormatting>
  <conditionalFormatting sqref="V104">
    <cfRule type="expression" dxfId="4506" priority="46">
      <formula>IF(W104=FALSE,TRUE,FALSE)</formula>
    </cfRule>
    <cfRule type="expression" dxfId="4505" priority="47">
      <formula>IF(W104=TRUE,TRUE,FALSE)</formula>
    </cfRule>
  </conditionalFormatting>
  <conditionalFormatting sqref="Q104">
    <cfRule type="expression" dxfId="4504" priority="48">
      <formula>IF(R104=FALSE,TRUE,FALSE)</formula>
    </cfRule>
  </conditionalFormatting>
  <conditionalFormatting sqref="Q125:Q127 Q122:Q123 Q117:Q120 Q114:Q115 Q106:Q111 Q78:Q100 Q74:Q76 Q66:Q68 Q63:Q64 Q57:Q61 Q54:Q55">
    <cfRule type="expression" dxfId="4503" priority="37">
      <formula>IF(Q54="Compliant",TRUE)</formula>
    </cfRule>
    <cfRule type="expression" dxfId="4502" priority="38">
      <formula>IF(Q54="FE with work-a-round",TRUE)</formula>
    </cfRule>
    <cfRule type="expression" dxfId="4501" priority="39">
      <formula>IF(Q54="Functionally Equivalent",TRUE)</formula>
    </cfRule>
    <cfRule type="expression" dxfId="4500" priority="40">
      <formula>IF(Q54="Likely to become compliant",TRUE)</formula>
    </cfRule>
    <cfRule type="expression" dxfId="4499" priority="41">
      <formula>IF(Q54="Partly Compliant",TRUE)</formula>
    </cfRule>
    <cfRule type="expression" dxfId="4498" priority="42">
      <formula>IF(Q54="Unknown/Missing",TRUE)</formula>
    </cfRule>
    <cfRule type="expression" dxfId="4497" priority="43">
      <formula>IF(Q54="Not Required/Applicable",TRUE)</formula>
    </cfRule>
    <cfRule type="expression" dxfId="4496" priority="44">
      <formula>IF(Q54="Not Compliant",TRUE)</formula>
    </cfRule>
    <cfRule type="expression" dxfId="4495" priority="45">
      <formula>IF($N54=" ",TRUE)</formula>
    </cfRule>
  </conditionalFormatting>
  <conditionalFormatting sqref="V44">
    <cfRule type="expression" dxfId="4494" priority="14477">
      <formula>IF(V44="Compliant",TRUE)</formula>
    </cfRule>
    <cfRule type="expression" dxfId="4493" priority="14478">
      <formula>IF(V44="FE with work-a-round",TRUE)</formula>
    </cfRule>
    <cfRule type="expression" dxfId="4492" priority="14479">
      <formula>IF(V44="Functionally Equivalent",TRUE)</formula>
    </cfRule>
    <cfRule type="expression" dxfId="4491" priority="14480">
      <formula>IF(V44="Likely to become compliant",TRUE)</formula>
    </cfRule>
    <cfRule type="expression" dxfId="4490" priority="14481">
      <formula>IF(V44="Partly Compliant",TRUE)</formula>
    </cfRule>
    <cfRule type="expression" dxfId="4489" priority="14482">
      <formula>IF(V44="Unknown/Missing",TRUE)</formula>
    </cfRule>
    <cfRule type="expression" dxfId="4488" priority="14483">
      <formula>IF(V44="Not Required/Applicable",TRUE)</formula>
    </cfRule>
    <cfRule type="expression" dxfId="4487" priority="14484">
      <formula>IF(V44="Not Compliant",TRUE)</formula>
    </cfRule>
    <cfRule type="expression" dxfId="4486" priority="14485">
      <formula>IF($N44=" ",TRUE)</formula>
    </cfRule>
  </conditionalFormatting>
  <conditionalFormatting sqref="D46:D51 D54:D55 D57:D61 D63:D64 D66:D68 D74:D76 D78:D100 D106:D111 D114:D115 D117:D120 D122:D123 D125:D127">
    <cfRule type="expression" dxfId="4485" priority="506">
      <formula>IF($D46="Compliant",TRUE)</formula>
    </cfRule>
    <cfRule type="expression" dxfId="4484" priority="507">
      <formula>IF($D46=" ",TRUE)</formula>
    </cfRule>
    <cfRule type="expression" dxfId="4483" priority="513">
      <formula>IF($D46="Not Compliant",TRUE)</formula>
    </cfRule>
  </conditionalFormatting>
  <conditionalFormatting sqref="Q77">
    <cfRule type="expression" dxfId="4482" priority="36">
      <formula>IF(R77=TRUE,TRUE,FALSE)</formula>
    </cfRule>
  </conditionalFormatting>
  <conditionalFormatting sqref="Q77">
    <cfRule type="expression" dxfId="4481" priority="35">
      <formula>IF(R77=FALSE,TRUE,FALSE)</formula>
    </cfRule>
  </conditionalFormatting>
  <conditionalFormatting sqref="B18">
    <cfRule type="expression" dxfId="4480" priority="34">
      <formula>IF($E18,TRUE)</formula>
    </cfRule>
  </conditionalFormatting>
  <conditionalFormatting sqref="D18">
    <cfRule type="beginsWith" dxfId="4479" priority="26" operator="beginsWith" text="Likely">
      <formula>LEFT(D18,LEN("Likely"))="Likely"</formula>
    </cfRule>
    <cfRule type="beginsWith" dxfId="4478" priority="27" operator="beginsWith" text="Not Applicable">
      <formula>LEFT(D18,LEN("Not Applicable"))="Not Applicable"</formula>
    </cfRule>
    <cfRule type="beginsWith" dxfId="4477" priority="28" operator="beginsWith" text="Applicable">
      <formula>LEFT(D18,LEN("Applicable"))="Applicable"</formula>
    </cfRule>
    <cfRule type="beginsWith" dxfId="4476" priority="29" operator="beginsWith" text="Partly">
      <formula>LEFT(D18,LEN("Partly"))="Partly"</formula>
    </cfRule>
    <cfRule type="beginsWith" dxfId="4475" priority="30" operator="beginsWith" text="Missing">
      <formula>LEFT(D18,LEN("Missing"))="Missing"</formula>
    </cfRule>
    <cfRule type="beginsWith" dxfId="4474" priority="31" operator="beginsWith" text="Not">
      <formula>LEFT(D18,LEN("Not"))="Not"</formula>
    </cfRule>
    <cfRule type="beginsWith" dxfId="4473" priority="32" operator="beginsWith" text="Compliant">
      <formula>LEFT(D18,LEN("Compliant"))="Compliant"</formula>
    </cfRule>
    <cfRule type="containsText" dxfId="4472" priority="33" operator="containsText" text="Equivalent">
      <formula>NOT(ISERROR(SEARCH("Equivalent",D18)))</formula>
    </cfRule>
  </conditionalFormatting>
  <conditionalFormatting sqref="N18">
    <cfRule type="beginsWith" dxfId="4471" priority="18" operator="beginsWith" text="Likely">
      <formula>LEFT(N18,LEN("Likely"))="Likely"</formula>
    </cfRule>
    <cfRule type="beginsWith" dxfId="4470" priority="19" operator="beginsWith" text="Not Applicable">
      <formula>LEFT(N18,LEN("Not Applicable"))="Not Applicable"</formula>
    </cfRule>
    <cfRule type="beginsWith" dxfId="4469" priority="20" operator="beginsWith" text="Applicable">
      <formula>LEFT(N18,LEN("Applicable"))="Applicable"</formula>
    </cfRule>
    <cfRule type="beginsWith" dxfId="4468" priority="21" operator="beginsWith" text="Partly">
      <formula>LEFT(N18,LEN("Partly"))="Partly"</formula>
    </cfRule>
    <cfRule type="beginsWith" dxfId="4467" priority="22" operator="beginsWith" text="Missing">
      <formula>LEFT(N18,LEN("Missing"))="Missing"</formula>
    </cfRule>
    <cfRule type="beginsWith" dxfId="4466" priority="23" operator="beginsWith" text="Not">
      <formula>LEFT(N18,LEN("Not"))="Not"</formula>
    </cfRule>
    <cfRule type="beginsWith" dxfId="4465" priority="24" operator="beginsWith" text="Compliant">
      <formula>LEFT(N18,LEN("Compliant"))="Compliant"</formula>
    </cfRule>
    <cfRule type="containsText" dxfId="4464" priority="25" operator="containsText" text="Equivalent">
      <formula>NOT(ISERROR(SEARCH("Equivalent",N18)))</formula>
    </cfRule>
  </conditionalFormatting>
  <conditionalFormatting sqref="V18">
    <cfRule type="beginsWith" dxfId="4463" priority="10" operator="beginsWith" text="Likely">
      <formula>LEFT(V18,LEN("Likely"))="Likely"</formula>
    </cfRule>
    <cfRule type="beginsWith" dxfId="4462" priority="11" operator="beginsWith" text="Not Applicable">
      <formula>LEFT(V18,LEN("Not Applicable"))="Not Applicable"</formula>
    </cfRule>
    <cfRule type="beginsWith" dxfId="4461" priority="12" operator="beginsWith" text="Applicable">
      <formula>LEFT(V18,LEN("Applicable"))="Applicable"</formula>
    </cfRule>
    <cfRule type="beginsWith" dxfId="4460" priority="13" operator="beginsWith" text="Partly">
      <formula>LEFT(V18,LEN("Partly"))="Partly"</formula>
    </cfRule>
    <cfRule type="beginsWith" dxfId="4459" priority="14" operator="beginsWith" text="Missing">
      <formula>LEFT(V18,LEN("Missing"))="Missing"</formula>
    </cfRule>
    <cfRule type="beginsWith" dxfId="4458" priority="15" operator="beginsWith" text="Not">
      <formula>LEFT(V18,LEN("Not"))="Not"</formula>
    </cfRule>
    <cfRule type="beginsWith" dxfId="4457" priority="16" operator="beginsWith" text="Compliant">
      <formula>LEFT(V18,LEN("Compliant"))="Compliant"</formula>
    </cfRule>
    <cfRule type="containsText" dxfId="4456" priority="17" operator="containsText" text="Equivalent">
      <formula>NOT(ISERROR(SEARCH("Equivalent",V18)))</formula>
    </cfRule>
  </conditionalFormatting>
  <conditionalFormatting sqref="Q18">
    <cfRule type="beginsWith" dxfId="4455" priority="2" operator="beginsWith" text="Likely">
      <formula>LEFT(Q18,LEN("Likely"))="Likely"</formula>
    </cfRule>
    <cfRule type="beginsWith" dxfId="4454" priority="3" operator="beginsWith" text="Not Applicable">
      <formula>LEFT(Q18,LEN("Not Applicable"))="Not Applicable"</formula>
    </cfRule>
    <cfRule type="beginsWith" dxfId="4453" priority="4" operator="beginsWith" text="Applicable">
      <formula>LEFT(Q18,LEN("Applicable"))="Applicable"</formula>
    </cfRule>
    <cfRule type="beginsWith" dxfId="4452" priority="5" operator="beginsWith" text="Partly">
      <formula>LEFT(Q18,LEN("Partly"))="Partly"</formula>
    </cfRule>
    <cfRule type="beginsWith" dxfId="4451" priority="6" operator="beginsWith" text="Missing">
      <formula>LEFT(Q18,LEN("Missing"))="Missing"</formula>
    </cfRule>
    <cfRule type="beginsWith" dxfId="4450" priority="7" operator="beginsWith" text="Not">
      <formula>LEFT(Q18,LEN("Not"))="Not"</formula>
    </cfRule>
    <cfRule type="beginsWith" dxfId="4449" priority="8" operator="beginsWith" text="Compliant">
      <formula>LEFT(Q18,LEN("Compliant"))="Compliant"</formula>
    </cfRule>
    <cfRule type="containsText" dxfId="4448" priority="9" operator="containsText" text="Equivalent">
      <formula>NOT(ISERROR(SEARCH("Equivalent",Q18)))</formula>
    </cfRule>
  </conditionalFormatting>
  <conditionalFormatting sqref="B16">
    <cfRule type="expression" dxfId="4447" priority="15543">
      <formula>IF(AND($E16=TRUE,#REF!=TRUE),TRUE,FALSE)</formula>
    </cfRule>
    <cfRule type="expression" dxfId="4446" priority="15544">
      <formula>IF(AND($E16=FALSE,OR($I16&lt;&gt;"",$L16&lt;&gt;"")),TRUE,FALSE)</formula>
    </cfRule>
    <cfRule type="expression" dxfId="4445" priority="15545">
      <formula>IF(AND($E16=TRUE,OR($I16="",$J16="")),TRUE,FALSE)</formula>
    </cfRule>
    <cfRule type="expression" dxfId="4444" priority="15546">
      <formula>IF(AND($E16=TRUE,OR($I16&lt;&gt;"",$L16="")),TRUE,FALSE)</formula>
    </cfRule>
    <cfRule type="expression" dxfId="4443" priority="15547">
      <formula>IF(AND($F$14&gt;0,$D16="",$E16=FALSE),TRUE,FALSE)</formula>
    </cfRule>
  </conditionalFormatting>
  <conditionalFormatting sqref="D10:D12 D15:D16 D36:D39 D28:D31">
    <cfRule type="expression" dxfId="4442" priority="498">
      <formula>IF($D10="Compliant",TRUE)</formula>
    </cfRule>
    <cfRule type="expression" dxfId="4441" priority="499">
      <formula>IF($D10=" ",TRUE)</formula>
    </cfRule>
    <cfRule type="expression" dxfId="4440" priority="505">
      <formula>IF($D10="Not Compliant",TRUE)</formula>
    </cfRule>
  </conditionalFormatting>
  <dataValidations count="1">
    <dataValidation type="list" allowBlank="1" showInputMessage="1" showErrorMessage="1" sqref="N69:O69">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22" id="{EAA4981C-A560-4F84-8B49-6013EF556382}">
            <xm:f>ISNUMBER(SEARCH($D10,Dropdowns!$D$18))</xm:f>
            <x14:dxf>
              <fill>
                <patternFill>
                  <bgColor rgb="FFFFFF00"/>
                </patternFill>
              </fill>
            </x14:dxf>
          </x14:cfRule>
          <x14:cfRule type="expression" priority="723" id="{2DC3432C-D87E-4C52-8F2C-4E7AE9B8F748}">
            <xm:f>ISNUMBER(SEARCH($D10,Dropdowns!$D$19))</xm:f>
            <x14:dxf>
              <fill>
                <patternFill>
                  <bgColor theme="6" tint="0.39994506668294322"/>
                </patternFill>
              </fill>
            </x14:dxf>
          </x14:cfRule>
          <x14:cfRule type="expression" priority="724" id="{ABEF9931-D8C6-4B53-9A4D-9FAC6638BC84}">
            <xm:f>ISNUMBER(SEARCH($D10,Dropdowns!$D$20))</xm:f>
            <x14:dxf>
              <fill>
                <patternFill>
                  <bgColor theme="6" tint="0.39994506668294322"/>
                </patternFill>
              </fill>
            </x14:dxf>
          </x14:cfRule>
          <x14:cfRule type="expression" priority="725" id="{89E3B538-E9DB-46A5-9D96-C204E594709A}">
            <xm:f>ISNUMBER(SEARCH($D10,Dropdowns!$D$21))</xm:f>
            <x14:dxf>
              <fill>
                <patternFill>
                  <bgColor rgb="FFFFFF00"/>
                </patternFill>
              </fill>
            </x14:dxf>
          </x14:cfRule>
          <x14:cfRule type="expression" priority="726" id="{34EFCDB1-54DE-4400-A68B-634454BCB106}">
            <xm:f>ISNUMBER(SEARCH($D10,Dropdowns!$D$23))</xm:f>
            <x14:dxf>
              <fill>
                <patternFill>
                  <bgColor rgb="FFFFFF00"/>
                </patternFill>
              </fill>
            </x14:dxf>
          </x14:cfRule>
          <xm:sqref>D10:D12</xm:sqref>
        </x14:conditionalFormatting>
        <x14:conditionalFormatting xmlns:xm="http://schemas.microsoft.com/office/excel/2006/main">
          <x14:cfRule type="expression" priority="484" id="{66C31B99-2F65-49A9-9652-4E982271150B}">
            <xm:f>ISNUMBER(SEARCH($D113,Dropdowns!$D$18))</xm:f>
            <x14:dxf>
              <fill>
                <patternFill>
                  <bgColor rgb="FFFFFF00"/>
                </patternFill>
              </fill>
            </x14:dxf>
          </x14:cfRule>
          <x14:cfRule type="expression" priority="485" id="{2657B062-0187-423A-A8AC-BE1A4BCF561B}">
            <xm:f>ISNUMBER(SEARCH($D113,Dropdowns!$D$19))</xm:f>
            <x14:dxf>
              <fill>
                <patternFill>
                  <bgColor theme="6" tint="0.39994506668294322"/>
                </patternFill>
              </fill>
            </x14:dxf>
          </x14:cfRule>
          <x14:cfRule type="expression" priority="486" id="{C1EFC08B-20D4-4CD4-AD3B-845BF132FEA5}">
            <xm:f>ISNUMBER(SEARCH($D113,Dropdowns!$D$20))</xm:f>
            <x14:dxf>
              <fill>
                <patternFill>
                  <bgColor theme="6" tint="0.39994506668294322"/>
                </patternFill>
              </fill>
            </x14:dxf>
          </x14:cfRule>
          <x14:cfRule type="expression" priority="487" id="{DE983766-8322-43E7-BCB5-223FE3D12809}">
            <xm:f>ISNUMBER(SEARCH($D113,Dropdowns!$D$21))</xm:f>
            <x14:dxf>
              <fill>
                <patternFill>
                  <bgColor rgb="FFFFFF00"/>
                </patternFill>
              </fill>
            </x14:dxf>
          </x14:cfRule>
          <x14:cfRule type="expression" priority="488" id="{628FABE4-41FD-4E82-BBA1-1008299AA8CE}">
            <xm:f>ISNUMBER(SEARCH($D113,Dropdowns!$D$23))</xm:f>
            <x14:dxf>
              <fill>
                <patternFill>
                  <bgColor rgb="FFFFFF00"/>
                </patternFill>
              </fill>
            </x14:dxf>
          </x14:cfRule>
          <xm:sqref>D113</xm:sqref>
        </x14:conditionalFormatting>
        <x14:conditionalFormatting xmlns:xm="http://schemas.microsoft.com/office/excel/2006/main">
          <x14:cfRule type="expression" priority="508" id="{18B4B5F1-4F90-4A04-A506-7933A52D4CCD}">
            <xm:f>ISNUMBER(SEARCH($D46,Dropdowns!$D$18))</xm:f>
            <x14:dxf>
              <fill>
                <patternFill>
                  <bgColor rgb="FFFFFF00"/>
                </patternFill>
              </fill>
            </x14:dxf>
          </x14:cfRule>
          <x14:cfRule type="expression" priority="509" id="{49622DD8-B015-4DBC-95E0-BF51421A8E56}">
            <xm:f>ISNUMBER(SEARCH($D46,Dropdowns!$D$19))</xm:f>
            <x14:dxf>
              <fill>
                <patternFill>
                  <bgColor theme="6" tint="0.39994506668294322"/>
                </patternFill>
              </fill>
            </x14:dxf>
          </x14:cfRule>
          <x14:cfRule type="expression" priority="510" id="{54C8C58A-15DE-48AC-B83E-65F70CA2AEBC}">
            <xm:f>ISNUMBER(SEARCH($D46,Dropdowns!$D$20))</xm:f>
            <x14:dxf>
              <fill>
                <patternFill>
                  <bgColor theme="6" tint="0.39994506668294322"/>
                </patternFill>
              </fill>
            </x14:dxf>
          </x14:cfRule>
          <x14:cfRule type="expression" priority="511" id="{62E9D595-CD2E-4218-88DE-067F4037827B}">
            <xm:f>ISNUMBER(SEARCH($D46,Dropdowns!$D$21))</xm:f>
            <x14:dxf>
              <fill>
                <patternFill>
                  <bgColor rgb="FFFFFF00"/>
                </patternFill>
              </fill>
            </x14:dxf>
          </x14:cfRule>
          <x14:cfRule type="expression" priority="512" id="{31A66F9F-1396-40A0-BBA1-8165AE663E56}">
            <xm:f>ISNUMBER(SEARCH($D46,Dropdowns!$D$23))</xm:f>
            <x14:dxf>
              <fill>
                <patternFill>
                  <bgColor rgb="FFFFFF00"/>
                </patternFill>
              </fill>
            </x14:dxf>
          </x14:cfRule>
          <xm:sqref>D46:D51 D54:D55 D57:D61 D63:D64 D66:D68 D74:D76 D78:D100 D106:D111 D114:D115 D117:D120 D122:D123 D125:D127</xm:sqref>
        </x14:conditionalFormatting>
        <x14:conditionalFormatting xmlns:xm="http://schemas.microsoft.com/office/excel/2006/main">
          <x14:cfRule type="expression" priority="500" id="{E57C49C0-253E-466D-87A5-4844171E4BF6}">
            <xm:f>ISNUMBER(SEARCH($D10,Dropdowns!$D$18))</xm:f>
            <x14:dxf>
              <fill>
                <patternFill>
                  <bgColor rgb="FFFFFF00"/>
                </patternFill>
              </fill>
            </x14:dxf>
          </x14:cfRule>
          <x14:cfRule type="expression" priority="501" id="{F5031E84-FE3D-4C2C-8A71-069B305720D0}">
            <xm:f>ISNUMBER(SEARCH($D10,Dropdowns!$D$19))</xm:f>
            <x14:dxf>
              <fill>
                <patternFill>
                  <bgColor theme="6" tint="0.39994506668294322"/>
                </patternFill>
              </fill>
            </x14:dxf>
          </x14:cfRule>
          <x14:cfRule type="expression" priority="502" id="{830745C0-61B3-4369-BA07-E062EDC16667}">
            <xm:f>ISNUMBER(SEARCH($D10,Dropdowns!$D$20))</xm:f>
            <x14:dxf>
              <fill>
                <patternFill>
                  <bgColor theme="6" tint="0.39994506668294322"/>
                </patternFill>
              </fill>
            </x14:dxf>
          </x14:cfRule>
          <x14:cfRule type="expression" priority="503" id="{6F307138-1026-4969-BDE3-3F9AC674FD58}">
            <xm:f>ISNUMBER(SEARCH($D10,Dropdowns!$D$21))</xm:f>
            <x14:dxf>
              <fill>
                <patternFill>
                  <bgColor rgb="FFFFFF00"/>
                </patternFill>
              </fill>
            </x14:dxf>
          </x14:cfRule>
          <x14:cfRule type="expression" priority="504" id="{74DE82C2-2261-4B95-894D-E4006B1635A2}">
            <xm:f>ISNUMBER(SEARCH($D10,Dropdowns!$D$23))</xm:f>
            <x14:dxf>
              <fill>
                <patternFill>
                  <bgColor rgb="FFFFFF00"/>
                </patternFill>
              </fill>
            </x14:dxf>
          </x14:cfRule>
          <xm:sqref>D10:D12 D15:D16 D36:D39 D28:D31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Dropdowns!$F$9:$F$12</xm:f>
          </x14:formula1>
          <xm:sqref>N71:O71 M52 N101:O101 M65:M68 N42:O42 N103:O103</xm:sqref>
        </x14:dataValidation>
        <x14:dataValidation type="list" allowBlank="1" showInputMessage="1" showErrorMessage="1">
          <x14:formula1>
            <xm:f>Dropdowns!$F$9:$F$13</xm:f>
          </x14:formula1>
          <xm:sqref>M44</xm:sqref>
        </x14:dataValidation>
        <x14:dataValidation type="list" allowBlank="1" showInputMessage="1" showErrorMessage="1">
          <x14:formula1>
            <xm:f>Dropdowns!$C$11:$C$13</xm:f>
          </x14:formula1>
          <xm:sqref>M22:M23 V19:W19 M19 D18 N18 Q18 V18</xm:sqref>
        </x14:dataValidation>
        <x14:dataValidation type="list" allowBlank="1" showInputMessage="1" showErrorMessage="1">
          <x14:formula1>
            <xm:f>Dropdowns!$G$11:$G$16</xm:f>
          </x14:formula1>
          <xm:sqref>V101:W101 V124 V27 V62 V24:W24 V71:W71 V35 V69:W69 V65 V103:W103 V42:W42 V14 V9 V53 V56 V121 V73 V77 V105 V112 V116 V44</xm:sqref>
        </x14:dataValidation>
        <x14:dataValidation type="list" allowBlank="1" showInputMessage="1" showErrorMessage="1">
          <x14:formula1>
            <xm:f>Dropdowns!$C$16:$C$19</xm:f>
          </x14:formula1>
          <xm:sqref>V34:W34</xm:sqref>
        </x14:dataValidation>
        <x14:dataValidation type="list" allowBlank="1" showInputMessage="1" showErrorMessage="1">
          <x14:formula1>
            <xm:f>Dropdowns!$D$16:$D$23</xm:f>
          </x14:formula1>
          <xm:sqref>D46:D51 D66:D68 D74:D76 Q114:Q115 D122:D123 D57:D61 D63:D64 D28:D31 D36:D39 D78:D100 D106:D111 Q125:Q127 D117:D120 D54:D55 D10:D12 D125:D127 Q46:Q51 Q54:Q55 Q57:Q61 Q63:Q64 Q66:Q68 Q74:Q76 Q78:Q100 Q106:Q111 D114:D115 Q117:Q120 Q122:Q123 D15:D16</xm:sqref>
        </x14:dataValidation>
        <x14:dataValidation type="list" allowBlank="1" showInputMessage="1" showErrorMessage="1">
          <x14:formula1>
            <xm:f>Dropdowns!$F$2:$F$8</xm:f>
          </x14:formula1>
          <xm:sqref>N124 N35 N14 N9 N27 N53 N56 N62 N65 N73 N77 N105 N112 N116 N121 N44</xm:sqref>
        </x14:dataValidation>
        <x14:dataValidation type="list" allowBlank="1" showInputMessage="1" showErrorMessage="1">
          <x14:formula1>
            <xm:f>Dropdowns!$E$11:$E$15</xm:f>
          </x14:formula1>
          <xm:sqref>Q36:Q39 Q14 Q9 Q27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M299"/>
  <sheetViews>
    <sheetView zoomScale="75" zoomScaleNormal="75" workbookViewId="0">
      <pane xSplit="8" ySplit="5" topLeftCell="I6" activePane="bottomRight" state="frozen"/>
      <selection activeCell="T10" sqref="T10"/>
      <selection pane="topRight" activeCell="T10" sqref="T10"/>
      <selection pane="bottomLeft" activeCell="T10" sqref="T10"/>
      <selection pane="bottomRight" activeCell="I9" sqref="I9:I13"/>
    </sheetView>
  </sheetViews>
  <sheetFormatPr defaultColWidth="8.796875" defaultRowHeight="13" x14ac:dyDescent="0.3"/>
  <cols>
    <col min="1" max="1" width="12.296875" style="1384" hidden="1" customWidth="1"/>
    <col min="2" max="2" width="31.19921875" style="1384" customWidth="1"/>
    <col min="3" max="3" width="61.796875" style="1384" customWidth="1"/>
    <col min="4" max="4" width="33.796875" style="1384" customWidth="1"/>
    <col min="5" max="5" width="14.796875" style="1384" hidden="1" customWidth="1"/>
    <col min="6" max="6" width="14.69921875" style="1384" hidden="1" customWidth="1"/>
    <col min="7" max="7" width="14.296875" style="1384" hidden="1" customWidth="1"/>
    <col min="8" max="8" width="14.69921875" style="1384" hidden="1" customWidth="1"/>
    <col min="9" max="9" width="73.3984375" style="1384" customWidth="1"/>
    <col min="10" max="10" width="16.796875" style="1384" hidden="1" customWidth="1"/>
    <col min="11" max="11" width="16.296875" style="1384" hidden="1" customWidth="1"/>
    <col min="12" max="12" width="53.296875" style="1387" customWidth="1"/>
    <col min="13" max="13" width="24.19921875" style="1384" customWidth="1"/>
    <col min="14" max="14" width="35.69921875" style="1384" customWidth="1"/>
    <col min="15" max="15" width="13.296875" style="1384" hidden="1" customWidth="1"/>
    <col min="16" max="16" width="51.796875" style="1384" customWidth="1"/>
    <col min="17" max="17" width="33.69921875" style="1384" customWidth="1"/>
    <col min="18" max="18" width="28.3984375" style="1384" hidden="1" customWidth="1"/>
    <col min="19" max="19" width="50.19921875" style="1384" customWidth="1"/>
    <col min="20" max="20" width="23.296875" style="1384" customWidth="1"/>
    <col min="21" max="21" width="37.69921875" style="1384" customWidth="1"/>
    <col min="22" max="22" width="35" style="1384" customWidth="1"/>
    <col min="23" max="23" width="26.19921875" style="1385" hidden="1" customWidth="1"/>
    <col min="24" max="24" width="50.296875" style="1384" customWidth="1"/>
    <col min="25" max="25" width="38.19921875" style="1384" customWidth="1"/>
    <col min="26" max="26" width="34.796875" style="1384" customWidth="1"/>
    <col min="27" max="16384" width="8.796875" style="1384"/>
  </cols>
  <sheetData>
    <row r="1" spans="1:26" ht="72.75" customHeight="1" x14ac:dyDescent="0.3">
      <c r="A1"/>
      <c r="B1" s="4521"/>
      <c r="C1" s="4521"/>
      <c r="D1" s="4521"/>
    </row>
    <row r="2" spans="1:26" ht="96" customHeight="1" x14ac:dyDescent="0.3">
      <c r="A2"/>
      <c r="B2" s="4398" t="s">
        <v>2280</v>
      </c>
      <c r="C2" s="4494"/>
      <c r="D2" s="4494"/>
    </row>
    <row r="3" spans="1:26" x14ac:dyDescent="0.3">
      <c r="A3"/>
      <c r="B3" s="4643"/>
      <c r="C3" s="4643"/>
      <c r="D3" s="4643"/>
    </row>
    <row r="4" spans="1:26" ht="57" customHeight="1" thickBot="1" x14ac:dyDescent="0.35">
      <c r="A4" s="4502" t="s">
        <v>1859</v>
      </c>
      <c r="B4" s="4502"/>
      <c r="C4" s="4502"/>
      <c r="D4" s="4502"/>
      <c r="E4" s="651"/>
      <c r="F4" s="651"/>
      <c r="G4" s="651"/>
      <c r="H4" s="651"/>
      <c r="I4" s="651"/>
      <c r="J4" s="651"/>
      <c r="K4" s="651"/>
      <c r="L4" s="651"/>
      <c r="M4" s="1387"/>
      <c r="N4" s="1387"/>
      <c r="O4" s="1387"/>
      <c r="P4" s="1387"/>
      <c r="Q4" s="1387"/>
      <c r="R4" s="1387"/>
      <c r="S4" s="1387"/>
    </row>
    <row r="5" spans="1:26" s="225" customFormat="1" ht="37" customHeight="1" thickTop="1" thickBot="1" x14ac:dyDescent="0.35">
      <c r="A5" s="3083"/>
      <c r="B5" s="1103" t="s">
        <v>1872</v>
      </c>
      <c r="C5" s="1103" t="s">
        <v>1873</v>
      </c>
      <c r="D5" s="1103" t="s">
        <v>1236</v>
      </c>
      <c r="E5" s="1103"/>
      <c r="F5" s="1103"/>
      <c r="G5" s="1104"/>
      <c r="H5" s="1103"/>
      <c r="I5" s="1103" t="s">
        <v>458</v>
      </c>
      <c r="J5" s="1104"/>
      <c r="K5" s="1104"/>
      <c r="L5" s="1103" t="s">
        <v>408</v>
      </c>
      <c r="M5" s="1103" t="s">
        <v>466</v>
      </c>
      <c r="N5" s="1104" t="s">
        <v>465</v>
      </c>
      <c r="O5" s="1104"/>
      <c r="P5" s="1103" t="s">
        <v>1221</v>
      </c>
      <c r="Q5" s="1103" t="s">
        <v>1212</v>
      </c>
      <c r="R5" s="1103"/>
      <c r="S5" s="1103" t="s">
        <v>396</v>
      </c>
      <c r="T5" s="1103" t="s">
        <v>409</v>
      </c>
      <c r="U5" s="1103" t="s">
        <v>1211</v>
      </c>
      <c r="V5" s="1103" t="s">
        <v>1801</v>
      </c>
      <c r="W5" s="1104"/>
      <c r="X5" s="1103" t="s">
        <v>10</v>
      </c>
      <c r="Y5" s="1103" t="s">
        <v>11</v>
      </c>
      <c r="Z5" s="1103" t="s">
        <v>12</v>
      </c>
    </row>
    <row r="6" spans="1:26" s="2" customFormat="1" ht="27" customHeight="1" thickTop="1" x14ac:dyDescent="0.3">
      <c r="A6" s="4721" t="s">
        <v>585</v>
      </c>
      <c r="B6" s="4722"/>
      <c r="C6" s="4722"/>
      <c r="D6" s="725"/>
      <c r="E6" s="725"/>
      <c r="F6" s="725"/>
      <c r="G6" s="725"/>
      <c r="H6" s="725"/>
      <c r="I6" s="725"/>
      <c r="J6" s="725"/>
      <c r="K6" s="725"/>
      <c r="L6" s="725"/>
      <c r="M6" s="725"/>
      <c r="N6" s="4722"/>
      <c r="O6" s="4722"/>
      <c r="P6" s="4722"/>
      <c r="Q6" s="4722"/>
      <c r="R6" s="4722"/>
      <c r="S6" s="4722"/>
      <c r="T6" s="4722"/>
      <c r="U6" s="4722"/>
      <c r="V6" s="4722"/>
      <c r="W6" s="3084"/>
      <c r="X6" s="4722"/>
      <c r="Y6" s="4722"/>
      <c r="Z6" s="1913"/>
    </row>
    <row r="7" spans="1:26" s="2" customFormat="1" ht="161.25" customHeight="1" x14ac:dyDescent="0.3">
      <c r="B7" s="4722" t="s">
        <v>814</v>
      </c>
      <c r="C7" s="4722"/>
      <c r="D7" s="4722"/>
      <c r="E7" s="725"/>
      <c r="F7" s="725"/>
      <c r="G7" s="725"/>
      <c r="H7" s="725"/>
      <c r="I7" s="725"/>
      <c r="J7" s="725"/>
      <c r="K7" s="725"/>
      <c r="L7" s="725"/>
      <c r="M7" s="725"/>
      <c r="N7" s="725"/>
      <c r="O7" s="725"/>
      <c r="P7" s="484"/>
      <c r="Q7" s="484"/>
      <c r="R7" s="484"/>
      <c r="S7" s="484"/>
      <c r="T7" s="484"/>
      <c r="V7" s="3085"/>
      <c r="W7" s="3086"/>
      <c r="X7" s="3085"/>
      <c r="Y7" s="3085"/>
    </row>
    <row r="8" spans="1:26" s="3640" customFormat="1" ht="19" thickBot="1" x14ac:dyDescent="0.35">
      <c r="A8" s="3690"/>
      <c r="B8" s="3752"/>
      <c r="C8" s="3690"/>
      <c r="D8" s="3753"/>
      <c r="E8" s="3753"/>
      <c r="F8" s="3753"/>
      <c r="G8" s="3753"/>
      <c r="H8" s="3753"/>
      <c r="I8" s="3753"/>
      <c r="J8" s="3753"/>
      <c r="K8" s="3753"/>
      <c r="L8" s="3753"/>
      <c r="M8" s="3754"/>
      <c r="N8" s="3754"/>
      <c r="O8" s="3754"/>
      <c r="P8" s="3639"/>
      <c r="Q8" s="3639"/>
      <c r="R8" s="3639"/>
      <c r="S8" s="3639"/>
      <c r="T8" s="3639"/>
      <c r="V8" s="3660"/>
      <c r="W8" s="3715"/>
      <c r="X8" s="3755"/>
      <c r="Y8" s="3660"/>
    </row>
    <row r="9" spans="1:26" s="1579" customFormat="1" ht="47" thickTop="1" x14ac:dyDescent="0.3">
      <c r="A9" s="670" t="s">
        <v>884</v>
      </c>
      <c r="B9" s="4731" t="s">
        <v>886</v>
      </c>
      <c r="C9" s="3087" t="s">
        <v>887</v>
      </c>
      <c r="D9" s="4725" t="s">
        <v>3</v>
      </c>
      <c r="E9" s="4728" t="b">
        <f>IF(D9="Compliant",TRUE,FALSE)</f>
        <v>0</v>
      </c>
      <c r="F9" s="4728"/>
      <c r="G9" s="4728" t="str">
        <f>IF(I9&lt;&gt;"", "Not Blank", "")</f>
        <v/>
      </c>
      <c r="H9" s="4728"/>
      <c r="I9" s="4734"/>
      <c r="J9" s="4668" t="str">
        <f>IF(L9&lt;&gt;"", "Not Blank", "")</f>
        <v/>
      </c>
      <c r="K9" s="4668"/>
      <c r="L9" s="4668"/>
      <c r="M9" s="4583"/>
      <c r="N9" s="4414" t="s">
        <v>3</v>
      </c>
      <c r="O9" s="4629" t="b">
        <f>IF(OR(N9="Compliant",N9="FE with work-a-round",N9="Functionally Equivalent"),TRUE,FALSE)</f>
        <v>0</v>
      </c>
      <c r="P9" s="4737"/>
      <c r="Q9" s="4414" t="s">
        <v>3</v>
      </c>
      <c r="R9" s="4420" t="b">
        <f>IF(OR(Q9="Compliant",Q9="FE with work-a-round",Q9="Functionally Equivalent"),TRUE,FALSE)</f>
        <v>0</v>
      </c>
      <c r="S9" s="4668"/>
      <c r="T9" s="4668"/>
      <c r="U9" s="4710"/>
      <c r="V9" s="4652" t="s">
        <v>3</v>
      </c>
      <c r="W9" s="4716" t="b">
        <f>IF(OR(V9="Compliant",V9="FE with work-a-round",V9="Functionally Equivalent",V9="Not Required/Applicable"),TRUE,FALSE)</f>
        <v>0</v>
      </c>
      <c r="X9" s="4713"/>
      <c r="Y9" s="4713"/>
      <c r="Z9" s="4710"/>
    </row>
    <row r="10" spans="1:26" s="1558" customFormat="1" ht="43.5" x14ac:dyDescent="0.3">
      <c r="A10" s="28"/>
      <c r="B10" s="4732"/>
      <c r="C10" s="68" t="s">
        <v>1794</v>
      </c>
      <c r="D10" s="4726"/>
      <c r="E10" s="4729"/>
      <c r="F10" s="4729"/>
      <c r="G10" s="4729"/>
      <c r="H10" s="4729"/>
      <c r="I10" s="4735"/>
      <c r="J10" s="4669"/>
      <c r="K10" s="4669"/>
      <c r="L10" s="4669"/>
      <c r="M10" s="4584"/>
      <c r="N10" s="4415"/>
      <c r="O10" s="4630"/>
      <c r="P10" s="4738"/>
      <c r="Q10" s="4415"/>
      <c r="R10" s="4421"/>
      <c r="S10" s="4669"/>
      <c r="T10" s="4669"/>
      <c r="U10" s="4711"/>
      <c r="V10" s="4653"/>
      <c r="W10" s="4717"/>
      <c r="X10" s="4714"/>
      <c r="Y10" s="4714"/>
      <c r="Z10" s="4711"/>
    </row>
    <row r="11" spans="1:26" s="1558" customFormat="1" ht="43.5" x14ac:dyDescent="0.3">
      <c r="A11" s="28"/>
      <c r="B11" s="4732"/>
      <c r="C11" s="68" t="s">
        <v>1795</v>
      </c>
      <c r="D11" s="4726"/>
      <c r="E11" s="4729"/>
      <c r="F11" s="4729"/>
      <c r="G11" s="4729"/>
      <c r="H11" s="4729"/>
      <c r="I11" s="4735"/>
      <c r="J11" s="4669"/>
      <c r="K11" s="4669"/>
      <c r="L11" s="4669"/>
      <c r="M11" s="4584"/>
      <c r="N11" s="4415"/>
      <c r="O11" s="4630"/>
      <c r="P11" s="4738"/>
      <c r="Q11" s="4415"/>
      <c r="R11" s="4421"/>
      <c r="S11" s="4669"/>
      <c r="T11" s="4669"/>
      <c r="U11" s="4711"/>
      <c r="V11" s="4653"/>
      <c r="W11" s="4717"/>
      <c r="X11" s="4714"/>
      <c r="Y11" s="4714"/>
      <c r="Z11" s="4711"/>
    </row>
    <row r="12" spans="1:26" s="1558" customFormat="1" ht="43.5" x14ac:dyDescent="0.3">
      <c r="A12" s="28"/>
      <c r="B12" s="4732"/>
      <c r="C12" s="68" t="s">
        <v>889</v>
      </c>
      <c r="D12" s="4726"/>
      <c r="E12" s="4729"/>
      <c r="F12" s="4729"/>
      <c r="G12" s="4729"/>
      <c r="H12" s="4729"/>
      <c r="I12" s="4735"/>
      <c r="J12" s="4669"/>
      <c r="K12" s="4669"/>
      <c r="L12" s="4669"/>
      <c r="M12" s="4584"/>
      <c r="N12" s="4415"/>
      <c r="O12" s="4630"/>
      <c r="P12" s="4738"/>
      <c r="Q12" s="4415"/>
      <c r="R12" s="4421"/>
      <c r="S12" s="4669"/>
      <c r="T12" s="4669"/>
      <c r="U12" s="4711"/>
      <c r="V12" s="4653"/>
      <c r="W12" s="4717"/>
      <c r="X12" s="4714"/>
      <c r="Y12" s="4714"/>
      <c r="Z12" s="4711"/>
    </row>
    <row r="13" spans="1:26" s="1558" customFormat="1" ht="145.5" thickBot="1" x14ac:dyDescent="0.35">
      <c r="A13" s="3038"/>
      <c r="B13" s="4733"/>
      <c r="C13" s="246" t="s">
        <v>888</v>
      </c>
      <c r="D13" s="4727"/>
      <c r="E13" s="4730"/>
      <c r="F13" s="4730"/>
      <c r="G13" s="4730"/>
      <c r="H13" s="4730"/>
      <c r="I13" s="4736"/>
      <c r="J13" s="4670"/>
      <c r="K13" s="4670"/>
      <c r="L13" s="4670"/>
      <c r="M13" s="4592"/>
      <c r="N13" s="4416"/>
      <c r="O13" s="4631"/>
      <c r="P13" s="4739"/>
      <c r="Q13" s="4416"/>
      <c r="R13" s="4422"/>
      <c r="S13" s="4670"/>
      <c r="T13" s="4670"/>
      <c r="U13" s="4712"/>
      <c r="V13" s="4654"/>
      <c r="W13" s="4718"/>
      <c r="X13" s="4715"/>
      <c r="Y13" s="4715"/>
      <c r="Z13" s="4712"/>
    </row>
    <row r="14" spans="1:26" s="3694" customFormat="1" ht="16.5" thickTop="1" thickBot="1" x14ac:dyDescent="0.35">
      <c r="A14" s="3639"/>
      <c r="B14" s="3639"/>
      <c r="C14" s="3634"/>
      <c r="D14" s="3691"/>
      <c r="E14" s="3634"/>
      <c r="F14" s="3664"/>
      <c r="G14" s="3664"/>
      <c r="H14" s="3664"/>
      <c r="I14" s="3635"/>
      <c r="J14" s="3635"/>
      <c r="K14" s="3635"/>
      <c r="L14" s="3635"/>
      <c r="M14" s="3692"/>
      <c r="N14" s="3693"/>
      <c r="O14" s="3693"/>
      <c r="P14" s="3635"/>
      <c r="Q14" s="3635"/>
      <c r="R14" s="3635"/>
      <c r="S14" s="3635"/>
      <c r="T14" s="3635"/>
      <c r="V14" s="3635"/>
      <c r="W14" s="3643"/>
    </row>
    <row r="15" spans="1:26" s="1414" customFormat="1" ht="44.5" thickTop="1" thickBot="1" x14ac:dyDescent="0.35">
      <c r="A15" s="110" t="s">
        <v>630</v>
      </c>
      <c r="B15" s="3088" t="s">
        <v>626</v>
      </c>
      <c r="C15" s="3089" t="s">
        <v>631</v>
      </c>
      <c r="D15" s="2326" t="s">
        <v>565</v>
      </c>
      <c r="E15" s="3092" t="b">
        <f>IF(OR(E16=TRUE,E17=TRUE),TRUE,FALSE)</f>
        <v>0</v>
      </c>
      <c r="F15" s="3093">
        <f>COUNTIF(E16:E17,TRUE)</f>
        <v>0</v>
      </c>
      <c r="G15" s="3093">
        <f>COUNTIFS(E16:E17,TRUE,G16:G17,"Not Blank")</f>
        <v>0</v>
      </c>
      <c r="H15" s="3093">
        <f>COUNTIFS(E16:E17,FALSE,G16:G17,"Not Blank")</f>
        <v>0</v>
      </c>
      <c r="I15" s="3094" t="str">
        <f xml:space="preserve">
IF(F15&gt;1,"Too Many Entries - Check Red Lines",
IF(G15&lt;F15,"Valid Entry required below - Check Amber Line/s",
IF(AND(E14=FALSE,G15=0,H15=0),"Nothing Entered below Yet",
IF(G15&lt;F15,"Valid Entry required below - Check Amber Line/s",
IF(AND(G15=0,H15&gt;0),"**Non-Valid Entry/ies below - Check Yellow Line/s",
IF(AND(G15&gt;0,H15&gt;0),"**Valid and Non-Valid Entries made below - Check Yellow Line/s",
IF(AND(E14=FALSE,F15&lt;1),"Not all requirements addressed below - Check Pink Line/s",
IF(AND(E14=FALSE,G15&lt;1,G15&gt;0,H15=0),"More entries to come",
IF(AND(E14,TRUE,G15=1,H15=0),"Valid Entries made below"
)))))))))</f>
        <v>Nothing Entered below Yet</v>
      </c>
      <c r="J15" s="3095">
        <f>COUNTIFS(E16:E17,TRUE,J16:J17,"Not Blank")</f>
        <v>0</v>
      </c>
      <c r="K15" s="3095">
        <f>COUNTIFS(E16:E17,FALSE,J16:J17,"Not Blank")</f>
        <v>0</v>
      </c>
      <c r="L15" s="3096" t="str">
        <f xml:space="preserve">
IF(J15&gt;1,"Too Many Entries - Check Red Lines",
IF(J15&lt;F15,"Valid Entry required below - Check Amber Line/s",
IF(AND(E14=FALSE,J15=0,K15=0),"Nothing Entered below Yet",
IF(AND(J15=0,K15&gt;0),"**Non-Valid Entry/ies below - Check Yellow Line/s",
IF(AND(J15&gt;0,K15&gt;0),"**Valid and Non-Valid Entries made below - Check Yellow Line/s",
IF(AND(E14=FALSE,J15&lt;1),"Not all requirements addressed below - Check Pink Line/s",
IF(AND(E14=FALSE,J15&lt;1,J15&gt;0,K15=0),"More entries to come",
IF(AND(E14,TRUE,J15=1,K15=0),"Valid Entries made below"
))))))))</f>
        <v>Nothing Entered below Yet</v>
      </c>
      <c r="M15" s="2158"/>
      <c r="N15" s="4428" t="s">
        <v>3</v>
      </c>
      <c r="O15" s="4477" t="b">
        <f>IF(OR(N15="Compliant",N15="FE with work-a-round",N15="Functionally Equivalent"),TRUE,FALSE)</f>
        <v>0</v>
      </c>
      <c r="P15" s="2472"/>
      <c r="Q15" s="4723" t="s">
        <v>3</v>
      </c>
      <c r="R15" s="4700" t="b">
        <f>IF(OR(Q15="Compliant",Q15="FE with work-a-round",Q15="Functionally Equivalent"),TRUE,FALSE)</f>
        <v>0</v>
      </c>
      <c r="S15" s="186"/>
      <c r="T15" s="186"/>
      <c r="U15" s="306"/>
      <c r="V15" s="4428" t="s">
        <v>3</v>
      </c>
      <c r="W15" s="4693" t="b">
        <f>IF(OR(V15="Compliant",V15="FE with work-a-round",V15="Functionally Equivalent",V15="Not Required/Applicable"),TRUE,FALSE)</f>
        <v>0</v>
      </c>
      <c r="X15" s="186"/>
      <c r="Y15" s="186"/>
      <c r="Z15" s="2666"/>
    </row>
    <row r="16" spans="1:26" s="1414" customFormat="1" ht="30" thickTop="1" thickBot="1" x14ac:dyDescent="0.35">
      <c r="A16" s="99"/>
      <c r="B16" s="1831"/>
      <c r="C16" s="3090" t="s">
        <v>540</v>
      </c>
      <c r="D16" s="2325" t="s">
        <v>3</v>
      </c>
      <c r="E16" s="1044" t="b">
        <f>IF(D16="Compliant",TRUE,FALSE)</f>
        <v>0</v>
      </c>
      <c r="F16" s="183"/>
      <c r="G16" s="183" t="str">
        <f>IF(I16&lt;&gt;"", "Not Blank", "")</f>
        <v/>
      </c>
      <c r="H16" s="183"/>
      <c r="I16" s="1627"/>
      <c r="J16" s="183" t="str">
        <f>IF(L16&lt;&gt;"", "Not Blank", "")</f>
        <v/>
      </c>
      <c r="K16" s="183"/>
      <c r="L16" s="2327"/>
      <c r="M16" s="2328"/>
      <c r="N16" s="4429"/>
      <c r="O16" s="4450"/>
      <c r="P16" s="2636"/>
      <c r="Q16" s="4429"/>
      <c r="R16" s="4701"/>
      <c r="S16" s="261"/>
      <c r="T16" s="261"/>
      <c r="U16" s="575"/>
      <c r="V16" s="4429"/>
      <c r="W16" s="4694"/>
      <c r="X16" s="261"/>
      <c r="Y16" s="261"/>
      <c r="Z16" s="2667"/>
    </row>
    <row r="17" spans="1:26" s="1414" customFormat="1" ht="30" thickTop="1" thickBot="1" x14ac:dyDescent="0.35">
      <c r="A17" s="72"/>
      <c r="B17" s="1833"/>
      <c r="C17" s="3091" t="s">
        <v>541</v>
      </c>
      <c r="D17" s="1047" t="s">
        <v>3</v>
      </c>
      <c r="E17" s="1045" t="b">
        <f>IF(D17="Compliant",TRUE,FALSE)</f>
        <v>0</v>
      </c>
      <c r="F17" s="996"/>
      <c r="G17" s="996" t="str">
        <f>IF(I17&lt;&gt;"", "Not Blank", "")</f>
        <v/>
      </c>
      <c r="H17" s="996"/>
      <c r="I17" s="996"/>
      <c r="J17" s="996" t="str">
        <f>IF(L17&lt;&gt;"", "Not Blank", "")</f>
        <v/>
      </c>
      <c r="K17" s="996"/>
      <c r="L17" s="996"/>
      <c r="M17" s="997"/>
      <c r="N17" s="4430"/>
      <c r="O17" s="4478"/>
      <c r="P17" s="1164"/>
      <c r="Q17" s="4724"/>
      <c r="R17" s="4702"/>
      <c r="S17" s="1555"/>
      <c r="T17" s="1555"/>
      <c r="U17" s="1556"/>
      <c r="V17" s="4430"/>
      <c r="W17" s="4695"/>
      <c r="X17" s="1555"/>
      <c r="Y17" s="1555"/>
      <c r="Z17" s="2669"/>
    </row>
    <row r="18" spans="1:26" s="3640" customFormat="1" ht="15.5" thickTop="1" thickBot="1" x14ac:dyDescent="0.35">
      <c r="A18" s="3690"/>
      <c r="D18" s="3639"/>
      <c r="E18" s="3639"/>
      <c r="F18" s="3639"/>
      <c r="G18" s="3635"/>
      <c r="H18" s="3639"/>
      <c r="I18" s="3639"/>
      <c r="J18" s="3639"/>
      <c r="K18" s="3639"/>
      <c r="L18" s="3639"/>
      <c r="M18" s="3639"/>
      <c r="N18" s="3639"/>
      <c r="O18" s="3639"/>
      <c r="P18" s="3639"/>
      <c r="Q18" s="3639"/>
      <c r="R18" s="3639"/>
      <c r="S18" s="3639"/>
      <c r="T18" s="3639"/>
      <c r="V18" s="3639"/>
      <c r="W18" s="3641"/>
      <c r="X18" s="3639"/>
      <c r="Y18" s="3639"/>
    </row>
    <row r="19" spans="1:26" s="1414" customFormat="1" ht="44.5" thickTop="1" thickBot="1" x14ac:dyDescent="0.35">
      <c r="A19" s="100" t="s">
        <v>586</v>
      </c>
      <c r="B19" s="3097" t="s">
        <v>400</v>
      </c>
      <c r="C19" s="3098" t="s">
        <v>1955</v>
      </c>
      <c r="D19" s="998" t="s">
        <v>393</v>
      </c>
      <c r="E19" s="999" t="b">
        <f>IF(D19="Applicable",TRUE,FALSE)</f>
        <v>0</v>
      </c>
      <c r="F19" s="1000"/>
      <c r="G19" s="1001"/>
      <c r="H19" s="1000"/>
      <c r="I19" s="1001" t="s">
        <v>3</v>
      </c>
      <c r="J19" s="1001"/>
      <c r="K19" s="1001"/>
      <c r="L19" s="1000"/>
      <c r="M19" s="1000"/>
      <c r="N19" s="1912"/>
      <c r="O19" s="999" t="b">
        <f>IF(N19="Applicable",TRUE,FALSE)</f>
        <v>0</v>
      </c>
      <c r="P19" s="1278"/>
      <c r="Q19" s="1912"/>
      <c r="R19" s="999" t="b">
        <f>IF(Q19="Applicable",TRUE,FALSE)</f>
        <v>0</v>
      </c>
      <c r="S19" s="1278"/>
      <c r="T19" s="1278"/>
      <c r="U19" s="1278"/>
      <c r="V19" s="1912"/>
      <c r="W19" s="1102" t="b">
        <f>IF(V19="Applicable",TRUE,FALSE)</f>
        <v>0</v>
      </c>
      <c r="X19" s="3040"/>
      <c r="Y19" s="3041"/>
      <c r="Z19" s="3042"/>
    </row>
    <row r="20" spans="1:26" s="3640" customFormat="1" ht="15.5" thickTop="1" thickBot="1" x14ac:dyDescent="0.35">
      <c r="A20" s="3636"/>
      <c r="B20" s="3637"/>
      <c r="C20" s="3637"/>
      <c r="D20" s="3636"/>
      <c r="E20" s="3637"/>
      <c r="F20" s="3637"/>
      <c r="G20" s="3638"/>
      <c r="H20" s="3637"/>
      <c r="I20" s="3637"/>
      <c r="J20" s="3637"/>
      <c r="K20" s="3637"/>
      <c r="L20" s="3637"/>
      <c r="M20" s="3636"/>
      <c r="N20" s="3639"/>
      <c r="O20" s="3639"/>
      <c r="P20" s="3639"/>
      <c r="Q20" s="3639"/>
      <c r="R20" s="3639"/>
      <c r="S20" s="3639"/>
      <c r="T20" s="3639"/>
      <c r="V20" s="3639"/>
      <c r="W20" s="3641"/>
      <c r="X20" s="3642"/>
      <c r="Y20" s="3642"/>
    </row>
    <row r="21" spans="1:26" s="1394" customFormat="1" ht="44.5" thickTop="1" thickBot="1" x14ac:dyDescent="0.35">
      <c r="A21" s="569"/>
      <c r="B21" s="1933" t="s">
        <v>824</v>
      </c>
      <c r="C21" s="3099" t="s">
        <v>475</v>
      </c>
      <c r="D21" s="1914" t="s">
        <v>1233</v>
      </c>
      <c r="E21" s="138" t="b">
        <f>E28</f>
        <v>0</v>
      </c>
      <c r="F21" s="111"/>
      <c r="G21" s="1750" t="str">
        <f>IF(I21&lt;&gt;"", "Not Blank", "")</f>
        <v/>
      </c>
      <c r="H21" s="1396"/>
      <c r="I21" s="396"/>
      <c r="J21" s="2129"/>
      <c r="K21" s="2129"/>
      <c r="L21" s="3043"/>
      <c r="M21" s="3044"/>
      <c r="N21" s="3972" t="s">
        <v>1233</v>
      </c>
      <c r="O21" s="231" t="b">
        <f>O28</f>
        <v>0</v>
      </c>
      <c r="P21" s="2427"/>
      <c r="Q21" s="3972" t="s">
        <v>1233</v>
      </c>
      <c r="R21" s="814" t="b">
        <f>R28</f>
        <v>0</v>
      </c>
      <c r="S21" s="406"/>
      <c r="T21" s="406"/>
      <c r="U21" s="1211"/>
      <c r="V21" s="4183" t="s">
        <v>1233</v>
      </c>
      <c r="W21" s="814" t="b">
        <f>W28</f>
        <v>0</v>
      </c>
      <c r="X21" s="111"/>
      <c r="Y21" s="1433"/>
      <c r="Z21" s="3045"/>
    </row>
    <row r="22" spans="1:26" s="1394" customFormat="1" ht="44.5" thickTop="1" thickBot="1" x14ac:dyDescent="0.35">
      <c r="A22" s="3046" t="s">
        <v>403</v>
      </c>
      <c r="B22" s="2321" t="s">
        <v>825</v>
      </c>
      <c r="C22" s="3100" t="s">
        <v>474</v>
      </c>
      <c r="D22" s="3101" t="s">
        <v>1233</v>
      </c>
      <c r="E22" s="67" t="b">
        <f>OR(E46,E19)</f>
        <v>0</v>
      </c>
      <c r="F22" s="44"/>
      <c r="G22" s="1748" t="str">
        <f>IF(I22&lt;&gt;"", "Not Blank", "")</f>
        <v/>
      </c>
      <c r="H22" s="1404"/>
      <c r="I22" s="396"/>
      <c r="J22" s="2129"/>
      <c r="K22" s="2129"/>
      <c r="L22" s="3043"/>
      <c r="M22" s="3044"/>
      <c r="N22" s="3972" t="s">
        <v>1233</v>
      </c>
      <c r="O22" s="231" t="b">
        <f>O46</f>
        <v>0</v>
      </c>
      <c r="P22" s="2427"/>
      <c r="Q22" s="3972" t="s">
        <v>1233</v>
      </c>
      <c r="R22" s="737" t="b">
        <f>R46</f>
        <v>0</v>
      </c>
      <c r="S22" s="471"/>
      <c r="T22" s="471"/>
      <c r="U22" s="1218"/>
      <c r="V22" s="4184" t="s">
        <v>1233</v>
      </c>
      <c r="W22" s="737" t="b">
        <f>W46</f>
        <v>0</v>
      </c>
      <c r="X22" s="44"/>
      <c r="Y22" s="1431"/>
      <c r="Z22" s="2680"/>
    </row>
    <row r="23" spans="1:26" s="1394" customFormat="1" ht="44.5" thickTop="1" thickBot="1" x14ac:dyDescent="0.35">
      <c r="A23" s="569"/>
      <c r="B23" s="1933" t="s">
        <v>826</v>
      </c>
      <c r="C23" s="3099" t="s">
        <v>822</v>
      </c>
      <c r="D23" s="1914" t="s">
        <v>1233</v>
      </c>
      <c r="E23" s="67" t="b">
        <f>E54</f>
        <v>0</v>
      </c>
      <c r="F23" s="361"/>
      <c r="G23" s="44"/>
      <c r="H23" s="361"/>
      <c r="I23" s="396"/>
      <c r="J23" s="396"/>
      <c r="K23" s="396"/>
      <c r="L23" s="1051"/>
      <c r="M23" s="3047"/>
      <c r="N23" s="3972" t="s">
        <v>1233</v>
      </c>
      <c r="O23" s="231" t="b">
        <f>O54</f>
        <v>0</v>
      </c>
      <c r="P23" s="2633"/>
      <c r="Q23" s="3972" t="s">
        <v>1233</v>
      </c>
      <c r="R23" s="737" t="b">
        <f>R54</f>
        <v>0</v>
      </c>
      <c r="S23" s="471"/>
      <c r="T23" s="471"/>
      <c r="U23" s="1218"/>
      <c r="V23" s="4184" t="s">
        <v>1233</v>
      </c>
      <c r="W23" s="737" t="b">
        <f>W54</f>
        <v>0</v>
      </c>
      <c r="X23" s="44"/>
      <c r="Y23" s="471"/>
      <c r="Z23" s="2680"/>
    </row>
    <row r="24" spans="1:26" s="1394" customFormat="1" ht="44.5" thickTop="1" thickBot="1" x14ac:dyDescent="0.35">
      <c r="A24" s="569"/>
      <c r="B24" s="2204" t="s">
        <v>827</v>
      </c>
      <c r="C24" s="3102" t="s">
        <v>823</v>
      </c>
      <c r="D24" s="2183" t="s">
        <v>1233</v>
      </c>
      <c r="E24" s="161" t="b">
        <f>E118</f>
        <v>0</v>
      </c>
      <c r="F24" s="258"/>
      <c r="G24" s="124"/>
      <c r="H24" s="258"/>
      <c r="I24" s="408"/>
      <c r="J24" s="408"/>
      <c r="K24" s="408"/>
      <c r="L24" s="2221"/>
      <c r="M24" s="3048"/>
      <c r="N24" s="4182" t="s">
        <v>1233</v>
      </c>
      <c r="O24" s="706" t="b">
        <f>O118</f>
        <v>0</v>
      </c>
      <c r="P24" s="3049"/>
      <c r="Q24" s="4182" t="s">
        <v>1233</v>
      </c>
      <c r="R24" s="738" t="b">
        <f>R118</f>
        <v>0</v>
      </c>
      <c r="S24" s="1224"/>
      <c r="T24" s="1224"/>
      <c r="U24" s="1225"/>
      <c r="V24" s="4185" t="s">
        <v>1233</v>
      </c>
      <c r="W24" s="738" t="b">
        <f>W118</f>
        <v>0</v>
      </c>
      <c r="X24" s="124"/>
      <c r="Y24" s="1224"/>
      <c r="Z24" s="2689"/>
    </row>
    <row r="25" spans="1:26" s="3694" customFormat="1" ht="15" thickTop="1" x14ac:dyDescent="0.3">
      <c r="A25" s="3640" t="s">
        <v>632</v>
      </c>
      <c r="E25" s="3640"/>
      <c r="F25" s="3640"/>
      <c r="G25" s="3633"/>
      <c r="H25" s="3640"/>
      <c r="I25" s="3640"/>
      <c r="J25" s="3640"/>
      <c r="K25" s="3640"/>
      <c r="L25" s="3695"/>
      <c r="W25" s="3662"/>
    </row>
    <row r="26" spans="1:26" s="3650" customFormat="1" ht="18.5" x14ac:dyDescent="0.3">
      <c r="A26" s="4636" t="s">
        <v>1135</v>
      </c>
      <c r="B26" s="4636"/>
      <c r="C26" s="4636"/>
      <c r="D26" s="4636"/>
      <c r="E26" s="4636"/>
      <c r="F26" s="4636"/>
      <c r="G26" s="4636"/>
      <c r="H26" s="4636"/>
      <c r="I26" s="4636"/>
      <c r="J26" s="4636"/>
      <c r="K26" s="4636"/>
      <c r="L26" s="4636"/>
      <c r="M26" s="4636"/>
      <c r="N26" s="4636"/>
      <c r="O26" s="3646"/>
      <c r="P26" s="3646"/>
      <c r="Q26" s="3646"/>
      <c r="R26" s="3646"/>
      <c r="S26" s="3646"/>
      <c r="T26" s="3646"/>
      <c r="U26" s="3646"/>
      <c r="V26" s="3646"/>
      <c r="W26" s="3696"/>
      <c r="X26" s="3646"/>
      <c r="Y26" s="3646"/>
      <c r="Z26" s="3646"/>
    </row>
    <row r="27" spans="1:26" s="3644" customFormat="1" ht="15" thickBot="1" x14ac:dyDescent="0.35">
      <c r="A27" s="3697"/>
      <c r="B27" s="3697"/>
      <c r="C27" s="3697"/>
      <c r="D27" s="3697"/>
      <c r="E27" s="3697"/>
      <c r="F27" s="3697"/>
      <c r="G27" s="3697"/>
      <c r="H27" s="3697"/>
      <c r="I27" s="3697"/>
      <c r="J27" s="3697"/>
      <c r="K27" s="3697"/>
      <c r="L27" s="3698"/>
      <c r="M27" s="3637"/>
      <c r="P27" s="3697"/>
      <c r="Q27" s="3697"/>
    </row>
    <row r="28" spans="1:26" s="2971" customFormat="1" ht="32" thickTop="1" thickBot="1" x14ac:dyDescent="0.35">
      <c r="A28" s="688"/>
      <c r="B28" s="3002" t="s">
        <v>415</v>
      </c>
      <c r="C28" s="3103" t="s">
        <v>1727</v>
      </c>
      <c r="D28" s="3108" t="s">
        <v>565</v>
      </c>
      <c r="E28" s="3109" t="b">
        <f>IF(OR(E19=TRUE,E29=TRUE,E30=TRUE,E32=TRUE),TRUE,FALSE)</f>
        <v>0</v>
      </c>
      <c r="F28" s="3110">
        <f>COUNTIF(E29:E32,TRUE)</f>
        <v>0</v>
      </c>
      <c r="G28" s="3110">
        <f>COUNTIFS(E29:E32,TRUE,G29:G32,"Not Blank")</f>
        <v>0</v>
      </c>
      <c r="H28" s="3110">
        <f>COUNTIFS(E29:E32,FALSE,G29:G32,"Not Blank")</f>
        <v>0</v>
      </c>
      <c r="I28" s="3111" t="str">
        <f xml:space="preserve">
IF(F28&gt;1,"More than 1 not required - Check Yellow Lines",
IF(G28&lt;F28,"Valid Entry required below - Check Amber Line/s",
IF(AND(E28=FALSE,G28=0,H28=0),"Nothing Entered below Yet",
IF(G28&lt;F28,"Valid Entry required below - Check Amber Line/s",
IF(AND(G28=0,H28&gt;0),"**Non-Valid Entry/ies below - Check Yellow Line/s",
IF(AND(G28&gt;0,H28&gt;0),"**Valid and Non-Valid Entries made below - Check Yellow Line/s",
IF(AND(E28=FALSE,F28&lt;1),"Not all requirements addressed below - Check Pink Line/s",
IF(AND(E28=FALSE,G28&lt;1,G28&gt;0,H28=0),"More entries to come",
IF(AND(E28,TRUE,G28=1,H28=0),"Valid Entries made below"
)))))))))</f>
        <v>Nothing Entered below Yet</v>
      </c>
      <c r="J28" s="3112">
        <f>COUNTIFS(E29:E32,TRUE,J29:J32,"Not Blank")</f>
        <v>0</v>
      </c>
      <c r="K28" s="3113">
        <f>COUNTIFS(E29:E32,FALSE,J29:J32,"Not Blank")</f>
        <v>0</v>
      </c>
      <c r="L28" s="3114" t="str">
        <f xml:space="preserve">
IF(J28&gt;1,"More than one not required - Check Yellow Lines",
IF(J28&lt;F28,"Valid Entry required below - Check Amber Line/s",
IF(AND(E28=FALSE,J28=0,K28=0),"Nothing Entered below Yet",
IF(AND(J28=0,K28&gt;0),"**Non-Valid Entry/ies below - Check Yellow Line/s",
IF(AND(J28&gt;0,K28&gt;0),"**Valid and Non-Valid Entries made below - Check Yellow Line/s",
IF(AND(E28=FALSE,J28&lt;1),"Not all requirements addressed below - Check Pink Line/s",
IF(AND(E28=FALSE,J28&lt;1,J28&gt;0,K28=0),"More entries to come",
IF(AND(E28,TRUE,J28=1,K28=0),"Valid Entries made below"
))))))))</f>
        <v>Nothing Entered below Yet</v>
      </c>
      <c r="M28" s="1002"/>
      <c r="N28" s="4446" t="s">
        <v>3</v>
      </c>
      <c r="O28" s="4706" t="b">
        <f>IF(OR(N28="Compliant",N28="FE with work-a-round",N28="Functionally Equivalent"),TRUE,FALSE)</f>
        <v>0</v>
      </c>
      <c r="P28" s="3051"/>
      <c r="Q28" s="3972" t="s">
        <v>565</v>
      </c>
      <c r="R28" s="814" t="b">
        <f>IF(AND(R29=TRUE,Q30=TRUE,Q32=TRUE),TRUE,FALSE)</f>
        <v>0</v>
      </c>
      <c r="S28" s="617"/>
      <c r="T28" s="617"/>
      <c r="U28" s="3052"/>
      <c r="V28" s="4446" t="s">
        <v>3</v>
      </c>
      <c r="W28" s="4700" t="b">
        <f>IF(OR(V28="Compliant",V28="FE with work-a-round",V28="Functionally Equivalent",V28="Not Required/Applicable"),TRUE,FALSE)</f>
        <v>0</v>
      </c>
      <c r="X28" s="617"/>
      <c r="Y28" s="617"/>
      <c r="Z28" s="3053"/>
    </row>
    <row r="29" spans="1:26" s="1394" customFormat="1" ht="44" thickTop="1" x14ac:dyDescent="0.3">
      <c r="A29" s="2972" t="s">
        <v>413</v>
      </c>
      <c r="B29" s="1504"/>
      <c r="C29" s="3104" t="s">
        <v>587</v>
      </c>
      <c r="D29" s="2331" t="s">
        <v>3</v>
      </c>
      <c r="E29" s="94" t="b">
        <f>IF(D29="Compliant",TRUE,FALSE)</f>
        <v>0</v>
      </c>
      <c r="F29" s="72"/>
      <c r="G29" s="72" t="str">
        <f>IF(I29&lt;&gt;"", "Not Blank", "")</f>
        <v/>
      </c>
      <c r="H29" s="72"/>
      <c r="I29" s="72"/>
      <c r="J29" s="60" t="str">
        <f>IF(L29&lt;&gt;"", "Not Blank", "")</f>
        <v/>
      </c>
      <c r="K29" s="60"/>
      <c r="L29" s="2332"/>
      <c r="M29" s="455"/>
      <c r="N29" s="4447"/>
      <c r="O29" s="4707"/>
      <c r="P29" s="1755"/>
      <c r="Q29" s="1863" t="s">
        <v>3</v>
      </c>
      <c r="R29" s="716" t="b">
        <f>IF(OR(Q29="Compliant",Q29="FE with work-a-round",Q29="Functionally Equivalent"),TRUE,FALSE)</f>
        <v>0</v>
      </c>
      <c r="S29" s="261"/>
      <c r="T29" s="261"/>
      <c r="U29" s="589"/>
      <c r="V29" s="4447"/>
      <c r="W29" s="4701"/>
      <c r="X29" s="1404"/>
      <c r="Y29" s="1431"/>
      <c r="Z29" s="2680"/>
    </row>
    <row r="30" spans="1:26" s="1394" customFormat="1" ht="87" x14ac:dyDescent="0.3">
      <c r="A30" s="2974" t="s">
        <v>414</v>
      </c>
      <c r="B30" s="1504"/>
      <c r="C30" s="3105" t="s">
        <v>588</v>
      </c>
      <c r="D30" s="547" t="s">
        <v>3</v>
      </c>
      <c r="E30" s="59" t="b">
        <f>IF(D30="Compliant",TRUE,FALSE)</f>
        <v>0</v>
      </c>
      <c r="F30" s="27"/>
      <c r="G30" s="27" t="str">
        <f>IF(I30&lt;&gt;"", "Not Blank", "")</f>
        <v/>
      </c>
      <c r="H30" s="27"/>
      <c r="I30" s="27"/>
      <c r="J30" s="60" t="str">
        <f>IF(L30&lt;&gt;"", "Not Blank", "")</f>
        <v/>
      </c>
      <c r="K30" s="60"/>
      <c r="L30" s="60"/>
      <c r="M30" s="419"/>
      <c r="N30" s="4447"/>
      <c r="O30" s="4707"/>
      <c r="P30" s="1393"/>
      <c r="Q30" s="1060" t="s">
        <v>3</v>
      </c>
      <c r="R30" s="716" t="b">
        <f>IF(OR(Q30="Compliant",Q30="FE with work-a-round",Q30="Functionally Equivalent"),TRUE,FALSE)</f>
        <v>0</v>
      </c>
      <c r="S30" s="471"/>
      <c r="T30" s="471"/>
      <c r="U30" s="1535"/>
      <c r="V30" s="4447"/>
      <c r="W30" s="4701"/>
      <c r="X30" s="1431"/>
      <c r="Y30" s="1431"/>
      <c r="Z30" s="2680"/>
    </row>
    <row r="31" spans="1:26" s="1394" customFormat="1" ht="87.5" thickBot="1" x14ac:dyDescent="0.35">
      <c r="A31" s="2974" t="s">
        <v>254</v>
      </c>
      <c r="B31" s="1504"/>
      <c r="C31" s="3106" t="s">
        <v>589</v>
      </c>
      <c r="D31" s="2334" t="s">
        <v>3</v>
      </c>
      <c r="E31" s="96" t="b">
        <f>IF(D31="Compliant",TRUE,FALSE)</f>
        <v>0</v>
      </c>
      <c r="F31" s="83"/>
      <c r="G31" s="83" t="str">
        <f>IF(I31&lt;&gt;"", "Not Blank", "")</f>
        <v/>
      </c>
      <c r="H31" s="83"/>
      <c r="I31" s="83"/>
      <c r="J31" s="95" t="str">
        <f>IF(L31&lt;&gt;"", "Not Blank", "")</f>
        <v/>
      </c>
      <c r="K31" s="95"/>
      <c r="L31" s="2336"/>
      <c r="M31" s="2337"/>
      <c r="N31" s="4447"/>
      <c r="O31" s="4707"/>
      <c r="P31" s="3054"/>
      <c r="Q31" s="1060" t="s">
        <v>3</v>
      </c>
      <c r="R31" s="716" t="b">
        <f>IF(OR(Q31="Compliant",Q31="FE with work-a-round",Q31="Functionally Equivalent"),TRUE,FALSE)</f>
        <v>0</v>
      </c>
      <c r="S31" s="471"/>
      <c r="T31" s="471"/>
      <c r="U31" s="1535"/>
      <c r="V31" s="4447"/>
      <c r="W31" s="4701"/>
      <c r="X31" s="1431"/>
      <c r="Y31" s="1431"/>
      <c r="Z31" s="2680"/>
    </row>
    <row r="32" spans="1:26" s="1394" customFormat="1" ht="44.5" thickTop="1" thickBot="1" x14ac:dyDescent="0.35">
      <c r="A32" s="2566"/>
      <c r="B32" s="1504" t="s">
        <v>467</v>
      </c>
      <c r="C32" s="3107" t="s">
        <v>1843</v>
      </c>
      <c r="D32" s="3115" t="s">
        <v>1671</v>
      </c>
      <c r="E32" s="238" t="b">
        <f>E172</f>
        <v>0</v>
      </c>
      <c r="F32" s="64"/>
      <c r="G32" s="64" t="str">
        <f>IF(I32&lt;&gt;"", "Not Blank", "")</f>
        <v/>
      </c>
      <c r="H32" s="109"/>
      <c r="I32" s="2333"/>
      <c r="J32" s="92" t="str">
        <f>IF(L32&lt;&gt;"", "Not Blank", "")</f>
        <v/>
      </c>
      <c r="K32" s="92"/>
      <c r="L32" s="2335"/>
      <c r="M32" s="1002"/>
      <c r="N32" s="4448"/>
      <c r="O32" s="4708"/>
      <c r="P32" s="134"/>
      <c r="Q32" s="1017" t="s">
        <v>3</v>
      </c>
      <c r="R32" s="921" t="b">
        <f>IF(OR(Q32="Compliant",Q32="FE with work-a-round",Q32="Functionally Equivalent"),TRUE,FALSE)</f>
        <v>0</v>
      </c>
      <c r="S32" s="1224"/>
      <c r="T32" s="1224"/>
      <c r="U32" s="3055"/>
      <c r="V32" s="4448"/>
      <c r="W32" s="4702"/>
      <c r="X32" s="1435"/>
      <c r="Y32" s="1435"/>
      <c r="Z32" s="2689"/>
    </row>
    <row r="33" spans="1:169" s="3694" customFormat="1" ht="15.5" thickTop="1" thickBot="1" x14ac:dyDescent="0.35">
      <c r="A33" s="3699"/>
      <c r="B33" s="3700"/>
      <c r="D33" s="3664"/>
      <c r="E33" s="3664"/>
      <c r="F33" s="3664"/>
      <c r="G33" s="3652"/>
      <c r="H33" s="3652"/>
      <c r="I33" s="3635"/>
      <c r="J33" s="3635"/>
      <c r="K33" s="3635"/>
      <c r="L33" s="3635"/>
      <c r="M33" s="3635"/>
      <c r="N33" s="3693"/>
      <c r="O33" s="3693"/>
      <c r="P33" s="3701"/>
      <c r="Q33" s="3692"/>
      <c r="R33" s="3635"/>
      <c r="S33" s="3635"/>
      <c r="T33" s="3635"/>
      <c r="V33" s="3692"/>
      <c r="W33" s="3643"/>
    </row>
    <row r="34" spans="1:169" s="3060" customFormat="1" ht="31.5" customHeight="1" thickTop="1" thickBot="1" x14ac:dyDescent="0.35">
      <c r="A34" s="3056"/>
      <c r="B34" s="1509" t="s">
        <v>1699</v>
      </c>
      <c r="C34" s="3116"/>
      <c r="D34" s="3119" t="s">
        <v>1698</v>
      </c>
      <c r="E34" s="3120" t="b">
        <f>IF(OR(E35=TRUE,E36=TRUE,E37=TRUE,E38=TRUE),TRUE,FALSE)</f>
        <v>0</v>
      </c>
      <c r="F34" s="3121">
        <f>COUNTIF(E35:E38,TRUE)</f>
        <v>0</v>
      </c>
      <c r="G34" s="3121">
        <f>COUNTIFS(E35:E38,TRUE,G35:G38,"Not Blank")</f>
        <v>0</v>
      </c>
      <c r="H34" s="3121">
        <f>COUNTIFS(E35:E38,FALSE,G35:G38,"Not Blank")</f>
        <v>0</v>
      </c>
      <c r="I34" s="3122" t="str">
        <f xml:space="preserve">
IF(F34&gt;1,"More than 1 not required - Check Yellow Lines",
IF(G34&lt;F34,"Valid Entry required below - Check Amber Line/s",
IF(AND(E34=FALSE,G34=0,H34=0),"Nothing Entered below Yet",
IF(G34&lt;F34,"Valid Entry required below - Check Amber Line/s",
IF(AND(G34=0,H34&gt;0),"**Non-Valid Entry/ies below - Check Yellow Line/s",
IF(AND(G34&gt;0,H34&gt;0),"**Valid and Non-Valid Entries made below - Check Yellow Line/s",
IF(AND(E34=FALSE,F34&lt;1),"Not all requirements addressed below - Check Pink Line/s",
IF(AND(E34=FALSE,G34&lt;1,G34&gt;0,H34=0),"More entries to come",
IF(AND(E34,TRUE,G34=1,H34=0),"Valid Entries made below"
)))))))))</f>
        <v>Nothing Entered below Yet</v>
      </c>
      <c r="J34" s="3122">
        <f>COUNTIFS(E35:E38,TRUE,J35:J38,"Not Blank")</f>
        <v>0</v>
      </c>
      <c r="K34" s="3122">
        <f>COUNTIFS(E35:E38,FALSE,J35:J38,"Not Blank")</f>
        <v>0</v>
      </c>
      <c r="L34" s="3122" t="str">
        <f xml:space="preserve">
IF(J34&gt;1,"More than one not required - Check Yellow Lines",
IF(J34&lt;F34,"Valid Entry required below - Check Amber Line/s",
IF(AND(E34=FALSE,J34=0,K34=0),"Nothing Entered below Yet",
IF(AND(J34=0,K34&gt;0),"**Non-Valid Entry/ies below - Check Yellow Line/s",
IF(AND(J34&gt;0,K34&gt;0),"**Valid and Non-Valid Entries made below - Check Yellow Line/s",
IF(AND(E34=FALSE,J34&lt;1),"Not all requirements addressed below - Check Pink Line/s",
IF(AND(E34=FALSE,J34&lt;1,J34&gt;0,K34=0),"More entries to come",
IF(AND(E34,TRUE,J34=1,K34=0),"Valid Entries made below"
))))))))</f>
        <v>Nothing Entered below Yet</v>
      </c>
      <c r="M34" s="3051"/>
      <c r="N34" s="4446" t="s">
        <v>3</v>
      </c>
      <c r="O34" s="4706" t="b">
        <f>IF(OR(N34="Compliant",N34="FE with work-a-round",N34="Functionally Equivalent"),TRUE,FALSE)</f>
        <v>0</v>
      </c>
      <c r="P34" s="3051"/>
      <c r="Q34" s="4446" t="s">
        <v>3</v>
      </c>
      <c r="R34" s="4703" t="b">
        <f>IF(OR(Q34="Compliant",Q34="FE with work-a-round",Q34="Functionally Equivalent"),TRUE,FALSE)</f>
        <v>0</v>
      </c>
      <c r="S34" s="617"/>
      <c r="T34" s="617"/>
      <c r="U34" s="3057"/>
      <c r="V34" s="4446" t="s">
        <v>3</v>
      </c>
      <c r="W34" s="4700" t="b">
        <f>IF(OR(V34="Compliant",V34="FE with work-a-round",V34="Functionally Equivalent",V34="Not Required/Applicable"),TRUE,FALSE)</f>
        <v>0</v>
      </c>
      <c r="X34" s="3058"/>
      <c r="Y34" s="3058"/>
      <c r="Z34" s="3059"/>
    </row>
    <row r="35" spans="1:169" ht="73" thickTop="1" x14ac:dyDescent="0.3">
      <c r="A35" s="3061" t="b">
        <v>1</v>
      </c>
      <c r="B35" s="1504" t="s">
        <v>1641</v>
      </c>
      <c r="C35" s="3117" t="s">
        <v>808</v>
      </c>
      <c r="D35" s="1013" t="s">
        <v>3</v>
      </c>
      <c r="E35" s="3062" t="b">
        <f>IF(D35="Compliant",TRUE,FALSE)</f>
        <v>0</v>
      </c>
      <c r="F35" s="44"/>
      <c r="G35" s="399" t="str">
        <f>IF(I35&lt;&gt;"", "Not Blank", "")</f>
        <v/>
      </c>
      <c r="H35" s="399"/>
      <c r="I35" s="1540"/>
      <c r="J35" s="1540"/>
      <c r="K35" s="1540"/>
      <c r="L35" s="2636"/>
      <c r="M35" s="2636"/>
      <c r="N35" s="4447"/>
      <c r="O35" s="4707"/>
      <c r="P35" s="1762"/>
      <c r="Q35" s="4447"/>
      <c r="R35" s="4704"/>
      <c r="S35" s="261"/>
      <c r="T35" s="261"/>
      <c r="U35" s="2697"/>
      <c r="V35" s="4447"/>
      <c r="W35" s="4701"/>
      <c r="X35" s="1443"/>
      <c r="Y35" s="1443"/>
      <c r="Z35" s="2698"/>
    </row>
    <row r="36" spans="1:169" ht="87" x14ac:dyDescent="0.3">
      <c r="A36" s="3063" t="b">
        <v>0</v>
      </c>
      <c r="B36" s="1504" t="s">
        <v>1642</v>
      </c>
      <c r="C36" s="3118" t="s">
        <v>809</v>
      </c>
      <c r="D36" s="319" t="s">
        <v>3</v>
      </c>
      <c r="E36" s="3062" t="b">
        <f>IF(D36="Compliant",TRUE,FALSE)</f>
        <v>0</v>
      </c>
      <c r="F36" s="3064"/>
      <c r="G36" s="399" t="str">
        <f>IF(I36&lt;&gt;"", "Not Blank", "")</f>
        <v/>
      </c>
      <c r="H36" s="399"/>
      <c r="I36" s="261"/>
      <c r="J36" s="261"/>
      <c r="K36" s="261"/>
      <c r="L36" s="589"/>
      <c r="M36" s="589"/>
      <c r="N36" s="4447"/>
      <c r="O36" s="4707"/>
      <c r="P36" s="1762"/>
      <c r="Q36" s="4447"/>
      <c r="R36" s="4704"/>
      <c r="S36" s="261"/>
      <c r="T36" s="261"/>
      <c r="U36" s="2697"/>
      <c r="V36" s="4447"/>
      <c r="W36" s="4701"/>
      <c r="X36" s="1443"/>
      <c r="Y36" s="1443"/>
      <c r="Z36" s="2698"/>
    </row>
    <row r="37" spans="1:169" ht="58" x14ac:dyDescent="0.3">
      <c r="A37" s="3063" t="b">
        <v>0</v>
      </c>
      <c r="B37" s="1504" t="s">
        <v>1643</v>
      </c>
      <c r="C37" s="3118" t="s">
        <v>811</v>
      </c>
      <c r="D37" s="319" t="s">
        <v>3</v>
      </c>
      <c r="E37" s="3062" t="b">
        <f>IF(D37="Compliant",TRUE,FALSE)</f>
        <v>0</v>
      </c>
      <c r="F37" s="3064"/>
      <c r="G37" s="399" t="str">
        <f>IF(I37&lt;&gt;"", "Not Blank", "")</f>
        <v/>
      </c>
      <c r="H37" s="399"/>
      <c r="I37" s="261"/>
      <c r="J37" s="261"/>
      <c r="K37" s="261"/>
      <c r="L37" s="589"/>
      <c r="M37" s="589"/>
      <c r="N37" s="4447"/>
      <c r="O37" s="4707"/>
      <c r="P37" s="1762"/>
      <c r="Q37" s="4447"/>
      <c r="R37" s="4704"/>
      <c r="S37" s="261"/>
      <c r="T37" s="261"/>
      <c r="U37" s="2697"/>
      <c r="V37" s="4447"/>
      <c r="W37" s="4701"/>
      <c r="X37" s="1443"/>
      <c r="Y37" s="1443"/>
      <c r="Z37" s="2698"/>
    </row>
    <row r="38" spans="1:169" ht="15" thickBot="1" x14ac:dyDescent="0.35">
      <c r="A38" s="3063" t="b">
        <v>0</v>
      </c>
      <c r="B38" s="1505" t="s">
        <v>1644</v>
      </c>
      <c r="C38" s="3123" t="s">
        <v>810</v>
      </c>
      <c r="D38" s="230" t="s">
        <v>3</v>
      </c>
      <c r="E38" s="3065" t="b">
        <f>IF(D38="Compliant",TRUE,FALSE)</f>
        <v>0</v>
      </c>
      <c r="F38" s="3066"/>
      <c r="G38" s="1765" t="str">
        <f>IF(I38&lt;&gt;"", "Not Blank", "")</f>
        <v/>
      </c>
      <c r="H38" s="1765"/>
      <c r="I38" s="1555"/>
      <c r="J38" s="1555"/>
      <c r="K38" s="1555"/>
      <c r="L38" s="1164"/>
      <c r="M38" s="1164"/>
      <c r="N38" s="4448"/>
      <c r="O38" s="4708"/>
      <c r="P38" s="468"/>
      <c r="Q38" s="4448"/>
      <c r="R38" s="4705"/>
      <c r="S38" s="1555"/>
      <c r="T38" s="1555"/>
      <c r="U38" s="2704"/>
      <c r="V38" s="4448"/>
      <c r="W38" s="4702"/>
      <c r="X38" s="1423"/>
      <c r="Y38" s="1423"/>
      <c r="Z38" s="2682"/>
    </row>
    <row r="39" spans="1:169" s="3694" customFormat="1" ht="15.5" thickTop="1" thickBot="1" x14ac:dyDescent="0.35">
      <c r="A39" s="3699"/>
      <c r="B39" s="3635"/>
      <c r="C39" s="3702"/>
      <c r="D39" s="3664"/>
      <c r="E39" s="3703"/>
      <c r="F39" s="3703"/>
      <c r="G39" s="3652"/>
      <c r="H39" s="3652"/>
      <c r="I39" s="3635"/>
      <c r="J39" s="3635"/>
      <c r="K39" s="3635"/>
      <c r="L39" s="3701"/>
      <c r="M39" s="3635"/>
      <c r="N39" s="3693"/>
      <c r="O39" s="3693"/>
      <c r="P39" s="3635"/>
      <c r="Q39" s="3635"/>
      <c r="R39" s="3635"/>
      <c r="S39" s="3635"/>
      <c r="T39" s="3635"/>
      <c r="V39" s="3692"/>
      <c r="W39" s="3643"/>
    </row>
    <row r="40" spans="1:169" s="1579" customFormat="1" ht="31.5" customHeight="1" thickTop="1" thickBot="1" x14ac:dyDescent="0.35">
      <c r="A40" s="3056"/>
      <c r="B40" s="1509" t="s">
        <v>1726</v>
      </c>
      <c r="C40" s="3116"/>
      <c r="D40" s="3124" t="s">
        <v>565</v>
      </c>
      <c r="E40" s="3125" t="b">
        <f>IF(AND(E41=TRUE,E42=TRUE),TRUE,FALSE)</f>
        <v>0</v>
      </c>
      <c r="F40" s="3126">
        <f>COUNTIF(E41:E42,TRUE)</f>
        <v>0</v>
      </c>
      <c r="G40" s="3126">
        <f>COUNTIFS(E41:E42,TRUE,G41:G42,"Not Blank")</f>
        <v>0</v>
      </c>
      <c r="H40" s="3126">
        <f>COUNTIFS(E41:E42,FALSE,G41:G42,"Not Blank")</f>
        <v>0</v>
      </c>
      <c r="I40" s="3122" t="str">
        <f xml:space="preserve">
IF(F40&gt;2,"Too Many Entries - Check Red Lines",
IF(AND(E40=FALSE,G40=0,H40=0),"Nothing Entered below Yet",
IF(AND(G40=0,H40&gt;0),"**Non-Valid Entry/ies below - Check Yellow Line/s",
IF(G40&lt;F40,"Valid Entry required below - Check Amber Line/s",
IF(AND(G40&gt;0,H40&gt;0),"**Valid and Non-Valid Entries made below - Check Yellow Line/s",
IF(AND(E40=FALSE,F40&lt;2),"Not all requirements addressed below - Check Pink Line/s",
IF(AND(E40=FALSE,G40&lt;2,G40&gt;0,H40=0),"More entries to come",
IF(AND(E40,TRUE,G40=2,H40=0),"Valid Entries made below"
))))))))</f>
        <v>Nothing Entered below Yet</v>
      </c>
      <c r="J40" s="3122">
        <f>COUNTIFS(E41:E42,TRUE,J41:J42,"Not Blank")</f>
        <v>0</v>
      </c>
      <c r="K40" s="3122">
        <f>COUNTIFS(E41:E42,FALSE,J41:J42,"Not Blank")</f>
        <v>0</v>
      </c>
      <c r="L40" s="3127" t="str">
        <f xml:space="preserve">
IF(J40&gt;2,"Too Many Entries - Check Red Lines",
IF(AND(E40=FALSE,J40=0,K40=0,E40=TRUE),"Nothing Required Below",
IF(J40&lt;F40,"Valid Entry required below - Check Amber Line/s",
IF(AND(E40=FALSE,J40=0,K40=0),"Nothing Entered below Yet",
IF(AND(J40=0,K40&gt;0),"**Non-Valid Entry/ies below - Check Yellow Line/s",
IF(AND(J40&gt;0,K40&gt;0),"**Valid and Non-Valid Entries made below - Check Yellow Line/s",
IF(AND(E40=FALSE,J40&lt;2),"Not all requirements addressed below - Check Pink Line/s",
IF(AND(E40=FALSE,J40&lt;2,J40&gt;0,K40=0),"More entries to come",
IF(AND(E40,TRUE,J40=2,K40=0),"Valid Entries made below"
)))))))))</f>
        <v>Nothing Entered below Yet</v>
      </c>
      <c r="M40" s="3051"/>
      <c r="N40" s="4446" t="s">
        <v>3</v>
      </c>
      <c r="O40" s="4706" t="b">
        <f>IF(OR(N40="Compliant",N40="FE with work-a-round",N40="Functionally Equivalent"),TRUE,FALSE)</f>
        <v>0</v>
      </c>
      <c r="P40" s="3051"/>
      <c r="Q40" s="4446" t="s">
        <v>3</v>
      </c>
      <c r="R40" s="4703" t="b">
        <f>IF(OR(Q40="Compliant",Q40="FE with work-a-round",Q40="Functionally Equivalent"),TRUE,FALSE)</f>
        <v>0</v>
      </c>
      <c r="S40" s="617"/>
      <c r="T40" s="617"/>
      <c r="U40" s="3068"/>
      <c r="V40" s="4446" t="s">
        <v>3</v>
      </c>
      <c r="W40" s="4700" t="b">
        <f>IF(OR(V40="Compliant",V40="FE with work-a-round",V40="Functionally Equivalent",V40="Not Required/Applicable"),TRUE,FALSE)</f>
        <v>0</v>
      </c>
      <c r="X40" s="3069"/>
      <c r="Y40" s="3069"/>
      <c r="Z40" s="3070"/>
    </row>
    <row r="41" spans="1:169" ht="87.5" thickTop="1" x14ac:dyDescent="0.3">
      <c r="A41" s="3061" t="b">
        <v>0</v>
      </c>
      <c r="B41" s="1504" t="s">
        <v>1645</v>
      </c>
      <c r="C41" s="3117" t="s">
        <v>812</v>
      </c>
      <c r="D41" s="1013" t="s">
        <v>3</v>
      </c>
      <c r="E41" s="2730" t="b">
        <f>IF(D41="Compliant",TRUE,FALSE)</f>
        <v>0</v>
      </c>
      <c r="F41" s="3064"/>
      <c r="G41" s="399" t="str">
        <f>IF(I41&lt;&gt;"", "Not Blank", "")</f>
        <v/>
      </c>
      <c r="H41" s="399"/>
      <c r="I41" s="1540"/>
      <c r="J41" s="1540"/>
      <c r="K41" s="1540"/>
      <c r="L41" s="2636"/>
      <c r="M41" s="2636"/>
      <c r="N41" s="4447"/>
      <c r="O41" s="4707"/>
      <c r="P41" s="1762"/>
      <c r="Q41" s="4447"/>
      <c r="R41" s="4704"/>
      <c r="S41" s="261"/>
      <c r="T41" s="261"/>
      <c r="U41" s="2697"/>
      <c r="V41" s="4447"/>
      <c r="W41" s="4701"/>
      <c r="X41" s="1443"/>
      <c r="Y41" s="1443"/>
      <c r="Z41" s="2698"/>
    </row>
    <row r="42" spans="1:169" ht="87.5" thickBot="1" x14ac:dyDescent="0.35">
      <c r="A42" s="3061" t="b">
        <v>0</v>
      </c>
      <c r="B42" s="1505" t="s">
        <v>1646</v>
      </c>
      <c r="C42" s="3123" t="s">
        <v>813</v>
      </c>
      <c r="D42" s="230" t="s">
        <v>3</v>
      </c>
      <c r="E42" s="3071" t="b">
        <f>IF(D42="Compliant",TRUE,FALSE)</f>
        <v>0</v>
      </c>
      <c r="F42" s="3066"/>
      <c r="G42" s="1765" t="str">
        <f>IF(I42&lt;&gt;"", "Not Blank", "")</f>
        <v/>
      </c>
      <c r="H42" s="1765"/>
      <c r="I42" s="1555"/>
      <c r="J42" s="1555"/>
      <c r="K42" s="1555"/>
      <c r="L42" s="1164"/>
      <c r="M42" s="1164"/>
      <c r="N42" s="4448"/>
      <c r="O42" s="4708"/>
      <c r="P42" s="1768"/>
      <c r="Q42" s="4448"/>
      <c r="R42" s="4705"/>
      <c r="S42" s="1555"/>
      <c r="T42" s="1555"/>
      <c r="U42" s="2704"/>
      <c r="V42" s="4448"/>
      <c r="W42" s="4702"/>
      <c r="X42" s="1423"/>
      <c r="Y42" s="1423"/>
      <c r="Z42" s="2682"/>
    </row>
    <row r="43" spans="1:169" s="3694" customFormat="1" ht="15" thickTop="1" x14ac:dyDescent="0.3">
      <c r="A43" s="3639"/>
      <c r="B43" s="3639"/>
      <c r="C43" s="3664"/>
      <c r="D43" s="3664"/>
      <c r="E43" s="3664"/>
      <c r="F43" s="3664"/>
      <c r="G43" s="3664"/>
      <c r="H43" s="3664"/>
      <c r="I43" s="3635"/>
      <c r="J43" s="3635"/>
      <c r="K43" s="3635"/>
      <c r="L43" s="3635"/>
      <c r="M43" s="3635"/>
      <c r="N43" s="3704"/>
      <c r="O43" s="3704"/>
      <c r="P43" s="3692"/>
      <c r="Q43" s="3692"/>
      <c r="R43" s="3635"/>
      <c r="S43" s="3635"/>
      <c r="T43" s="3635"/>
      <c r="V43" s="3692"/>
      <c r="W43" s="3643"/>
    </row>
    <row r="44" spans="1:169" s="3640" customFormat="1" ht="18.5" x14ac:dyDescent="0.3">
      <c r="A44" s="4515" t="s">
        <v>1137</v>
      </c>
      <c r="B44" s="4516"/>
      <c r="C44" s="4516"/>
      <c r="D44" s="4516"/>
      <c r="E44" s="4516"/>
      <c r="F44" s="4516"/>
      <c r="G44" s="4516"/>
      <c r="H44" s="4516"/>
      <c r="I44" s="4516"/>
      <c r="J44" s="4516"/>
      <c r="K44" s="4516"/>
      <c r="L44" s="4516"/>
      <c r="M44" s="4516"/>
      <c r="N44" s="4516"/>
      <c r="O44" s="3705"/>
      <c r="P44" s="3706"/>
      <c r="Q44" s="3706"/>
      <c r="R44" s="3706"/>
      <c r="S44" s="3707"/>
      <c r="T44" s="3708"/>
      <c r="U44" s="3708"/>
      <c r="V44" s="3709"/>
      <c r="W44" s="3710"/>
      <c r="X44" s="3711"/>
      <c r="Y44" s="3712"/>
      <c r="Z44" s="3713"/>
    </row>
    <row r="45" spans="1:169" s="3640" customFormat="1" ht="15" thickBot="1" x14ac:dyDescent="0.35">
      <c r="A45" s="3636"/>
      <c r="B45" s="3636"/>
      <c r="C45" s="3634"/>
      <c r="D45" s="3634"/>
      <c r="E45" s="3636"/>
      <c r="F45" s="3636"/>
      <c r="G45" s="3641"/>
      <c r="H45" s="3636"/>
      <c r="I45" s="3634"/>
      <c r="J45" s="3643"/>
      <c r="K45" s="3643"/>
      <c r="L45" s="3634"/>
      <c r="M45" s="3634"/>
      <c r="N45" s="3714"/>
      <c r="O45" s="3641"/>
      <c r="P45" s="3639"/>
      <c r="Q45" s="3642"/>
      <c r="R45" s="3639"/>
      <c r="S45" s="3639"/>
      <c r="T45" s="3639"/>
      <c r="U45" s="3639"/>
      <c r="V45" s="3660"/>
      <c r="W45" s="3715"/>
      <c r="X45" s="3660"/>
      <c r="Y45" s="3660"/>
      <c r="Z45" s="3660"/>
    </row>
    <row r="46" spans="1:169" s="27" customFormat="1" ht="30" thickTop="1" thickBot="1" x14ac:dyDescent="0.35">
      <c r="A46" s="28"/>
      <c r="B46" s="1907" t="s">
        <v>474</v>
      </c>
      <c r="C46" s="581" t="s">
        <v>670</v>
      </c>
      <c r="D46" s="1914" t="s">
        <v>565</v>
      </c>
      <c r="E46" s="1688" t="b">
        <f>IF(AND(E47=TRUE,E48=TRUE,E49=TRUE,E50=TRUE),TRUE,FALSE)</f>
        <v>0</v>
      </c>
      <c r="F46" s="158">
        <f>COUNTIF(E47:E50,TRUE)</f>
        <v>0</v>
      </c>
      <c r="G46" s="3129">
        <f>COUNTIFS(E47:E50,TRUE,G47:G50,"Not Blank")</f>
        <v>0</v>
      </c>
      <c r="H46" s="158">
        <f>COUNTIFS(E47:E50,FALSE,G47:G50,"Not Blank")</f>
        <v>0</v>
      </c>
      <c r="I46" s="3130" t="str">
        <f xml:space="preserve">
IF(AND(E46=FALSE,G46&lt;4,G46&gt;0,H46=0),"More entries to come",
IF(AND(E46=FALSE,G46=0,H46=0),"Nothing Entered below Yet",
IF(AND(G46=0,H46&gt;0),"**Non-Valid Entry/ies below - Check Yellow Box/es",
IF(G46&lt;F46,"Valid Entry required below - Check amber box",
IF(AND(G46&gt;0,H46&gt;0),"**Valid and Non-Valid Entries made below - Check Yellow Box/es",
IF(AND(E46=FALSE,F46&lt;4),"Not all requirements addressed below - Check Pink Box/es",
IF(AND(E46,TRUE,G46=4,H46=0),"Valid Entries made below"
)))))))</f>
        <v>Nothing Entered below Yet</v>
      </c>
      <c r="J46" s="3131">
        <f>COUNTIFS(E47:E50,TRUE,J47:J50,"Not Blank")</f>
        <v>0</v>
      </c>
      <c r="K46" s="3131">
        <f>COUNTIFS(E47:E50,FALSE,J47:J50,"Not Blank")</f>
        <v>0</v>
      </c>
      <c r="L46" s="3130" t="str">
        <f xml:space="preserve">
IF(J46&gt;4,"Too Many Entries - Check Red Lines",
IF(AND(E46=FALSE,J46=0,K46=0,E46=TRUE),"Nothing Required Below",
IF(J46&lt;F46,"Valid Entry required below - Check Amber Line/s",
IF(AND(E46=FALSE,J46=0,K46=0),"Nothing Entered below Yet",
IF(AND(J46=0,K46&gt;0),"**Non-Valid Entry/ies below - Check Yellow Line/s",
IF(AND(J46&gt;0,K46&gt;0),"**Valid and Non-Valid Entries made below - Check Yellow Line/s",
IF(AND(E46=FALSE,J46&lt;4),"Not all requirements addressed below - Check Pink Line/s",
IF(AND(E46=FALSE,J46&lt;4,J46&gt;0,K46=0),"More entries to come",
IF(AND(E46,TRUE,J46=4,K46=0),"Valid Entries made below"
)))))))))</f>
        <v>Nothing Entered below Yet</v>
      </c>
      <c r="M46" s="134"/>
      <c r="N46" s="4446" t="s">
        <v>3</v>
      </c>
      <c r="O46" s="4477" t="b">
        <f>IF(OR(N46="Compliant",N46="FE with work-a-round",N46="Functionally Equivalent"),TRUE,FALSE)</f>
        <v>0</v>
      </c>
      <c r="P46" s="861"/>
      <c r="Q46" s="580" t="s">
        <v>565</v>
      </c>
      <c r="R46" s="814" t="b">
        <f>IF(AND(R47=TRUE,R48=TRUE,R49=TRUE,R50=TRUE),TRUE,FALSE)</f>
        <v>0</v>
      </c>
      <c r="S46" s="111"/>
      <c r="T46" s="111"/>
      <c r="U46" s="211"/>
      <c r="V46" s="4446" t="s">
        <v>3</v>
      </c>
      <c r="W46" s="4696" t="b">
        <f>IF(OR(V46="Compliant",V46="FE with work-a-round",V46="Functionally Equivalent",V46="Not Required/Applicable"),TRUE,FALSE)</f>
        <v>0</v>
      </c>
      <c r="X46" s="111"/>
      <c r="Y46" s="111"/>
      <c r="Z46" s="120"/>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row>
    <row r="47" spans="1:169" s="27" customFormat="1" ht="58.5" thickTop="1" x14ac:dyDescent="0.3">
      <c r="A47" s="28"/>
      <c r="B47" s="1504"/>
      <c r="C47" s="835" t="s">
        <v>1974</v>
      </c>
      <c r="D47" s="1013" t="s">
        <v>3</v>
      </c>
      <c r="E47" s="594" t="b">
        <f>IF(D47="Compliant",TRUE,FALSE)</f>
        <v>0</v>
      </c>
      <c r="F47" s="361"/>
      <c r="G47" s="1405" t="str">
        <f>IF(I47&lt;&gt;"", "Not Blank", "")</f>
        <v/>
      </c>
      <c r="H47" s="1403"/>
      <c r="I47" s="3072"/>
      <c r="J47" s="391" t="str">
        <f>IF(L47&lt;&gt;"", "Not Blank", "")</f>
        <v/>
      </c>
      <c r="K47" s="391"/>
      <c r="L47" s="42"/>
      <c r="M47" s="128"/>
      <c r="N47" s="4447"/>
      <c r="O47" s="4450"/>
      <c r="P47" s="120"/>
      <c r="Q47" s="1060" t="s">
        <v>3</v>
      </c>
      <c r="R47" s="732" t="b">
        <f>IF(OR(Q47="Compliant",Q47="FE with work-a-round",Q47="Functionally Equivalent"),TRUE,FALSE)</f>
        <v>0</v>
      </c>
      <c r="S47" s="44"/>
      <c r="T47" s="44"/>
      <c r="U47" s="68"/>
      <c r="V47" s="4447"/>
      <c r="W47" s="4691"/>
      <c r="X47" s="44"/>
      <c r="Y47" s="44"/>
      <c r="Z47" s="122"/>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row>
    <row r="48" spans="1:169" s="27" customFormat="1" ht="58" x14ac:dyDescent="0.3">
      <c r="A48" s="28"/>
      <c r="B48" s="1504"/>
      <c r="C48" s="454" t="s">
        <v>1950</v>
      </c>
      <c r="D48" s="319" t="s">
        <v>3</v>
      </c>
      <c r="E48" s="594" t="b">
        <f>IF(D48="Compliant",TRUE,FALSE)</f>
        <v>0</v>
      </c>
      <c r="F48" s="361"/>
      <c r="G48" s="1405" t="str">
        <f>IF(I48&lt;&gt;"", "Not Blank", "")</f>
        <v/>
      </c>
      <c r="H48" s="1403"/>
      <c r="I48" s="1570"/>
      <c r="J48" s="216" t="str">
        <f>IF(L48&lt;&gt;"", "Not Blank", "")</f>
        <v/>
      </c>
      <c r="K48" s="216"/>
      <c r="L48" s="44"/>
      <c r="M48" s="122"/>
      <c r="N48" s="4447"/>
      <c r="O48" s="4450"/>
      <c r="P48" s="122"/>
      <c r="Q48" s="1060" t="s">
        <v>3</v>
      </c>
      <c r="R48" s="732" t="b">
        <f>IF(OR(Q48="Compliant",Q48="FE with work-a-round",Q48="Functionally Equivalent"),TRUE,FALSE)</f>
        <v>0</v>
      </c>
      <c r="S48" s="79"/>
      <c r="T48" s="44"/>
      <c r="U48" s="68"/>
      <c r="V48" s="4447"/>
      <c r="W48" s="4691"/>
      <c r="X48" s="44"/>
      <c r="Y48" s="44"/>
      <c r="Z48" s="122"/>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row>
    <row r="49" spans="1:169" s="27" customFormat="1" ht="319" x14ac:dyDescent="0.3">
      <c r="A49" s="28"/>
      <c r="B49" s="1508"/>
      <c r="C49" s="866" t="s">
        <v>1949</v>
      </c>
      <c r="D49" s="849" t="s">
        <v>3</v>
      </c>
      <c r="E49" s="208" t="b">
        <f>IF(D49="Compliant",TRUE,FALSE)</f>
        <v>0</v>
      </c>
      <c r="F49" s="387"/>
      <c r="G49" s="2985" t="str">
        <f>IF(I49&lt;&gt;"", "Not Blank", "")</f>
        <v/>
      </c>
      <c r="H49" s="1441"/>
      <c r="I49" s="3073"/>
      <c r="J49" s="403" t="str">
        <f>IF(L49&lt;&gt;"", "Not Blank", "")</f>
        <v/>
      </c>
      <c r="K49" s="403"/>
      <c r="L49" s="79"/>
      <c r="M49" s="127"/>
      <c r="N49" s="4447"/>
      <c r="O49" s="4450"/>
      <c r="P49" s="122"/>
      <c r="Q49" s="1060" t="s">
        <v>3</v>
      </c>
      <c r="R49" s="1012" t="b">
        <f>IF(OR(Q49="Compliant",Q49="FE with work-a-round",Q49="Functionally Equivalent"),TRUE,FALSE)</f>
        <v>0</v>
      </c>
      <c r="S49" s="44"/>
      <c r="T49" s="67"/>
      <c r="U49" s="68"/>
      <c r="V49" s="4447"/>
      <c r="W49" s="4691"/>
      <c r="X49" s="44"/>
      <c r="Y49" s="44"/>
      <c r="Z49" s="122"/>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row>
    <row r="50" spans="1:169" s="27" customFormat="1" ht="44" thickBot="1" x14ac:dyDescent="0.35">
      <c r="A50" s="1419"/>
      <c r="B50" s="1505"/>
      <c r="C50" s="3128" t="s">
        <v>1946</v>
      </c>
      <c r="D50" s="230" t="s">
        <v>3</v>
      </c>
      <c r="E50" s="827" t="b">
        <f>IF(D50="Compliant",TRUE,FALSE)</f>
        <v>0</v>
      </c>
      <c r="F50" s="828"/>
      <c r="G50" s="1562" t="str">
        <f>IF(I50&lt;&gt;"", "Not Blank", "")</f>
        <v/>
      </c>
      <c r="H50" s="1563"/>
      <c r="I50" s="1564"/>
      <c r="J50" s="1048" t="str">
        <f>IF(L50&lt;&gt;"", "Not Blank", "")</f>
        <v/>
      </c>
      <c r="K50" s="1048"/>
      <c r="L50" s="981"/>
      <c r="M50" s="1049"/>
      <c r="N50" s="4448"/>
      <c r="O50" s="4478"/>
      <c r="P50" s="125"/>
      <c r="Q50" s="1017" t="s">
        <v>3</v>
      </c>
      <c r="R50" s="812" t="b">
        <f>IF(OR(Q50="Compliant",Q50="FE with work-a-round",Q50="Functionally Equivalent"),TRUE,FALSE)</f>
        <v>0</v>
      </c>
      <c r="S50" s="160"/>
      <c r="T50" s="124"/>
      <c r="U50" s="246"/>
      <c r="V50" s="4448"/>
      <c r="W50" s="4692"/>
      <c r="X50" s="124"/>
      <c r="Y50" s="124"/>
      <c r="Z50" s="125"/>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row>
    <row r="51" spans="1:169" s="3716" customFormat="1" ht="15" thickTop="1" x14ac:dyDescent="0.3">
      <c r="A51" s="3651"/>
      <c r="B51" s="3634"/>
      <c r="C51" s="3661"/>
      <c r="D51" s="3634"/>
      <c r="E51" s="3636"/>
      <c r="F51" s="3636"/>
      <c r="G51" s="3662"/>
      <c r="H51" s="3663"/>
      <c r="I51" s="3664"/>
      <c r="J51" s="3643"/>
      <c r="K51" s="3643"/>
      <c r="L51" s="3634"/>
      <c r="M51" s="3634"/>
      <c r="N51" s="3643"/>
      <c r="O51" s="3643"/>
      <c r="P51" s="3634"/>
      <c r="Q51" s="3634"/>
      <c r="R51" s="3634"/>
      <c r="S51" s="3634"/>
      <c r="T51" s="3634"/>
      <c r="U51" s="3634"/>
      <c r="V51" s="3639"/>
      <c r="W51" s="3641"/>
      <c r="X51" s="3634"/>
      <c r="Y51" s="3634"/>
      <c r="Z51" s="3634"/>
      <c r="AA51" s="3634"/>
      <c r="AB51" s="3634"/>
      <c r="AC51" s="3634"/>
      <c r="AD51" s="3634"/>
      <c r="AE51" s="3634"/>
      <c r="AF51" s="3634"/>
      <c r="AG51" s="3634"/>
      <c r="AH51" s="3634"/>
      <c r="AI51" s="3634"/>
      <c r="AJ51" s="3634"/>
      <c r="AK51" s="3634"/>
      <c r="AL51" s="3634"/>
      <c r="AM51" s="3634"/>
      <c r="AN51" s="3634"/>
      <c r="AO51" s="3634"/>
      <c r="AP51" s="3634"/>
      <c r="AQ51" s="3634"/>
      <c r="AR51" s="3634"/>
      <c r="AS51" s="3634"/>
      <c r="AT51" s="3634"/>
      <c r="AU51" s="3634"/>
      <c r="AV51" s="3634"/>
      <c r="AW51" s="3634"/>
      <c r="AX51" s="3634"/>
      <c r="AY51" s="3634"/>
      <c r="AZ51" s="3634"/>
      <c r="BA51" s="3634"/>
      <c r="BB51" s="3634"/>
      <c r="BC51" s="3634"/>
      <c r="BD51" s="3634"/>
      <c r="BE51" s="3634"/>
      <c r="BF51" s="3634"/>
      <c r="BG51" s="3634"/>
      <c r="BH51" s="3634"/>
      <c r="BI51" s="3634"/>
      <c r="BJ51" s="3634"/>
      <c r="BK51" s="3634"/>
      <c r="BL51" s="3634"/>
      <c r="BM51" s="3634"/>
      <c r="BN51" s="3634"/>
      <c r="BO51" s="3634"/>
      <c r="BP51" s="3634"/>
      <c r="BQ51" s="3634"/>
      <c r="BR51" s="3634"/>
      <c r="BS51" s="3634"/>
      <c r="BT51" s="3634"/>
      <c r="BU51" s="3634"/>
      <c r="BV51" s="3634"/>
      <c r="BW51" s="3634"/>
      <c r="BX51" s="3634"/>
      <c r="BY51" s="3634"/>
      <c r="BZ51" s="3634"/>
      <c r="CA51" s="3634"/>
      <c r="CB51" s="3634"/>
      <c r="CC51" s="3634"/>
      <c r="CD51" s="3634"/>
      <c r="CE51" s="3634"/>
      <c r="CF51" s="3634"/>
      <c r="CG51" s="3634"/>
      <c r="CH51" s="3634"/>
      <c r="CI51" s="3634"/>
      <c r="CJ51" s="3634"/>
      <c r="CK51" s="3634"/>
      <c r="CL51" s="3634"/>
      <c r="CM51" s="3634"/>
      <c r="CN51" s="3634"/>
      <c r="CO51" s="3634"/>
      <c r="CP51" s="3634"/>
      <c r="CQ51" s="3634"/>
      <c r="CR51" s="3634"/>
      <c r="CS51" s="3634"/>
      <c r="CT51" s="3634"/>
      <c r="CU51" s="3634"/>
      <c r="CV51" s="3634"/>
      <c r="CW51" s="3634"/>
      <c r="CX51" s="3634"/>
      <c r="CY51" s="3634"/>
      <c r="CZ51" s="3634"/>
      <c r="DA51" s="3634"/>
      <c r="DB51" s="3634"/>
      <c r="DC51" s="3634"/>
      <c r="DD51" s="3634"/>
      <c r="DE51" s="3634"/>
      <c r="DF51" s="3634"/>
      <c r="DG51" s="3634"/>
      <c r="DH51" s="3634"/>
      <c r="DI51" s="3634"/>
      <c r="DJ51" s="3634"/>
      <c r="DK51" s="3634"/>
      <c r="DL51" s="3634"/>
      <c r="DM51" s="3634"/>
      <c r="DN51" s="3634"/>
      <c r="DO51" s="3634"/>
      <c r="DP51" s="3634"/>
      <c r="DQ51" s="3634"/>
      <c r="DR51" s="3634"/>
      <c r="DS51" s="3634"/>
      <c r="DT51" s="3634"/>
      <c r="DU51" s="3634"/>
      <c r="DV51" s="3634"/>
      <c r="DW51" s="3634"/>
      <c r="DX51" s="3634"/>
      <c r="DY51" s="3634"/>
      <c r="DZ51" s="3634"/>
      <c r="EA51" s="3634"/>
      <c r="EB51" s="3634"/>
      <c r="EC51" s="3634"/>
      <c r="ED51" s="3634"/>
      <c r="EE51" s="3634"/>
      <c r="EF51" s="3634"/>
      <c r="EG51" s="3634"/>
      <c r="EH51" s="3634"/>
      <c r="EI51" s="3634"/>
      <c r="EJ51" s="3634"/>
      <c r="EK51" s="3634"/>
      <c r="EL51" s="3634"/>
      <c r="EM51" s="3634"/>
      <c r="EN51" s="3634"/>
      <c r="EO51" s="3634"/>
      <c r="EP51" s="3634"/>
      <c r="EQ51" s="3634"/>
      <c r="ER51" s="3634"/>
      <c r="ES51" s="3634"/>
      <c r="ET51" s="3634"/>
      <c r="EU51" s="3634"/>
      <c r="EV51" s="3634"/>
      <c r="EW51" s="3634"/>
      <c r="EX51" s="3634"/>
      <c r="EY51" s="3634"/>
      <c r="EZ51" s="3634"/>
      <c r="FA51" s="3634"/>
      <c r="FB51" s="3634"/>
      <c r="FC51" s="3634"/>
      <c r="FD51" s="3634"/>
      <c r="FE51" s="3634"/>
      <c r="FF51" s="3634"/>
      <c r="FG51" s="3634"/>
      <c r="FH51" s="3634"/>
      <c r="FI51" s="3634"/>
      <c r="FJ51" s="3634"/>
      <c r="FK51" s="3634"/>
      <c r="FL51" s="3634"/>
      <c r="FM51" s="3634"/>
    </row>
    <row r="52" spans="1:169" s="3640" customFormat="1" ht="18.5" x14ac:dyDescent="0.3">
      <c r="A52" s="4482" t="s">
        <v>1138</v>
      </c>
      <c r="B52" s="4483"/>
      <c r="C52" s="4483"/>
      <c r="D52" s="4483"/>
      <c r="E52" s="4483"/>
      <c r="F52" s="4483"/>
      <c r="G52" s="4483"/>
      <c r="H52" s="4483"/>
      <c r="I52" s="4483"/>
      <c r="J52" s="4483"/>
      <c r="K52" s="4483"/>
      <c r="L52" s="4483"/>
      <c r="M52" s="4483"/>
      <c r="N52" s="4483"/>
      <c r="O52" s="3669"/>
      <c r="P52" s="3670"/>
      <c r="Q52" s="3670"/>
      <c r="R52" s="3670"/>
      <c r="S52" s="3671"/>
      <c r="T52" s="3672"/>
      <c r="U52" s="3672"/>
      <c r="V52" s="3673"/>
      <c r="W52" s="3717"/>
      <c r="X52" s="3674"/>
      <c r="Y52" s="3675"/>
      <c r="Z52" s="3676"/>
    </row>
    <row r="53" spans="1:169" s="3640" customFormat="1" ht="19" thickBot="1" x14ac:dyDescent="0.35">
      <c r="A53" s="3718"/>
      <c r="B53" s="3719"/>
      <c r="C53" s="3719"/>
      <c r="D53" s="3720"/>
      <c r="E53" s="3720"/>
      <c r="F53" s="3720"/>
      <c r="G53" s="3720"/>
      <c r="H53" s="3720"/>
      <c r="I53" s="3721"/>
      <c r="J53" s="3720"/>
      <c r="K53" s="3720"/>
      <c r="L53" s="3720"/>
      <c r="M53" s="3720"/>
      <c r="N53" s="3722"/>
      <c r="O53" s="3722"/>
      <c r="P53" s="3723"/>
      <c r="Q53" s="3722"/>
      <c r="R53" s="3723"/>
      <c r="S53" s="3724"/>
      <c r="T53" s="3724"/>
      <c r="V53" s="3725"/>
      <c r="W53" s="3726"/>
      <c r="X53" s="3727"/>
      <c r="Y53" s="3728"/>
    </row>
    <row r="54" spans="1:169" s="2984" customFormat="1" ht="30" thickTop="1" thickBot="1" x14ac:dyDescent="0.35">
      <c r="A54" s="2782"/>
      <c r="B54" s="3132" t="s">
        <v>1700</v>
      </c>
      <c r="C54" s="3116" t="s">
        <v>1376</v>
      </c>
      <c r="D54" s="3139" t="s">
        <v>565</v>
      </c>
      <c r="E54" s="3140" t="b">
        <f>IF(AND(E55,TRUE,E67,TRUE),TRUE,FALSE)</f>
        <v>0</v>
      </c>
      <c r="F54" s="3141">
        <f>SUM(F55,F67,F95,F104,F114)</f>
        <v>0</v>
      </c>
      <c r="G54" s="3141">
        <f>SUM(G55,G67,G95,G104)+COUNTIFS(E114,TRUE,G114,"Not Blank")</f>
        <v>0</v>
      </c>
      <c r="H54" s="3141">
        <f>SUM(H55,H67,H95,H104)+COUNTIFS(E114,FALSE,G114,"Not Blank")</f>
        <v>0</v>
      </c>
      <c r="I54" s="3142" t="str">
        <f xml:space="preserve">
IF(F54&gt;43,"Too Many Entries - Check Red Lines",
IF(AND(E54=FALSE,G54=0,H54=0,E54=TRUE),"Nothing Required Below",
IF(G54&lt;F54,"Valid Entry required below - Check Amber Line/s",
IF(AND(E54=FALSE,G54=0,H54=0),"Nothing Entered below Yet",
IF(G54&lt;F54,"Valid Entry required below - Check Amber Line/s",
IF(AND(G54=0,H54&gt;0),"**Non-Valid Entry/ies below - Check Yellow Line/s",
IF(AND(G54&gt;0,H54&gt;0),"**Valid and Non-Valid Entries made below - Check Yellow Line/s",
IF(AND(E54=FALSE,F54&lt;43),"Not all requirements addressed below - Check Pink Line/s",
IF(AND(E54=FALSE,G54&lt;43,G54&gt;0,H54=0),"More entries to come",
IF(AND(E54,TRUE,G54=43,H54=0),"Valid Entries made below"
))))))))))</f>
        <v>Nothing Entered below Yet</v>
      </c>
      <c r="J54" s="3142">
        <f>SUM(J55,J67,J95,J104)+COUNTIFS(E114,TRUE,J114,"Not Blank")</f>
        <v>0</v>
      </c>
      <c r="K54" s="3142">
        <f>SUM(K55,K67,K95,K104)+COUNTIFS(E114,FALSE,J114,"Not Blank")</f>
        <v>0</v>
      </c>
      <c r="L54" s="3142" t="str">
        <f xml:space="preserve">
IF(J54&gt;43,"Too Many Entries - Check Red Lines",
IF(AND(E54=FALSE,J54=0,K54=0,E53=TRUE),"Nothing Required Below",
IF(J54&lt;F54,"Valid Entry required below - Check Amber Line/s",
IF(AND(E54=FALSE,J54=0,K54=0),"Nothing Entered below Yet",
IF(AND(J54=0,K54&gt;0),"**Non-Valid Entry/ies below - Check Yellow Line/s",
IF(AND(J54&gt;0,K54&gt;0),"**Valid and Non-Valid Entries made below - Check Yellow Line/s",
IF(AND(E54=FALSE,J54&lt;43),"Not all requirements addressed below - Check Pink Line/s",
IF(AND(E54=FALSE,J54&lt;43,J54&gt;0,K54=0),"More entries to come",
IF(AND(E54,TRUE,J54=43,K54=0),"Valid Entries made below"
)))))))))</f>
        <v>Nothing Entered below Yet</v>
      </c>
      <c r="M54" s="3075"/>
      <c r="N54" s="4186" t="s">
        <v>565</v>
      </c>
      <c r="O54" s="132" t="b">
        <f>IF(AND(W55=TRUE,O67=TRUE),TRUE,FALSE)</f>
        <v>0</v>
      </c>
      <c r="P54" s="579"/>
      <c r="Q54" s="3972" t="s">
        <v>565</v>
      </c>
      <c r="R54" s="231" t="b">
        <f>IF(AND(R55,TRUE,R67,TRUE),TRUE,FALSE)</f>
        <v>0</v>
      </c>
      <c r="S54" s="133"/>
      <c r="T54" s="133"/>
      <c r="U54" s="134"/>
      <c r="V54" s="4189" t="s">
        <v>565</v>
      </c>
      <c r="W54" s="816" t="b">
        <f>IF(AND(AE55=TRUE,W67=TRUE),TRUE,FALSE)</f>
        <v>0</v>
      </c>
      <c r="X54" s="2982"/>
      <c r="Y54" s="2982"/>
      <c r="Z54" s="2983"/>
    </row>
    <row r="55" spans="1:169" s="27" customFormat="1" ht="30" thickTop="1" thickBot="1" x14ac:dyDescent="0.35">
      <c r="A55" s="39">
        <v>6</v>
      </c>
      <c r="B55" s="3132"/>
      <c r="C55" s="3099" t="s">
        <v>1940</v>
      </c>
      <c r="D55" s="1914" t="s">
        <v>565</v>
      </c>
      <c r="E55" s="995" t="b">
        <f>IF(AND(E56=TRUE,E65=TRUE),TRUE,FALSE)</f>
        <v>0</v>
      </c>
      <c r="F55" s="689">
        <f>COUNTIF(E57:E60,TRUE)+COUNTIF(E62:E65,TRUE)</f>
        <v>0</v>
      </c>
      <c r="G55" s="689">
        <f>COUNTIFS(E56:E65,TRUE,G56:G65,"Not Blank")</f>
        <v>0</v>
      </c>
      <c r="H55" s="689">
        <f>COUNTIFS(E56:E65,FALSE,G56:G65,"Not Blank")</f>
        <v>0</v>
      </c>
      <c r="I55" s="3130" t="str">
        <f xml:space="preserve">
IF(F55&gt;8,"Too Many Entries - Check Red Lines",
IF(AND(E55=FALSE,G55=0,H55=0,E55=TRUE),"Nothing Required Below",
IF(G55&lt;F55,"Valid Entry required below - Check Amber Line/s",
IF(AND(E55=FALSE,G55=0,H55=0),"Nothing Entered below Yet",
IF(G55&lt;F55,"Valid Entry required below - Check Amber Line/s",
IF(AND(G55=0,H55&gt;0),"**Non-Valid Entry/ies below - Check Yellow Line/s",
IF(AND(G55&gt;0,H55&gt;0),"**Valid and Non-Valid Entries made below - Check Yellow Line/s",
IF(AND(E55=FALSE,F55&lt;8),"Not all requirements addressed below - Check Pink Line/s",
IF(AND(E55=FALSE,G55&lt;8,G55&gt;0,H55=0),"More entries to come",
IF(AND(E55,TRUE,G55=8,H55=0),"Valid Entries made below"
))))))))))</f>
        <v>Nothing Entered below Yet</v>
      </c>
      <c r="J55" s="3130">
        <f>COUNTIFS(E56:E65,TRUE,J56:J65,"Not Blank")</f>
        <v>0</v>
      </c>
      <c r="K55" s="3130">
        <f>COUNTIFS(E56:E65,FALSE,J56:J65,"Not Blank")</f>
        <v>0</v>
      </c>
      <c r="L55" s="3130" t="str">
        <f xml:space="preserve">
IF(J55&gt;8,"Too Many Entries - Check Red Lines",
IF(AND(E55=FALSE,J55=0,K55=0,E54=TRUE),"Nothing Required Below",
IF(J55&lt;F55,"Valid Entry required below - Check Amber Line/s",
IF(AND(E55=FALSE,J55=0,K55=0),"Nothing Entered below Yet",
IF(AND(J55=0,K55&gt;0),"**Non-Valid Entry/ies below - Check Yellow Line/s",
IF(AND(J55&gt;0,K55&gt;0),"**Valid and Non-Valid Entries made below - Check Yellow Line/s",
IF(AND(E55=FALSE,J55&lt;8),"Not all requirements addressed below - Check Pink Line/s",
IF(AND(E55=FALSE,J55&lt;8,J55&gt;0,K55=0),"More entries to come",
IF(AND(E55,TRUE,J55=8,K55=0),"Valid Entries made below"
)))))))))</f>
        <v>Nothing Entered below Yet</v>
      </c>
      <c r="M55" s="1002"/>
      <c r="N55" s="4446" t="s">
        <v>3</v>
      </c>
      <c r="O55" s="4535" t="b">
        <f>IF(OR(N55="Compliant",N55="FE with work-a-round",N55="Functionally Equivalent"),TRUE,FALSE)</f>
        <v>0</v>
      </c>
      <c r="P55" s="579"/>
      <c r="Q55" s="4187" t="s">
        <v>565</v>
      </c>
      <c r="R55" s="231" t="b">
        <f>IF(AND(R56=TRUE,R65=TRUE),TRUE,FALSE)</f>
        <v>0</v>
      </c>
      <c r="S55" s="133"/>
      <c r="T55" s="133"/>
      <c r="U55" s="579"/>
      <c r="V55" s="4446" t="s">
        <v>3</v>
      </c>
      <c r="W55" s="4709" t="b">
        <f>IF(OR(V55="Compliant",V55="FE with work-a-round",V55="Functionally Equivalent",V55="Not Required/Applicable"),TRUE,FALSE)</f>
        <v>0</v>
      </c>
      <c r="X55" s="133"/>
      <c r="Y55" s="133"/>
      <c r="Z55" s="134"/>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row>
    <row r="56" spans="1:169" s="27" customFormat="1" ht="59" thickTop="1" thickBot="1" x14ac:dyDescent="0.35">
      <c r="A56" s="232">
        <v>6.1</v>
      </c>
      <c r="B56" s="3133"/>
      <c r="C56" s="2154" t="s">
        <v>885</v>
      </c>
      <c r="D56" s="2250" t="s">
        <v>565</v>
      </c>
      <c r="E56" s="978" t="b">
        <f>IF(AND(E57=TRUE,E58=TRUE,E59=TRUE,E60=TRUE,E64=TRUE,E61=TRUE),TRUE,FALSE)</f>
        <v>0</v>
      </c>
      <c r="F56" s="979">
        <f>COUNTIF(E58:E60,TRUE)+COUNTIF(E62:E65,TRUE)</f>
        <v>0</v>
      </c>
      <c r="G56" s="979">
        <f>COUNTIFS(E57:E64,TRUE,G57:G64,"Not Blank")</f>
        <v>0</v>
      </c>
      <c r="H56" s="979">
        <f>COUNTIFS(E57:E64,FALSE,G57:G64,"Not Blank")</f>
        <v>0</v>
      </c>
      <c r="I56" s="3143" t="str">
        <f xml:space="preserve">
IF(F56&gt;7,"Too Many Entries - Check Red Lines",
IF(AND(E56=FALSE,G56=0,H56=0,E56=TRUE),"Nothing Required Below",
IF(G56&lt;F56,"Valid Entry required below - Check Amber Line/s",
IF(AND(E56=FALSE,G56=0,H56=0),"Nothing Entered below Yet",
IF(G56&lt;F56,"Valid Entry required below - Check Amber Line/s",
IF(AND(G56=0,H56&gt;0),"**Non-Valid Entry/ies below - Check Yellow Line/s",
IF(AND(G56&gt;0,H56&gt;0),"**Valid and Non-Valid Entries made below - Check Yellow Line/s",
IF(AND(E56=FALSE,F56&lt;7),"Not all requirements addressed below - Check Pink Line/s",
IF(AND(E56=FALSE,G56&lt;7,G56&gt;0,H56=0),"More entries to come",
IF(AND(E56,TRUE,G56=7,H56=0),"Valid Entries made below"
))))))))))</f>
        <v>Nothing Entered below Yet</v>
      </c>
      <c r="J56" s="3144">
        <f>COUNTIFS(E57:E64,TRUE,J57:J64,"Not Blank")</f>
        <v>0</v>
      </c>
      <c r="K56" s="3144">
        <f>COUNTIFS(E57:E64,FALSE,J57:J64,"Not Blank")</f>
        <v>0</v>
      </c>
      <c r="L56" s="3143" t="str">
        <f xml:space="preserve">
IF(J56&gt;7,"Too Many Entries - Check Red Lines",
IF(AND(E56=FALSE,J56=0,K56=0,E55=TRUE),"Nothing Required Below",
IF(J56&lt;F56,"Valid Entry required below - Check Amber Line/s",
IF(AND(E56=FALSE,J56=0,K56=0),"Nothing Entered below Yet",
IF(AND(J56=0,K56&gt;0),"**Non-Valid Entry/ies below - Check Yellow Line/s",
IF(AND(J56&gt;0,K56&gt;0),"**Valid and Non-Valid Entries made below - Check Yellow Line/s",
IF(AND(E56=FALSE,J56&lt;7),"Not all requirements addressed below - Check Pink Line/s",
IF(AND(E56=FALSE,J56&lt;7,J56&gt;0,K56=0),"More entries to come",
IF(AND(E56,TRUE,J56=7,K56=0),"Valid Entries made below"
)))))))))</f>
        <v>Nothing Entered below Yet</v>
      </c>
      <c r="M56" s="2338"/>
      <c r="N56" s="4447"/>
      <c r="O56" s="4441"/>
      <c r="P56" s="2176"/>
      <c r="Q56" s="4188" t="s">
        <v>565</v>
      </c>
      <c r="R56" s="41" t="b">
        <f>IF(AND(R57=TRUE,R58=TRUE,R59=TRUE,R60=TRUE,R64=TRUE,R61=TRUE),TRUE,FALSE)</f>
        <v>0</v>
      </c>
      <c r="S56" s="42"/>
      <c r="T56" s="42"/>
      <c r="U56" s="144"/>
      <c r="V56" s="4447"/>
      <c r="W56" s="4691"/>
      <c r="X56" s="42"/>
      <c r="Y56" s="42"/>
      <c r="Z56" s="1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row>
    <row r="57" spans="1:169" s="27" customFormat="1" ht="29.5" thickTop="1" x14ac:dyDescent="0.3">
      <c r="A57" s="239"/>
      <c r="B57" s="1504"/>
      <c r="C57" s="3134" t="s">
        <v>633</v>
      </c>
      <c r="D57" s="1013" t="s">
        <v>3</v>
      </c>
      <c r="E57" s="67" t="b">
        <f>IF(D57="Compliant",TRUE,FALSE)</f>
        <v>0</v>
      </c>
      <c r="F57" s="44"/>
      <c r="G57" s="44" t="str">
        <f>IF(I57&lt;&gt;"", "Not Blank", "")</f>
        <v/>
      </c>
      <c r="H57" s="44"/>
      <c r="I57" s="2164"/>
      <c r="J57" s="44" t="str">
        <f t="shared" ref="J57:J65" si="0">IF(L57&lt;&gt;"", "Not Blank", "")</f>
        <v/>
      </c>
      <c r="K57" s="44"/>
      <c r="L57" s="2164"/>
      <c r="M57" s="128"/>
      <c r="N57" s="4447"/>
      <c r="O57" s="4441"/>
      <c r="P57" s="2636"/>
      <c r="Q57" s="2214" t="s">
        <v>3</v>
      </c>
      <c r="R57" s="716" t="b">
        <f>IF(OR(Q57="Compliant",Q57="FE with work-a-round",Q57="Functionally Equivalent"),TRUE,FALSE)</f>
        <v>0</v>
      </c>
      <c r="S57" s="261"/>
      <c r="T57" s="261"/>
      <c r="U57" s="589"/>
      <c r="V57" s="4447"/>
      <c r="W57" s="4691"/>
      <c r="X57" s="261"/>
      <c r="Y57" s="44"/>
      <c r="Z57" s="122"/>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row>
    <row r="58" spans="1:169" s="27" customFormat="1" ht="72.5" x14ac:dyDescent="0.3">
      <c r="A58" s="60"/>
      <c r="B58" s="1504"/>
      <c r="C58" s="454" t="s">
        <v>634</v>
      </c>
      <c r="D58" s="319" t="s">
        <v>3</v>
      </c>
      <c r="E58" s="67" t="b">
        <f>IF(D58="Compliant",TRUE,FALSE)</f>
        <v>0</v>
      </c>
      <c r="F58" s="44"/>
      <c r="G58" s="44" t="str">
        <f>IF(I58&lt;&gt;"", "Not Blank", "")</f>
        <v/>
      </c>
      <c r="H58" s="44"/>
      <c r="I58" s="44"/>
      <c r="J58" s="44" t="str">
        <f t="shared" si="0"/>
        <v/>
      </c>
      <c r="K58" s="44"/>
      <c r="L58" s="44"/>
      <c r="M58" s="362"/>
      <c r="N58" s="4447"/>
      <c r="O58" s="4441"/>
      <c r="P58" s="419"/>
      <c r="Q58" s="1060"/>
      <c r="R58" s="716" t="b">
        <f>IF(OR(Q58="Compliant",Q58="FE with work-a-round",Q58="Functionally Equivalent"),TRUE,FALSE)</f>
        <v>0</v>
      </c>
      <c r="S58" s="44"/>
      <c r="T58" s="44"/>
      <c r="U58" s="68"/>
      <c r="V58" s="4447"/>
      <c r="W58" s="4691"/>
      <c r="X58" s="44"/>
      <c r="Y58" s="44"/>
      <c r="Z58" s="122"/>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row>
    <row r="59" spans="1:169" s="27" customFormat="1" ht="43.5" x14ac:dyDescent="0.3">
      <c r="A59" s="60"/>
      <c r="B59" s="1504"/>
      <c r="C59" s="454" t="s">
        <v>425</v>
      </c>
      <c r="D59" s="319" t="s">
        <v>3</v>
      </c>
      <c r="E59" s="67" t="b">
        <f>IF(D59="Compliant",TRUE,FALSE)</f>
        <v>0</v>
      </c>
      <c r="F59" s="44"/>
      <c r="G59" s="44" t="str">
        <f>IF(I59&lt;&gt;"", "Not Blank", "")</f>
        <v/>
      </c>
      <c r="H59" s="44"/>
      <c r="I59" s="44"/>
      <c r="J59" s="44" t="str">
        <f t="shared" si="0"/>
        <v/>
      </c>
      <c r="K59" s="44"/>
      <c r="L59" s="44"/>
      <c r="M59" s="362"/>
      <c r="N59" s="4447"/>
      <c r="O59" s="4441"/>
      <c r="P59" s="419"/>
      <c r="Q59" s="1060"/>
      <c r="R59" s="716" t="b">
        <f>IF(OR(Q59="Compliant",Q59="FE with work-a-round",Q59="Functionally Equivalent"),TRUE,FALSE)</f>
        <v>0</v>
      </c>
      <c r="S59" s="44"/>
      <c r="T59" s="44"/>
      <c r="U59" s="68"/>
      <c r="V59" s="4447"/>
      <c r="W59" s="4691"/>
      <c r="X59" s="44"/>
      <c r="Y59" s="44"/>
      <c r="Z59" s="122"/>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row>
    <row r="60" spans="1:169" s="27" customFormat="1" ht="44" thickBot="1" x14ac:dyDescent="0.35">
      <c r="A60" s="60"/>
      <c r="B60" s="1504"/>
      <c r="C60" s="3135" t="s">
        <v>426</v>
      </c>
      <c r="D60" s="230" t="s">
        <v>3</v>
      </c>
      <c r="E60" s="67" t="b">
        <f>IF(D60="Compliant",TRUE,FALSE)</f>
        <v>0</v>
      </c>
      <c r="F60" s="44"/>
      <c r="G60" s="44" t="str">
        <f>IF(I60&lt;&gt;"", "Not Blank", "")</f>
        <v/>
      </c>
      <c r="H60" s="44"/>
      <c r="I60" s="124"/>
      <c r="J60" s="124" t="str">
        <f t="shared" si="0"/>
        <v/>
      </c>
      <c r="K60" s="124"/>
      <c r="L60" s="124"/>
      <c r="M60" s="2340"/>
      <c r="N60" s="4447" t="s">
        <v>3</v>
      </c>
      <c r="O60" s="4441"/>
      <c r="P60" s="2337"/>
      <c r="Q60" s="1017"/>
      <c r="R60" s="716" t="b">
        <f>IF(OR(Q60="Compliant",Q60="FE with work-a-round",Q60="Functionally Equivalent"),TRUE,FALSE)</f>
        <v>0</v>
      </c>
      <c r="S60" s="44"/>
      <c r="T60" s="44"/>
      <c r="U60" s="68"/>
      <c r="V60" s="4447" t="s">
        <v>3</v>
      </c>
      <c r="W60" s="4691"/>
      <c r="X60" s="44"/>
      <c r="Y60" s="44"/>
      <c r="Z60" s="122"/>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row>
    <row r="61" spans="1:169" s="680" customFormat="1" ht="31.5" thickTop="1" x14ac:dyDescent="0.3">
      <c r="A61" s="353"/>
      <c r="B61" s="3136" t="s">
        <v>1701</v>
      </c>
      <c r="C61" s="3137" t="s">
        <v>636</v>
      </c>
      <c r="D61" s="3145" t="s">
        <v>565</v>
      </c>
      <c r="E61" s="3146" t="b">
        <f>IF(AND(E62=TRUE,E63=TRUE),TRUE,FALSE)</f>
        <v>0</v>
      </c>
      <c r="F61" s="3147">
        <f>COUNTIF(E62:E63,TRUE)</f>
        <v>0</v>
      </c>
      <c r="G61" s="3147">
        <f>COUNTIFS(E62:E63,TRUE,G62:G63,"Not Blank")</f>
        <v>0</v>
      </c>
      <c r="H61" s="3147">
        <f>COUNTIFS(E62:E63,FALSE,G62:G63,"Not Blank")</f>
        <v>0</v>
      </c>
      <c r="I61" s="3148" t="str">
        <f xml:space="preserve">
IF(F61&gt;2,"Too Many Entries - Check Red Lines",
IF(AND(E61=FALSE,G61=0,H61=0,E61=TRUE),"Nothing Required Below",
IF(G61&lt;F61,"Valid Entry required below - Check Amber Line/s",
IF(AND(E61=FALSE,G61=0,H61=0),"Nothing Entered below Yet",
IF(G61&lt;F61,"Valid Entry required below - Check Amber Line/s",
IF(AND(G61=0,H61&gt;0),"**Non-Valid Entry/ies below - Check Yellow Line/s",
IF(AND(G61&gt;0,H61&gt;0),"**Valid and Non-Valid Entries made below - Check Yellow Line/s",
IF(AND(E61=FALSE,F61&lt;2),"Not all requirements addressed below - Check Pink Line/s",
IF(AND(E61=FALSE,G61&lt;2,G61&gt;0,H61=0),"More entries to come",
IF(AND(E61,TRUE,G61=2,H61=0),"Valid Entries made below"
))))))))))</f>
        <v>Nothing Entered below Yet</v>
      </c>
      <c r="J61" s="3149">
        <f>COUNTIFS(E62:E63,TRUE,J62:J63,"Not Blank")</f>
        <v>0</v>
      </c>
      <c r="K61" s="3149">
        <f>COUNTIFS(E62:E63,FALSE,J62:J63,"Not Blank")</f>
        <v>0</v>
      </c>
      <c r="L61" s="3148" t="str">
        <f xml:space="preserve">
IF(J61&gt;2,"Too Many Entries - Check Red Lines",
IF(AND(E61=FALSE,J61=0,K61=0,E60=TRUE),"Nothing Required Below",
IF(J61&lt;F61,"Valid Entry required below - Check Amber Line/s",
IF(AND(E61=FALSE,J61=0,K61=0),"Nothing Entered below Yet",
IF(AND(J61=0,K61&gt;0),"**Non-Valid Entry/ies below - Check Yellow Line/s",
IF(AND(J61&gt;0,K61&gt;0),"**Valid and Non-Valid Entries made below - Check Yellow Line/s",
IF(AND(E61=FALSE,J61&lt;2),"Not all requirements addressed below - Check Pink Line/s",
IF(AND(E61=FALSE,J61&lt;2,J61&gt;0,K61=0),"More entries to come",
IF(AND(E61,TRUE,J61=2,K61=0),"Valid Entries made below"
)))))))))</f>
        <v>Nothing Entered below Yet</v>
      </c>
      <c r="M61" s="2341"/>
      <c r="N61" s="4447"/>
      <c r="O61" s="4441"/>
      <c r="P61" s="2341"/>
      <c r="Q61" s="4187" t="s">
        <v>565</v>
      </c>
      <c r="R61" s="67" t="b">
        <f>IF(AND(R62=TRUE,R63=TRUE),TRUE,FALSE)</f>
        <v>0</v>
      </c>
      <c r="S61" s="392"/>
      <c r="T61" s="392"/>
      <c r="U61" s="407"/>
      <c r="V61" s="4447"/>
      <c r="W61" s="4691"/>
      <c r="X61" s="392"/>
      <c r="Y61" s="392"/>
      <c r="Z61" s="393"/>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0"/>
      <c r="BJ61" s="670"/>
      <c r="BK61" s="670"/>
      <c r="BL61" s="670"/>
      <c r="BM61" s="670"/>
      <c r="BN61" s="670"/>
      <c r="BO61" s="670"/>
      <c r="BP61" s="670"/>
      <c r="BQ61" s="670"/>
      <c r="BR61" s="670"/>
      <c r="BS61" s="670"/>
      <c r="BT61" s="670"/>
      <c r="BU61" s="670"/>
      <c r="BV61" s="670"/>
      <c r="BW61" s="670"/>
      <c r="BX61" s="670"/>
      <c r="BY61" s="670"/>
      <c r="BZ61" s="670"/>
      <c r="CA61" s="670"/>
      <c r="CB61" s="670"/>
      <c r="CC61" s="670"/>
      <c r="CD61" s="670"/>
      <c r="CE61" s="670"/>
      <c r="CF61" s="670"/>
      <c r="CG61" s="670"/>
      <c r="CH61" s="670"/>
      <c r="CI61" s="670"/>
      <c r="CJ61" s="670"/>
      <c r="CK61" s="670"/>
      <c r="CL61" s="670"/>
      <c r="CM61" s="670"/>
      <c r="CN61" s="670"/>
      <c r="CO61" s="670"/>
      <c r="CP61" s="670"/>
      <c r="CQ61" s="670"/>
      <c r="CR61" s="670"/>
      <c r="CS61" s="670"/>
      <c r="CT61" s="670"/>
      <c r="CU61" s="670"/>
      <c r="CV61" s="670"/>
      <c r="CW61" s="670"/>
      <c r="CX61" s="670"/>
      <c r="CY61" s="670"/>
      <c r="CZ61" s="670"/>
      <c r="DA61" s="670"/>
      <c r="DB61" s="670"/>
      <c r="DC61" s="670"/>
      <c r="DD61" s="670"/>
      <c r="DE61" s="670"/>
      <c r="DF61" s="670"/>
      <c r="DG61" s="670"/>
      <c r="DH61" s="670"/>
      <c r="DI61" s="670"/>
      <c r="DJ61" s="670"/>
      <c r="DK61" s="670"/>
      <c r="DL61" s="670"/>
      <c r="DM61" s="670"/>
      <c r="DN61" s="670"/>
      <c r="DO61" s="670"/>
      <c r="DP61" s="670"/>
      <c r="DQ61" s="670"/>
      <c r="DR61" s="670"/>
      <c r="DS61" s="670"/>
      <c r="DT61" s="670"/>
      <c r="DU61" s="670"/>
      <c r="DV61" s="670"/>
      <c r="DW61" s="670"/>
      <c r="DX61" s="670"/>
      <c r="DY61" s="670"/>
      <c r="DZ61" s="670"/>
      <c r="EA61" s="670"/>
      <c r="EB61" s="670"/>
      <c r="EC61" s="670"/>
      <c r="ED61" s="670"/>
      <c r="EE61" s="670"/>
      <c r="EF61" s="670"/>
      <c r="EG61" s="670"/>
      <c r="EH61" s="670"/>
      <c r="EI61" s="670"/>
      <c r="EJ61" s="670"/>
      <c r="EK61" s="670"/>
      <c r="EL61" s="670"/>
      <c r="EM61" s="670"/>
      <c r="EN61" s="670"/>
      <c r="EO61" s="670"/>
      <c r="EP61" s="670"/>
      <c r="EQ61" s="670"/>
      <c r="ER61" s="670"/>
      <c r="ES61" s="670"/>
      <c r="ET61" s="670"/>
      <c r="EU61" s="670"/>
      <c r="EV61" s="670"/>
      <c r="EW61" s="670"/>
      <c r="EX61" s="670"/>
      <c r="EY61" s="670"/>
      <c r="EZ61" s="670"/>
      <c r="FA61" s="670"/>
      <c r="FB61" s="670"/>
      <c r="FC61" s="670"/>
      <c r="FD61" s="670"/>
      <c r="FE61" s="670"/>
      <c r="FF61" s="670"/>
      <c r="FG61" s="670"/>
      <c r="FH61" s="670"/>
      <c r="FI61" s="670"/>
      <c r="FJ61" s="670"/>
      <c r="FK61" s="670"/>
      <c r="FL61" s="670"/>
      <c r="FM61" s="670"/>
    </row>
    <row r="62" spans="1:169" s="27" customFormat="1" ht="15.5" x14ac:dyDescent="0.3">
      <c r="A62" s="60"/>
      <c r="B62" s="1504"/>
      <c r="C62" s="3138" t="s">
        <v>637</v>
      </c>
      <c r="D62" s="1013" t="s">
        <v>3</v>
      </c>
      <c r="E62" s="67" t="b">
        <f>IF(D62="Compliant",TRUE,FALSE)</f>
        <v>0</v>
      </c>
      <c r="F62" s="44"/>
      <c r="G62" s="44" t="str">
        <f>IF(I62&lt;&gt;"", "Not Blank", "")</f>
        <v/>
      </c>
      <c r="H62" s="44"/>
      <c r="I62" s="2164"/>
      <c r="J62" s="44" t="str">
        <f t="shared" si="0"/>
        <v/>
      </c>
      <c r="K62" s="44"/>
      <c r="L62" s="2164"/>
      <c r="M62" s="2339"/>
      <c r="N62" s="4447"/>
      <c r="O62" s="4441"/>
      <c r="P62" s="2339"/>
      <c r="Q62" s="2214" t="s">
        <v>3</v>
      </c>
      <c r="R62" s="716" t="b">
        <f>IF(OR(Q62="Compliant",Q62="FE with work-a-round",Q62="Functionally Equivalent"),TRUE,FALSE)</f>
        <v>0</v>
      </c>
      <c r="S62" s="44"/>
      <c r="T62" s="44"/>
      <c r="U62" s="68"/>
      <c r="V62" s="4447"/>
      <c r="W62" s="4691"/>
      <c r="X62" s="44"/>
      <c r="Y62" s="44"/>
      <c r="Z62" s="122"/>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row>
    <row r="63" spans="1:169" s="27" customFormat="1" ht="43.5" x14ac:dyDescent="0.3">
      <c r="A63" s="60"/>
      <c r="B63" s="1504"/>
      <c r="C63" s="454" t="s">
        <v>638</v>
      </c>
      <c r="D63" s="319" t="s">
        <v>3</v>
      </c>
      <c r="E63" s="67" t="b">
        <f>IF(D63="Compliant",TRUE,FALSE)</f>
        <v>0</v>
      </c>
      <c r="F63" s="44"/>
      <c r="G63" s="44" t="str">
        <f>IF(I63&lt;&gt;"", "Not Blank", "")</f>
        <v/>
      </c>
      <c r="H63" s="44"/>
      <c r="I63" s="44"/>
      <c r="J63" s="44" t="str">
        <f t="shared" si="0"/>
        <v/>
      </c>
      <c r="K63" s="44"/>
      <c r="L63" s="44"/>
      <c r="M63" s="362"/>
      <c r="N63" s="4447"/>
      <c r="O63" s="4441"/>
      <c r="P63" s="419"/>
      <c r="Q63" s="1060"/>
      <c r="R63" s="716" t="b">
        <f>IF(OR(Q63="Compliant",Q63="FE with work-a-round",Q63="Functionally Equivalent"),TRUE,FALSE)</f>
        <v>0</v>
      </c>
      <c r="S63" s="44"/>
      <c r="T63" s="44"/>
      <c r="U63" s="68"/>
      <c r="V63" s="4447"/>
      <c r="W63" s="4691"/>
      <c r="X63" s="44"/>
      <c r="Y63" s="44"/>
      <c r="Z63" s="122"/>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row>
    <row r="64" spans="1:169" s="27" customFormat="1" ht="29" x14ac:dyDescent="0.3">
      <c r="A64" s="60"/>
      <c r="B64" s="1504"/>
      <c r="C64" s="454" t="s">
        <v>635</v>
      </c>
      <c r="D64" s="319" t="s">
        <v>3</v>
      </c>
      <c r="E64" s="67" t="b">
        <f>IF(D64="Compliant",TRUE,FALSE)</f>
        <v>0</v>
      </c>
      <c r="F64" s="44"/>
      <c r="G64" s="44" t="str">
        <f>IF(I64&lt;&gt;"", "Not Blank", "")</f>
        <v/>
      </c>
      <c r="H64" s="44"/>
      <c r="I64" s="44"/>
      <c r="J64" s="44" t="str">
        <f t="shared" si="0"/>
        <v/>
      </c>
      <c r="K64" s="44"/>
      <c r="L64" s="44"/>
      <c r="M64" s="362"/>
      <c r="N64" s="4447"/>
      <c r="O64" s="4441"/>
      <c r="P64" s="419"/>
      <c r="Q64" s="1060"/>
      <c r="R64" s="716" t="b">
        <f>IF(OR(Q64="Compliant",Q64="FE with work-a-round",Q64="Functionally Equivalent"),TRUE,FALSE)</f>
        <v>0</v>
      </c>
      <c r="S64" s="44"/>
      <c r="T64" s="44"/>
      <c r="U64" s="68"/>
      <c r="V64" s="4447"/>
      <c r="W64" s="4691"/>
      <c r="X64" s="44"/>
      <c r="Y64" s="44"/>
      <c r="Z64" s="122"/>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row>
    <row r="65" spans="1:169" s="27" customFormat="1" ht="44" thickBot="1" x14ac:dyDescent="0.35">
      <c r="A65" s="60">
        <v>6.2</v>
      </c>
      <c r="B65" s="1505"/>
      <c r="C65" s="3135" t="s">
        <v>564</v>
      </c>
      <c r="D65" s="230" t="s">
        <v>3</v>
      </c>
      <c r="E65" s="161" t="b">
        <f>IF(D65="Compliant",TRUE,FALSE)</f>
        <v>0</v>
      </c>
      <c r="F65" s="124"/>
      <c r="G65" s="124" t="str">
        <f>IF(I65&lt;&gt;"", "Not Blank", "")</f>
        <v/>
      </c>
      <c r="H65" s="124"/>
      <c r="I65" s="124"/>
      <c r="J65" s="124" t="str">
        <f t="shared" si="0"/>
        <v/>
      </c>
      <c r="K65" s="124"/>
      <c r="L65" s="124"/>
      <c r="M65" s="363"/>
      <c r="N65" s="4448" t="s">
        <v>3</v>
      </c>
      <c r="O65" s="4442"/>
      <c r="P65" s="421"/>
      <c r="Q65" s="1017"/>
      <c r="R65" s="921" t="b">
        <f>IF(OR(Q65="Compliant",Q65="FE with work-a-round",Q65="Functionally Equivalent"),TRUE,FALSE)</f>
        <v>0</v>
      </c>
      <c r="S65" s="124"/>
      <c r="T65" s="124"/>
      <c r="U65" s="246"/>
      <c r="V65" s="4448" t="s">
        <v>3</v>
      </c>
      <c r="W65" s="4692"/>
      <c r="X65" s="124"/>
      <c r="Y65" s="124"/>
      <c r="Z65" s="125"/>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row>
    <row r="66" spans="1:169" s="3730" customFormat="1" ht="15.5" thickTop="1" thickBot="1" x14ac:dyDescent="0.35">
      <c r="A66" s="3668"/>
      <c r="B66" s="3634"/>
      <c r="C66" s="3634"/>
      <c r="D66" s="3634"/>
      <c r="E66" s="3634"/>
      <c r="F66" s="3634"/>
      <c r="G66" s="3634"/>
      <c r="H66" s="3634"/>
      <c r="I66" s="3634"/>
      <c r="J66" s="3634"/>
      <c r="K66" s="3634"/>
      <c r="L66" s="3664"/>
      <c r="M66" s="3694"/>
      <c r="N66" s="3729"/>
      <c r="O66" s="3634"/>
      <c r="P66" s="3634"/>
      <c r="Q66" s="3634"/>
      <c r="R66" s="3634"/>
      <c r="S66" s="3634"/>
      <c r="T66" s="3634"/>
      <c r="U66" s="3634"/>
      <c r="V66" s="3634"/>
      <c r="W66" s="3643"/>
      <c r="X66" s="3634"/>
      <c r="Y66" s="3634"/>
      <c r="Z66" s="3634"/>
      <c r="AA66" s="3634"/>
      <c r="AB66" s="3634"/>
      <c r="AC66" s="3634"/>
      <c r="AD66" s="3634"/>
      <c r="AE66" s="3634"/>
      <c r="AF66" s="3634"/>
      <c r="AG66" s="3634"/>
      <c r="AH66" s="3634"/>
      <c r="AI66" s="3634"/>
      <c r="AJ66" s="3634"/>
      <c r="AK66" s="3634"/>
      <c r="AL66" s="3634"/>
      <c r="AM66" s="3634"/>
      <c r="AN66" s="3634"/>
      <c r="AO66" s="3634"/>
      <c r="AP66" s="3634"/>
      <c r="AQ66" s="3634"/>
      <c r="AR66" s="3634"/>
      <c r="AS66" s="3634"/>
      <c r="AT66" s="3634"/>
      <c r="AU66" s="3634"/>
      <c r="AV66" s="3634"/>
      <c r="AW66" s="3634"/>
      <c r="AX66" s="3634"/>
      <c r="AY66" s="3634"/>
      <c r="AZ66" s="3634"/>
      <c r="BA66" s="3634"/>
      <c r="BB66" s="3634"/>
      <c r="BC66" s="3634"/>
      <c r="BD66" s="3634"/>
      <c r="BE66" s="3634"/>
      <c r="BF66" s="3634"/>
      <c r="BG66" s="3634"/>
      <c r="BH66" s="3634"/>
      <c r="BI66" s="3634"/>
      <c r="BJ66" s="3634"/>
      <c r="BK66" s="3634"/>
      <c r="BL66" s="3634"/>
      <c r="BM66" s="3634"/>
      <c r="BN66" s="3634"/>
      <c r="BO66" s="3634"/>
      <c r="BP66" s="3634"/>
      <c r="BQ66" s="3634"/>
      <c r="BR66" s="3634"/>
      <c r="BS66" s="3634"/>
      <c r="BT66" s="3634"/>
      <c r="BU66" s="3634"/>
      <c r="BV66" s="3634"/>
      <c r="BW66" s="3634"/>
      <c r="BX66" s="3634"/>
      <c r="BY66" s="3634"/>
      <c r="BZ66" s="3634"/>
      <c r="CA66" s="3634"/>
      <c r="CB66" s="3634"/>
      <c r="CC66" s="3634"/>
      <c r="CD66" s="3634"/>
      <c r="CE66" s="3634"/>
      <c r="CF66" s="3634"/>
      <c r="CG66" s="3634"/>
      <c r="CH66" s="3634"/>
      <c r="CI66" s="3634"/>
      <c r="CJ66" s="3634"/>
      <c r="CK66" s="3634"/>
      <c r="CL66" s="3634"/>
      <c r="CM66" s="3634"/>
      <c r="CN66" s="3634"/>
      <c r="CO66" s="3634"/>
      <c r="CP66" s="3634"/>
      <c r="CQ66" s="3634"/>
      <c r="CR66" s="3634"/>
      <c r="CS66" s="3634"/>
      <c r="CT66" s="3634"/>
      <c r="CU66" s="3634"/>
      <c r="CV66" s="3634"/>
      <c r="CW66" s="3634"/>
      <c r="CX66" s="3634"/>
      <c r="CY66" s="3634"/>
      <c r="CZ66" s="3634"/>
      <c r="DA66" s="3634"/>
      <c r="DB66" s="3634"/>
      <c r="DC66" s="3634"/>
      <c r="DD66" s="3634"/>
      <c r="DE66" s="3634"/>
      <c r="DF66" s="3634"/>
      <c r="DG66" s="3634"/>
      <c r="DH66" s="3634"/>
      <c r="DI66" s="3634"/>
      <c r="DJ66" s="3634"/>
      <c r="DK66" s="3634"/>
      <c r="DL66" s="3634"/>
      <c r="DM66" s="3634"/>
      <c r="DN66" s="3634"/>
      <c r="DO66" s="3634"/>
      <c r="DP66" s="3634"/>
      <c r="DQ66" s="3634"/>
      <c r="DR66" s="3634"/>
      <c r="DS66" s="3634"/>
      <c r="DT66" s="3634"/>
      <c r="DU66" s="3634"/>
      <c r="DV66" s="3634"/>
      <c r="DW66" s="3634"/>
      <c r="DX66" s="3634"/>
      <c r="DY66" s="3634"/>
      <c r="DZ66" s="3634"/>
      <c r="EA66" s="3634"/>
      <c r="EB66" s="3634"/>
      <c r="EC66" s="3634"/>
      <c r="ED66" s="3634"/>
      <c r="EE66" s="3634"/>
      <c r="EF66" s="3634"/>
      <c r="EG66" s="3634"/>
      <c r="EH66" s="3634"/>
      <c r="EI66" s="3634"/>
      <c r="EJ66" s="3634"/>
      <c r="EK66" s="3634"/>
      <c r="EL66" s="3634"/>
      <c r="EM66" s="3634"/>
      <c r="EN66" s="3634"/>
      <c r="EO66" s="3634"/>
      <c r="EP66" s="3634"/>
      <c r="EQ66" s="3634"/>
      <c r="ER66" s="3634"/>
      <c r="ES66" s="3634"/>
      <c r="ET66" s="3634"/>
      <c r="EU66" s="3634"/>
      <c r="EV66" s="3634"/>
      <c r="EW66" s="3634"/>
      <c r="EX66" s="3634"/>
      <c r="EY66" s="3634"/>
      <c r="EZ66" s="3634"/>
      <c r="FA66" s="3634"/>
      <c r="FB66" s="3634"/>
      <c r="FC66" s="3634"/>
      <c r="FD66" s="3634"/>
      <c r="FE66" s="3634"/>
      <c r="FF66" s="3634"/>
      <c r="FG66" s="3634"/>
      <c r="FH66" s="3634"/>
      <c r="FI66" s="3634"/>
      <c r="FJ66" s="3634"/>
      <c r="FK66" s="3634"/>
      <c r="FL66" s="3634"/>
      <c r="FM66" s="3634"/>
    </row>
    <row r="67" spans="1:169" s="27" customFormat="1" ht="30" thickTop="1" thickBot="1" x14ac:dyDescent="0.35">
      <c r="A67" s="97">
        <v>7</v>
      </c>
      <c r="B67" s="3132" t="s">
        <v>433</v>
      </c>
      <c r="C67" s="3099" t="s">
        <v>1939</v>
      </c>
      <c r="D67" s="1914" t="s">
        <v>565</v>
      </c>
      <c r="E67" s="995" t="b">
        <f>IF(AND(E68=TRUE,E69=TRUE,E74=TRUE,E77=TRUE,E82=TRUE,E85=TRUE,E86=TRUE,E87=TRUE,E88=TRUE,E89=TRUE,E90=TRUE,E91=TRUE),TRUE,FALSE)</f>
        <v>0</v>
      </c>
      <c r="F67" s="689">
        <f>COUNTIF(E68,TRUE)+COUNTIF(E70:E73,TRUE)+COUNTIF(E75:E76,TRUE)+COUNTIF(E78:E81,TRUE)+COUNTIF(E83:E90,TRUE)+COUNTIF(E92:E93,TRUE)</f>
        <v>0</v>
      </c>
      <c r="G67" s="689">
        <f>COUNTIFS(E68:E93,TRUE,G68:G93,"Not Blank")</f>
        <v>0</v>
      </c>
      <c r="H67" s="689">
        <f>COUNTIFS(E68:E93,FALSE,G68:G93,"Not Blank")</f>
        <v>0</v>
      </c>
      <c r="I67" s="3130" t="str">
        <f xml:space="preserve">
IF(F67&gt;21,"Too Many Entries - Check Red Lines",
IF(AND(E67=FALSE,G67=0,H67=0,E67=TRUE),"Nothing Required Below",
IF(G67&lt;F67,"Valid Entry required below - Check Amber Line/s",
IF(AND(E67=FALSE,G67=0,H67=0),"Nothing Entered below Yet",
IF(G67&lt;F67,"Valid Entry required below - Check Amber Line/s",
IF(AND(G67=0,H67&gt;0),"**Non-Valid Entry/ies below - Check Yellow Line/s",
IF(AND(G67&gt;0,H67&gt;0),"**Valid and Non-Valid Entries made below - Check Yellow Line/s",
IF(AND(E67=FALSE,F67&lt;21),"Not all requirements addressed below - Check Pink Line/s",
IF(AND(E67=FALSE,G67&lt;21,G67&gt;0,H67=0),"More entries to come",
IF(AND(E67,TRUE,G67=21,H67=0),"Valid Entries made below"
))))))))))</f>
        <v>Nothing Entered below Yet</v>
      </c>
      <c r="J67" s="3130">
        <f>COUNTIFS(E68:E93,TRUE,J68:J93,"Not Blank")</f>
        <v>0</v>
      </c>
      <c r="K67" s="3130">
        <f>COUNTIFS(E68:E93,FALSE,J68:J93,"Not Blank")</f>
        <v>0</v>
      </c>
      <c r="L67" s="3130" t="str">
        <f xml:space="preserve">
IF(J67&gt;21,"Too Many Entries - Check Red Lines",
IF(AND(E67=FALSE,J67=0,K67=0,E66=TRUE),"Nothing Required Below",
IF(J67&lt;F67,"Valid Entry required below - Check Amber Line/s",
IF(AND(E67=FALSE,J67=0,K67=0),"Nothing Entered below Yet",
IF(AND(J67=0,K67&gt;0),"**Non-Valid Entry/ies below - Check Yellow Line/s",
IF(AND(J67&gt;0,K67&gt;0),"**Valid and Non-Valid Entries made below - Check Yellow Line/s",
IF(AND(E67=FALSE,J67&lt;21),"Not all requirements addressed below - Check Pink Line/s",
IF(AND(E67=FALSE,J67&lt;21,J67&gt;0,K67=0),"More entries to come",
IF(AND(E67,TRUE,J67=21,K67=0),"Valid Entries made below"
)))))))))</f>
        <v>Nothing Entered below Yet</v>
      </c>
      <c r="M67" s="579"/>
      <c r="N67" s="3972" t="s">
        <v>565</v>
      </c>
      <c r="O67" s="231" t="b">
        <f>IF(AND(O68=TRUE,O69=TRUE,O74=TRUE,O77=TRUE,O82=TRUE,O91=TRUE),TRUE,FALSE)</f>
        <v>0</v>
      </c>
      <c r="P67" s="579"/>
      <c r="Q67" s="3972" t="s">
        <v>565</v>
      </c>
      <c r="R67" s="231" t="b">
        <f>IF(AND(R68=TRUE,R69=TRUE,R74=TRUE,R77=TRUE,R82=TRUE,R85=TRUE,R86=TRUE,R87=TRUE,R88=TRUE,R89=TRUE,R90=TRUE,R91=TRUE),TRUE,FALSE)</f>
        <v>0</v>
      </c>
      <c r="S67" s="133"/>
      <c r="T67" s="133"/>
      <c r="U67" s="579"/>
      <c r="V67" s="3972" t="s">
        <v>565</v>
      </c>
      <c r="W67" s="892" t="b">
        <f>IF(AND(W68=TRUE,W69=TRUE,W74=TRUE,W77=TRUE,W82=TRUE,W91=TRUE),TRUE,FALSE)</f>
        <v>0</v>
      </c>
      <c r="X67" s="133"/>
      <c r="Y67" s="133"/>
      <c r="Z67" s="134"/>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row>
    <row r="68" spans="1:169" s="27" customFormat="1" ht="44.5" thickTop="1" thickBot="1" x14ac:dyDescent="0.35">
      <c r="A68" s="39">
        <v>7.1</v>
      </c>
      <c r="B68" s="1810"/>
      <c r="C68" s="3099" t="s">
        <v>639</v>
      </c>
      <c r="D68" s="102" t="s">
        <v>3</v>
      </c>
      <c r="E68" s="41" t="b">
        <f>IF(D68="Compliant",TRUE,FALSE)</f>
        <v>0</v>
      </c>
      <c r="F68" s="42"/>
      <c r="G68" s="42" t="str">
        <f>IF(I68&lt;&gt;"", "Not Blank", "")</f>
        <v/>
      </c>
      <c r="H68" s="42"/>
      <c r="I68" s="133"/>
      <c r="J68" s="42" t="str">
        <f t="shared" ref="J68:J93" si="1">IF(L68&lt;&gt;"", "Not Blank", "")</f>
        <v/>
      </c>
      <c r="K68" s="42"/>
      <c r="L68" s="705"/>
      <c r="M68" s="2329"/>
      <c r="N68" s="1375" t="s">
        <v>3</v>
      </c>
      <c r="O68" s="1015" t="b">
        <f>IF(OR(N68="Compliant",N68="FE with work-a-round",N68="Functionally Equivalent"),TRUE,FALSE)</f>
        <v>0</v>
      </c>
      <c r="P68" s="987"/>
      <c r="Q68" s="1376" t="s">
        <v>3</v>
      </c>
      <c r="R68" s="1082" t="b">
        <f>IF(OR(Q68="Compliant",Q68="FE with work-a-round",Q68="Functionally Equivalent"),TRUE,FALSE)</f>
        <v>0</v>
      </c>
      <c r="S68" s="42"/>
      <c r="T68" s="42"/>
      <c r="U68" s="144"/>
      <c r="V68" s="1375" t="s">
        <v>3</v>
      </c>
      <c r="W68" s="917" t="b">
        <f>IF(OR(V68="Compliant",V68="FE with work-a-round",V68="Functionally Equivalent",V68="Not Required/Applicable"),TRUE,FALSE)</f>
        <v>0</v>
      </c>
      <c r="X68" s="42"/>
      <c r="Y68" s="42"/>
      <c r="Z68" s="1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row>
    <row r="69" spans="1:169" s="27" customFormat="1" ht="29.5" thickTop="1" x14ac:dyDescent="0.3">
      <c r="A69" s="60">
        <v>7.2</v>
      </c>
      <c r="B69" s="3150" t="s">
        <v>1702</v>
      </c>
      <c r="C69" s="3151" t="s">
        <v>671</v>
      </c>
      <c r="D69" s="2250" t="s">
        <v>565</v>
      </c>
      <c r="E69" s="934" t="b">
        <f>IF(AND(E70=TRUE,E71=TRUE,E72=TRUE,E73=TRUE),TRUE,FALSE)</f>
        <v>0</v>
      </c>
      <c r="F69" s="197">
        <f>COUNTIF(E70:E73,TRUE)</f>
        <v>0</v>
      </c>
      <c r="G69" s="50">
        <f>COUNTIFS(E70:E73,TRUE,G70:G73,"Not Blank")</f>
        <v>0</v>
      </c>
      <c r="H69" s="50">
        <f>COUNTIFS(E70:E73,FALSE,G70:G73,"Not Blank")</f>
        <v>0</v>
      </c>
      <c r="I69" s="3152" t="str">
        <f xml:space="preserve">
IF(F69&gt;4,"Too Many Entries - Check Red Lines",
IF(AND(E69=FALSE,G69=0,H69=0,E69=TRUE),"Nothing Required Below",
IF(G69&lt;F69,"Valid Entry required below - Check Amber Line/s",
IF(AND(E69=FALSE,G69=0,H69=0),"Nothing Entered below Yet",
IF(G69&lt;F69,"Valid Entry required below - Check Amber Line/s",
IF(AND(G69=0,H69&gt;0),"**Non-Valid Entry/ies below - Check Yellow Line/s",
IF(AND(G69&gt;0,H69&gt;0),"**Valid and Non-Valid Entries made below - Check Yellow Line/s",
IF(AND(E69=FALSE,F69&lt;4),"Not all requirements addressed below - Check Pink Line/s",
IF(AND(E69=FALSE,G69&lt;4,G69&gt;0,H69=0),"More entries to come",
IF(AND(E69,TRUE,G69=4,H69=0),"Valid Entries made below"
))))))))))</f>
        <v>Nothing Entered below Yet</v>
      </c>
      <c r="J69" s="3153">
        <f>COUNTIFS(E70:E73,TRUE,J70:J73,"Not Blank")</f>
        <v>0</v>
      </c>
      <c r="K69" s="3153">
        <f>COUNTIFS(E70:E73,FALSE,J70:J73,"Not Blank")</f>
        <v>0</v>
      </c>
      <c r="L69" s="3154" t="str">
        <f xml:space="preserve">
IF(J69&gt;4,"Too Many Entries - Check Red Lines",
IF(AND(E69=FALSE,J69=0,K69=0,E68=TRUE),"Nothing Required Below",
IF(J69&lt;F69,"Valid Entry required below - Check Amber Line/s",
IF(AND(E69=FALSE,J69=0,K69=0),"Nothing Entered below Yet",
IF(AND(J69=0,K69&gt;0),"**Non-Valid Entry/ies below - Check Yellow Line/s",
IF(AND(J69&gt;0,K69&gt;0),"**Valid and Non-Valid Entries made below - Check Yellow Line/s",
IF(AND(E69=FALSE,J69&lt;4),"Not all requirements addressed below - Check Pink Line/s",
IF(AND(E69=FALSE,J69&lt;4,J69&gt;0,K69=0),"More entries to come",
IF(AND(E69,TRUE,J69=4,K69=0),"Valid Entries made below"
)))))))))</f>
        <v>Nothing Entered below Yet</v>
      </c>
      <c r="M69" s="2338"/>
      <c r="N69" s="4719"/>
      <c r="O69" s="4627" t="b">
        <f>IF(OR(N69="Compliant",N69="FE with work-a-round",N69="Functionally Equivalent"),TRUE,FALSE)</f>
        <v>0</v>
      </c>
      <c r="P69" s="807"/>
      <c r="Q69" s="4187" t="s">
        <v>565</v>
      </c>
      <c r="R69" s="67" t="b">
        <f>IF(AND(R70=TRUE,R71=TRUE,R72=TRUE,R73=TRUE),TRUE,FALSE)</f>
        <v>0</v>
      </c>
      <c r="S69" s="44"/>
      <c r="T69" s="44"/>
      <c r="U69" s="68"/>
      <c r="V69" s="4446"/>
      <c r="W69" s="4691" t="b">
        <f>IF(OR(V69="Compliant",V69="FE with work-a-round",V69="Functionally Equivalent",V69="Not Required/Applicable"),TRUE,FALSE)</f>
        <v>0</v>
      </c>
      <c r="X69" s="44"/>
      <c r="Y69" s="44"/>
      <c r="Z69" s="122"/>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row>
    <row r="70" spans="1:169" s="27" customFormat="1" ht="29" x14ac:dyDescent="0.3">
      <c r="A70" s="60"/>
      <c r="B70" s="1504"/>
      <c r="C70" s="3134" t="s">
        <v>677</v>
      </c>
      <c r="D70" s="1013" t="s">
        <v>3</v>
      </c>
      <c r="E70" s="67" t="b">
        <f>IF(D70="Compliant",TRUE,FALSE)</f>
        <v>0</v>
      </c>
      <c r="F70" s="44"/>
      <c r="G70" s="44" t="str">
        <f t="shared" ref="G70:G93" si="2">IF(I70&lt;&gt;"", "Not Blank", "")</f>
        <v/>
      </c>
      <c r="H70" s="44"/>
      <c r="I70" s="42"/>
      <c r="J70" s="42" t="str">
        <f t="shared" si="1"/>
        <v/>
      </c>
      <c r="K70" s="42"/>
      <c r="L70" s="42"/>
      <c r="M70" s="455"/>
      <c r="N70" s="4447"/>
      <c r="O70" s="4627"/>
      <c r="P70" s="2177"/>
      <c r="Q70" s="2214" t="s">
        <v>3</v>
      </c>
      <c r="R70" s="716" t="b">
        <f>IF(OR(Q70="Compliant",Q70="FE with work-a-round",Q70="Functionally Equivalent"),TRUE,FALSE)</f>
        <v>0</v>
      </c>
      <c r="S70" s="44"/>
      <c r="T70" s="44"/>
      <c r="U70" s="68"/>
      <c r="V70" s="4447"/>
      <c r="W70" s="4691"/>
      <c r="X70" s="44"/>
      <c r="Y70" s="44"/>
      <c r="Z70" s="122"/>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row>
    <row r="71" spans="1:169" s="27" customFormat="1" ht="29" x14ac:dyDescent="0.3">
      <c r="A71" s="60"/>
      <c r="B71" s="1504"/>
      <c r="C71" s="454" t="s">
        <v>640</v>
      </c>
      <c r="D71" s="319" t="s">
        <v>3</v>
      </c>
      <c r="E71" s="67" t="b">
        <f>IF(D71="Compliant",TRUE,FALSE)</f>
        <v>0</v>
      </c>
      <c r="F71" s="44"/>
      <c r="G71" s="44"/>
      <c r="H71" s="44"/>
      <c r="I71" s="44"/>
      <c r="J71" s="44" t="str">
        <f t="shared" si="1"/>
        <v/>
      </c>
      <c r="K71" s="44"/>
      <c r="L71" s="44"/>
      <c r="M71" s="419"/>
      <c r="N71" s="4447"/>
      <c r="O71" s="4627"/>
      <c r="P71" s="68"/>
      <c r="Q71" s="1060"/>
      <c r="R71" s="716" t="b">
        <f>IF(OR(Q71="Compliant",Q71="FE with work-a-round",Q71="Functionally Equivalent"),TRUE,FALSE)</f>
        <v>0</v>
      </c>
      <c r="S71" s="44"/>
      <c r="T71" s="44"/>
      <c r="U71" s="68"/>
      <c r="V71" s="4447"/>
      <c r="W71" s="4691"/>
      <c r="X71" s="44"/>
      <c r="Y71" s="44"/>
      <c r="Z71" s="122"/>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row>
    <row r="72" spans="1:169" s="27" customFormat="1" ht="43.5" x14ac:dyDescent="0.3">
      <c r="A72" s="60"/>
      <c r="B72" s="1504"/>
      <c r="C72" s="454" t="s">
        <v>641</v>
      </c>
      <c r="D72" s="319" t="s">
        <v>3</v>
      </c>
      <c r="E72" s="67" t="b">
        <f>IF(D72="Compliant",TRUE,FALSE)</f>
        <v>0</v>
      </c>
      <c r="F72" s="44"/>
      <c r="G72" s="44" t="str">
        <f t="shared" si="2"/>
        <v/>
      </c>
      <c r="H72" s="44"/>
      <c r="I72" s="44"/>
      <c r="J72" s="44" t="str">
        <f t="shared" si="1"/>
        <v/>
      </c>
      <c r="K72" s="44"/>
      <c r="L72" s="44"/>
      <c r="M72" s="419"/>
      <c r="N72" s="4447"/>
      <c r="O72" s="4627"/>
      <c r="P72" s="68"/>
      <c r="Q72" s="1060"/>
      <c r="R72" s="716" t="b">
        <f>IF(OR(Q72="Compliant",Q72="FE with work-a-round",Q72="Functionally Equivalent"),TRUE,FALSE)</f>
        <v>0</v>
      </c>
      <c r="S72" s="44"/>
      <c r="T72" s="44"/>
      <c r="U72" s="68"/>
      <c r="V72" s="4447"/>
      <c r="W72" s="4691"/>
      <c r="X72" s="44"/>
      <c r="Y72" s="44"/>
      <c r="Z72" s="122"/>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row>
    <row r="73" spans="1:169" s="27" customFormat="1" ht="44" thickBot="1" x14ac:dyDescent="0.35">
      <c r="A73" s="60"/>
      <c r="B73" s="1504"/>
      <c r="C73" s="866" t="s">
        <v>642</v>
      </c>
      <c r="D73" s="230" t="s">
        <v>3</v>
      </c>
      <c r="E73" s="67" t="b">
        <f>IF(D73="Compliant",TRUE,FALSE)</f>
        <v>0</v>
      </c>
      <c r="F73" s="44"/>
      <c r="G73" s="44" t="str">
        <f t="shared" si="2"/>
        <v/>
      </c>
      <c r="H73" s="44"/>
      <c r="I73" s="124"/>
      <c r="J73" s="124" t="str">
        <f t="shared" si="1"/>
        <v/>
      </c>
      <c r="K73" s="124"/>
      <c r="L73" s="124"/>
      <c r="M73" s="363"/>
      <c r="N73" s="4633" t="s">
        <v>3</v>
      </c>
      <c r="O73" s="4627"/>
      <c r="P73" s="143"/>
      <c r="Q73" s="1017"/>
      <c r="R73" s="716" t="b">
        <f>IF(OR(Q73="Compliant",Q73="FE with work-a-round",Q73="Functionally Equivalent"),TRUE,FALSE)</f>
        <v>0</v>
      </c>
      <c r="S73" s="44"/>
      <c r="T73" s="44"/>
      <c r="U73" s="68"/>
      <c r="V73" s="4448" t="s">
        <v>3</v>
      </c>
      <c r="W73" s="4691"/>
      <c r="X73" s="44"/>
      <c r="Y73" s="44"/>
      <c r="Z73" s="122"/>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row>
    <row r="74" spans="1:169" s="27" customFormat="1" ht="29.5" thickTop="1" x14ac:dyDescent="0.3">
      <c r="A74" s="60">
        <v>7.3</v>
      </c>
      <c r="B74" s="3150" t="s">
        <v>1722</v>
      </c>
      <c r="C74" s="2154" t="s">
        <v>672</v>
      </c>
      <c r="D74" s="2243" t="s">
        <v>565</v>
      </c>
      <c r="E74" s="67" t="b">
        <f>IF(AND(E75=TRUE,E76=TRUE),TRUE,FALSE)</f>
        <v>0</v>
      </c>
      <c r="F74" s="44"/>
      <c r="G74" s="1443"/>
      <c r="H74" s="1443"/>
      <c r="I74" s="3154" t="str">
        <f xml:space="preserve">
IF(F74&gt;2,"Too Many Entries - Check Red Lines",
IF(AND(E74=FALSE,G74=0,H74=0,E74=TRUE),"Nothing Required Below",
IF(G74&lt;F74,"Valid Entry required below - Check Amber Line/s",
IF(AND(E74=FALSE,G74=0,H74=0),"Nothing Entered below Yet",
IF(G74&lt;F74,"Valid Entry required below - Check Amber Line/s",
IF(AND(G74=0,H74&gt;0),"**Non-Valid Entry/ies below - Check Yellow Line/s",
IF(AND(G74&gt;0,H74&gt;0),"**Valid and Non-Valid Entries made below - Check Yellow Line/s",
IF(AND(E74=FALSE,F74&lt;2),"Not all requirements addressed below - Check Pink Line/s",
IF(AND(E74=FALSE,G74&lt;2,G74&gt;0,H74=0),"More entries to come",
IF(AND(E74,TRUE,G74=2,H74=0),"Valid Entries made below"
))))))))))</f>
        <v>Nothing Entered below Yet</v>
      </c>
      <c r="J74" s="3154">
        <f>COUNTIFS(E75:E76,TRUE,J75:J76,"Not Blank")</f>
        <v>0</v>
      </c>
      <c r="K74" s="3154">
        <f>COUNTIFS(E75:E76,FALSE,J75:J76,"Not Blank")</f>
        <v>0</v>
      </c>
      <c r="L74" s="3154" t="str">
        <f xml:space="preserve">
IF(J74&gt;2,"Too Many Entries - Check Red Lines",
IF(AND(E74=FALSE,J74=0,K74=0,E73=TRUE),"Nothing Required Below",
IF(J74&lt;F74,"Valid Entry required below - Check Amber Line/s",
IF(AND(E74=FALSE,J74=0,K74=0),"Nothing Entered below Yet",
IF(AND(J74=0,K74&gt;0),"**Non-Valid Entry/ies below - Check Yellow Line/s",
IF(AND(J74&gt;0,K74&gt;0),"**Valid and Non-Valid Entries made below - Check Yellow Line/s",
IF(AND(E74=FALSE,J74&lt;2),"Not all requirements addressed below - Check Pink Line/s",
IF(AND(E74=FALSE,J74&lt;2,J74&gt;0,K74=0),"More entries to come",
IF(AND(E74,TRUE,J74=2,K74=0),"Valid Entries made below"
)))))))))</f>
        <v>Nothing Entered below Yet</v>
      </c>
      <c r="M74" s="2338"/>
      <c r="N74" s="4719"/>
      <c r="O74" s="4627" t="b">
        <f>IF(OR(N74="Compliant",N74="FE with work-a-round",N74="Functionally Equivalent"),TRUE,FALSE)</f>
        <v>0</v>
      </c>
      <c r="P74" s="2176"/>
      <c r="Q74" s="4190" t="s">
        <v>565</v>
      </c>
      <c r="R74" s="67" t="b">
        <f>IF(AND(R75=TRUE,R76=TRUE),TRUE,FALSE)</f>
        <v>0</v>
      </c>
      <c r="S74" s="44"/>
      <c r="T74" s="44"/>
      <c r="U74" s="68"/>
      <c r="V74" s="4446"/>
      <c r="W74" s="4691" t="b">
        <f>IF(OR(V74="Compliant",V74="FE with work-a-round",V74="Functionally Equivalent",V74="Not Required/Applicable"),TRUE,FALSE)</f>
        <v>0</v>
      </c>
      <c r="X74" s="44"/>
      <c r="Y74" s="44"/>
      <c r="Z74" s="122"/>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row>
    <row r="75" spans="1:169" s="27" customFormat="1" ht="29" x14ac:dyDescent="0.3">
      <c r="A75" s="60"/>
      <c r="B75" s="1504"/>
      <c r="C75" s="3134" t="s">
        <v>643</v>
      </c>
      <c r="D75" s="1013" t="s">
        <v>3</v>
      </c>
      <c r="E75" s="67" t="b">
        <f>IF(D75="Compliant",TRUE,FALSE)</f>
        <v>0</v>
      </c>
      <c r="F75" s="44"/>
      <c r="G75" s="44" t="str">
        <f t="shared" si="2"/>
        <v/>
      </c>
      <c r="H75" s="44"/>
      <c r="I75" s="42"/>
      <c r="J75" s="42" t="str">
        <f t="shared" si="1"/>
        <v/>
      </c>
      <c r="K75" s="42"/>
      <c r="L75" s="42"/>
      <c r="M75" s="455"/>
      <c r="N75" s="4447"/>
      <c r="O75" s="4627"/>
      <c r="P75" s="144"/>
      <c r="Q75" s="1863" t="s">
        <v>3</v>
      </c>
      <c r="R75" s="716" t="b">
        <f>IF(OR(Q75="Compliant",Q75="FE with work-a-round",Q75="Functionally Equivalent"),TRUE,FALSE)</f>
        <v>0</v>
      </c>
      <c r="S75" s="44"/>
      <c r="T75" s="44"/>
      <c r="U75" s="68"/>
      <c r="V75" s="4447"/>
      <c r="W75" s="4691"/>
      <c r="X75" s="44"/>
      <c r="Y75" s="44"/>
      <c r="Z75" s="122"/>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row>
    <row r="76" spans="1:169" s="27" customFormat="1" ht="44" thickBot="1" x14ac:dyDescent="0.35">
      <c r="A76" s="60"/>
      <c r="B76" s="1504"/>
      <c r="C76" s="866" t="s">
        <v>437</v>
      </c>
      <c r="D76" s="230" t="s">
        <v>3</v>
      </c>
      <c r="E76" s="67" t="b">
        <f>IF(D76="Compliant",TRUE,FALSE)</f>
        <v>0</v>
      </c>
      <c r="F76" s="44"/>
      <c r="G76" s="44" t="str">
        <f t="shared" si="2"/>
        <v/>
      </c>
      <c r="H76" s="44"/>
      <c r="I76" s="79"/>
      <c r="J76" s="44" t="str">
        <f t="shared" si="1"/>
        <v/>
      </c>
      <c r="K76" s="44"/>
      <c r="L76" s="79"/>
      <c r="M76" s="2337"/>
      <c r="N76" s="4633"/>
      <c r="O76" s="4627"/>
      <c r="P76" s="125"/>
      <c r="Q76" s="1017"/>
      <c r="R76" s="716" t="b">
        <f>IF(OR(Q76="Compliant",Q76="FE with work-a-round",Q76="Functionally Equivalent"),TRUE,FALSE)</f>
        <v>0</v>
      </c>
      <c r="S76" s="44"/>
      <c r="T76" s="44"/>
      <c r="U76" s="68"/>
      <c r="V76" s="4448"/>
      <c r="W76" s="4691"/>
      <c r="X76" s="44"/>
      <c r="Y76" s="44"/>
      <c r="Z76" s="122"/>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row>
    <row r="77" spans="1:169" s="27" customFormat="1" ht="29.5" thickTop="1" x14ac:dyDescent="0.3">
      <c r="A77" s="60">
        <v>7.4</v>
      </c>
      <c r="B77" s="3150" t="s">
        <v>1703</v>
      </c>
      <c r="C77" s="2154" t="s">
        <v>595</v>
      </c>
      <c r="D77" s="2250" t="s">
        <v>565</v>
      </c>
      <c r="E77" s="934" t="b">
        <f>IF(AND(E78=TRUE,E79=TRUE,E80=TRUE),TRUE,FALSE)</f>
        <v>0</v>
      </c>
      <c r="F77" s="197">
        <f>COUNTIF(E78:E81,TRUE)</f>
        <v>0</v>
      </c>
      <c r="G77" s="50">
        <f>COUNTIFS(E78:E81,TRUE,G78:G81,"Not Blank")</f>
        <v>0</v>
      </c>
      <c r="H77" s="50">
        <f>COUNTIFS(E78:E81,FALSE,G78:G81,"Not Blank")</f>
        <v>0</v>
      </c>
      <c r="I77" s="3154" t="str">
        <f xml:space="preserve">
IF(F77&gt;4,"Too Many Entries - Check Red Lines",
IF(AND(E77=FALSE,G77=0,H77=0,E77=TRUE),"Nothing Required Below",
IF(G77&lt;F77,"Valid Entry required below - Check Amber Line/s",
IF(AND(E77=FALSE,G77=0,H77=0),"Nothing Entered below Yet",
IF(G77&lt;F77,"Valid Entry required below - Check Amber Line/s",
IF(AND(G77=0,H77&gt;0),"**Non-Valid Entry/ies below - Check Yellow Line/s",
IF(AND(G77&gt;0,H77&gt;0),"**Valid and Non-Valid Entries made below - Check Yellow Line/s",
IF(AND(E77=FALSE,F77&lt;4),"Not all requirements addressed below - Check Pink Line/s",
IF(AND(E77=FALSE,G77&lt;4,G77&gt;0,H77=0),"More entries to come",
IF(AND(E77,TRUE,G77=4,H77=0),"Valid Entries made below"
))))))))))</f>
        <v>Nothing Entered below Yet</v>
      </c>
      <c r="J77" s="3153">
        <f>COUNTIFS(E78:E81,TRUE,J78:J81,"Not Blank")</f>
        <v>0</v>
      </c>
      <c r="K77" s="3153">
        <f>COUNTIFS(E78:E81,FALSE,J78:J81,"Not Blank")</f>
        <v>0</v>
      </c>
      <c r="L77" s="3154" t="str">
        <f xml:space="preserve">
IF(J77&gt;4,"Too Many Entries - Check Red Lines",
IF(AND(E77=FALSE,J77=0,K77=0,E76=TRUE),"Nothing Required Below",
IF(J77&lt;F77,"Valid Entry required below - Check Amber Line/s",
IF(AND(E77=FALSE,J77=0,K77=0),"Nothing Entered below Yet",
IF(AND(J77=0,K77&gt;0),"**Non-Valid Entry/ies below - Check Yellow Line/s",
IF(AND(J77&gt;0,K77&gt;0),"**Valid and Non-Valid Entries made below - Check Yellow Line/s",
IF(AND(E77=FALSE,J77&lt;4),"Not all requirements addressed below - Check Pink Line/s",
IF(AND(E77=FALSE,J77&lt;4,J77&gt;0,K77=0),"More entries to come",
IF(AND(E77,TRUE,J77=4,K77=0),"Valid Entries made below"
)))))))))</f>
        <v>Nothing Entered below Yet</v>
      </c>
      <c r="M77" s="2338"/>
      <c r="N77" s="4719"/>
      <c r="O77" s="4627" t="b">
        <f>IF(OR(N77="Compliant",N77="FE with work-a-round",N77="Functionally Equivalent"),TRUE,FALSE)</f>
        <v>0</v>
      </c>
      <c r="P77" s="2249"/>
      <c r="Q77" s="4190" t="s">
        <v>565</v>
      </c>
      <c r="R77" s="67" t="b">
        <f>IF(AND(R78=TRUE,R79=TRUE,R80=TRUE),TRUE,FALSE)</f>
        <v>0</v>
      </c>
      <c r="S77" s="44"/>
      <c r="T77" s="44"/>
      <c r="U77" s="68"/>
      <c r="V77" s="4446"/>
      <c r="W77" s="4691" t="b">
        <f>IF(OR(V77="Compliant",V77="FE with work-a-round",V77="Functionally Equivalent",V77="Not Required/Applicable"),TRUE,FALSE)</f>
        <v>0</v>
      </c>
      <c r="X77" s="44"/>
      <c r="Y77" s="44"/>
      <c r="Z77" s="122"/>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row>
    <row r="78" spans="1:169" s="27" customFormat="1" ht="29" x14ac:dyDescent="0.3">
      <c r="A78" s="60"/>
      <c r="B78" s="1504"/>
      <c r="C78" s="3134" t="s">
        <v>673</v>
      </c>
      <c r="D78" s="1013" t="s">
        <v>3</v>
      </c>
      <c r="E78" s="67" t="b">
        <f>IF(D78="Compliant",TRUE,FALSE)</f>
        <v>0</v>
      </c>
      <c r="F78" s="44"/>
      <c r="G78" s="44" t="str">
        <f t="shared" si="2"/>
        <v/>
      </c>
      <c r="H78" s="44"/>
      <c r="I78" s="42"/>
      <c r="J78" s="42" t="str">
        <f t="shared" si="1"/>
        <v/>
      </c>
      <c r="K78" s="42"/>
      <c r="L78" s="42"/>
      <c r="M78" s="455"/>
      <c r="N78" s="4447" t="s">
        <v>3</v>
      </c>
      <c r="O78" s="4627"/>
      <c r="P78" s="144"/>
      <c r="Q78" s="1863" t="s">
        <v>3</v>
      </c>
      <c r="R78" s="716" t="b">
        <f>IF(OR(Q78="Compliant",Q78="FE with work-a-round",Q78="Functionally Equivalent"),TRUE,FALSE)</f>
        <v>0</v>
      </c>
      <c r="S78" s="44"/>
      <c r="T78" s="44"/>
      <c r="U78" s="68"/>
      <c r="V78" s="4447" t="s">
        <v>3</v>
      </c>
      <c r="W78" s="4691"/>
      <c r="X78" s="44"/>
      <c r="Y78" s="44"/>
      <c r="Z78" s="122"/>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row>
    <row r="79" spans="1:169" s="27" customFormat="1" ht="29" x14ac:dyDescent="0.3">
      <c r="A79" s="60"/>
      <c r="B79" s="1504"/>
      <c r="C79" s="454" t="s">
        <v>438</v>
      </c>
      <c r="D79" s="319" t="s">
        <v>3</v>
      </c>
      <c r="E79" s="67" t="b">
        <f>IF(D79="Compliant",TRUE,FALSE)</f>
        <v>0</v>
      </c>
      <c r="F79" s="44"/>
      <c r="G79" s="44" t="str">
        <f t="shared" si="2"/>
        <v/>
      </c>
      <c r="H79" s="44"/>
      <c r="I79" s="44"/>
      <c r="J79" s="44" t="str">
        <f t="shared" si="1"/>
        <v/>
      </c>
      <c r="K79" s="44"/>
      <c r="L79" s="44"/>
      <c r="M79" s="419"/>
      <c r="N79" s="4447"/>
      <c r="O79" s="4627"/>
      <c r="P79" s="68"/>
      <c r="Q79" s="1060"/>
      <c r="R79" s="716" t="b">
        <f>IF(OR(Q79="Compliant",Q79="FE with work-a-round",Q79="Functionally Equivalent"),TRUE,FALSE)</f>
        <v>0</v>
      </c>
      <c r="S79" s="44"/>
      <c r="T79" s="44"/>
      <c r="U79" s="68"/>
      <c r="V79" s="4447"/>
      <c r="W79" s="4691"/>
      <c r="X79" s="44"/>
      <c r="Y79" s="44"/>
      <c r="Z79" s="122"/>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row>
    <row r="80" spans="1:169" s="27" customFormat="1" ht="29" x14ac:dyDescent="0.3">
      <c r="A80" s="60"/>
      <c r="B80" s="1504"/>
      <c r="C80" s="454" t="s">
        <v>439</v>
      </c>
      <c r="D80" s="319" t="s">
        <v>3</v>
      </c>
      <c r="E80" s="67" t="b">
        <f>IF(D80="Compliant",TRUE,FALSE)</f>
        <v>0</v>
      </c>
      <c r="F80" s="44"/>
      <c r="G80" s="44" t="str">
        <f t="shared" si="2"/>
        <v/>
      </c>
      <c r="H80" s="44"/>
      <c r="I80" s="44"/>
      <c r="J80" s="44" t="str">
        <f t="shared" si="1"/>
        <v/>
      </c>
      <c r="K80" s="44"/>
      <c r="L80" s="44"/>
      <c r="M80" s="419"/>
      <c r="N80" s="4447"/>
      <c r="O80" s="4627"/>
      <c r="P80" s="68"/>
      <c r="Q80" s="1060"/>
      <c r="R80" s="716" t="b">
        <f>IF(OR(Q80="Compliant",Q80="FE with work-a-round",Q80="Functionally Equivalent"),TRUE,FALSE)</f>
        <v>0</v>
      </c>
      <c r="S80" s="44"/>
      <c r="T80" s="44"/>
      <c r="U80" s="68"/>
      <c r="V80" s="4447"/>
      <c r="W80" s="4691"/>
      <c r="X80" s="44"/>
      <c r="Y80" s="44"/>
      <c r="Z80" s="122"/>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row>
    <row r="81" spans="1:169" s="27" customFormat="1" ht="116.5" thickBot="1" x14ac:dyDescent="0.35">
      <c r="A81" s="60"/>
      <c r="B81" s="1505"/>
      <c r="C81" s="3135" t="s">
        <v>882</v>
      </c>
      <c r="D81" s="849" t="s">
        <v>3</v>
      </c>
      <c r="E81" s="161" t="b">
        <f>IF(D81="Compliant",TRUE,FALSE)</f>
        <v>0</v>
      </c>
      <c r="F81" s="124"/>
      <c r="G81" s="124"/>
      <c r="H81" s="124"/>
      <c r="I81" s="79"/>
      <c r="J81" s="79"/>
      <c r="K81" s="79"/>
      <c r="L81" s="79"/>
      <c r="M81" s="2337"/>
      <c r="N81" s="4447"/>
      <c r="O81" s="4628"/>
      <c r="P81" s="246"/>
      <c r="Q81" s="1862"/>
      <c r="R81" s="921" t="b">
        <f>IF(OR(Q81="Compliant",Q81="FE with work-a-round",Q81="Functionally Equivalent"),TRUE,FALSE)</f>
        <v>0</v>
      </c>
      <c r="S81" s="124"/>
      <c r="T81" s="124"/>
      <c r="U81" s="246"/>
      <c r="V81" s="4447"/>
      <c r="W81" s="4692"/>
      <c r="X81" s="124"/>
      <c r="Y81" s="124"/>
      <c r="Z81" s="125"/>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row>
    <row r="82" spans="1:169" s="27" customFormat="1" ht="44" thickTop="1" x14ac:dyDescent="0.3">
      <c r="A82" s="60">
        <v>7.5</v>
      </c>
      <c r="B82" s="1907" t="s">
        <v>1704</v>
      </c>
      <c r="C82" s="3151" t="s">
        <v>881</v>
      </c>
      <c r="D82" s="2250" t="s">
        <v>565</v>
      </c>
      <c r="E82" s="659" t="b">
        <f>IF(AND(E83=TRUE,E84=TRUE,E85=TRUE,E86=TRUE,E87=TRUE,E88=TRUE,E89=TRUE,E90=TRUE),TRUE,FALSE)</f>
        <v>0</v>
      </c>
      <c r="F82" s="207">
        <f>COUNTIF(E83:E90,TRUE)</f>
        <v>0</v>
      </c>
      <c r="G82" s="615">
        <f>COUNTIFS(E83:E90,TRUE,G83:G90,"Not Blank")</f>
        <v>0</v>
      </c>
      <c r="H82" s="3155">
        <f>COUNTIFS(E83:E90,FALSE,G83:G90,"Not Blank")</f>
        <v>0</v>
      </c>
      <c r="I82" s="3156" t="str">
        <f xml:space="preserve">
IF(F82&gt;8,"Too Many Entries - Check Red Lines",
IF(AND(E82=FALSE,G82=0,H82=0,E82=TRUE),"Nothing Required Below",
IF(G82&lt;F82,"Valid Entry required below - Check Amber Line/s",
IF(AND(E82=FALSE,G82=0,H82=0),"Nothing Entered below Yet",
IF(G82&lt;F82,"Valid Entry required below - Check Amber Line/s",
IF(AND(G82=0,H82&gt;0),"**Non-Valid Entry/ies below - Check Yellow Line/s",
IF(AND(G82&gt;0,H82&gt;0),"**Valid and Non-Valid Entries made below - Check Yellow Line/s",
IF(AND(E82=FALSE,F82&lt;8),"Not all requirements addressed below - Check Pink Line/s",
IF(AND(E82=FALSE,G82&lt;8,G82&gt;0,H82=0),"More entries to come",
IF(AND(E82,TRUE,G82=8,H82=0),"Valid Entries made below"
))))))))))</f>
        <v>Nothing Entered below Yet</v>
      </c>
      <c r="J82" s="3157">
        <f>COUNTIFS(E83:E90,TRUE,J83:J90,"Not Blank")</f>
        <v>0</v>
      </c>
      <c r="K82" s="3157">
        <f>COUNTIFS(E83:E90,FALSE,J83:J90,"Not Blank")</f>
        <v>0</v>
      </c>
      <c r="L82" s="3157" t="str">
        <f xml:space="preserve">
IF(J82&gt;8,"Too Many Entries - Check Red Lines",
IF(AND(E82=FALSE,J82=0,K82=0,E81=TRUE),"Nothing Required Below",
IF(J82&lt;F82,"Valid Entry required below - Check Amber Line/s",
IF(AND(E82=FALSE,J82=0,K82=0),"Nothing Entered below Yet",
IF(AND(J82=0,K82&gt;0),"**Non-Valid Entry/ies below - Check Yellow Line/s",
IF(AND(J82&gt;0,K82&gt;0),"**Valid and Non-Valid Entries made below - Check Yellow Line/s",
IF(AND(E82=FALSE,J82&lt;8),"Not all requirements addressed below - Check Pink Line/s",
IF(AND(E82=FALSE,J82&lt;8,J82&gt;0,K82=0),"More entries to come",
IF(AND(E82,TRUE,J82=8,K82=0),"Valid Entries made below"
)))))))))</f>
        <v>Nothing Entered below Yet</v>
      </c>
      <c r="M82" s="2344"/>
      <c r="N82" s="4471" t="s">
        <v>3</v>
      </c>
      <c r="O82" s="4626" t="b">
        <f>IF(OR(N82="Compliant",N82="FE with work-a-round",N82="Functionally Equivalent"),TRUE,FALSE)</f>
        <v>0</v>
      </c>
      <c r="P82" s="2249"/>
      <c r="Q82" s="4190" t="s">
        <v>565</v>
      </c>
      <c r="R82" s="138" t="b">
        <f>IF(AND(R83=TRUE,R84=TRUE,R85=TRUE,R86=TRUE,R87=TRUE,R88=TRUE,R89=TRUE,R90=TRUE),TRUE,FALSE)</f>
        <v>0</v>
      </c>
      <c r="S82" s="111"/>
      <c r="T82" s="111"/>
      <c r="U82" s="211"/>
      <c r="V82" s="4446" t="s">
        <v>3</v>
      </c>
      <c r="W82" s="4696" t="b">
        <f>IF(OR(V82="Compliant",V82="FE with work-a-round",V82="Functionally Equivalent",V82="Not Required/Applicable"),TRUE,FALSE)</f>
        <v>0</v>
      </c>
      <c r="X82" s="111"/>
      <c r="Y82" s="111"/>
      <c r="Z82" s="12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row>
    <row r="83" spans="1:169" s="27" customFormat="1" ht="116" x14ac:dyDescent="0.3">
      <c r="A83" s="60"/>
      <c r="B83" s="1504"/>
      <c r="C83" s="3134" t="s">
        <v>440</v>
      </c>
      <c r="D83" s="1013" t="s">
        <v>3</v>
      </c>
      <c r="E83" s="67" t="b">
        <f t="shared" ref="E83:E90" si="3">IF(D83="Compliant",TRUE,FALSE)</f>
        <v>0</v>
      </c>
      <c r="F83" s="44"/>
      <c r="G83" s="44" t="str">
        <f t="shared" si="2"/>
        <v/>
      </c>
      <c r="H83" s="44"/>
      <c r="I83" s="42"/>
      <c r="J83" s="42" t="str">
        <f t="shared" si="1"/>
        <v/>
      </c>
      <c r="K83" s="42"/>
      <c r="L83" s="42"/>
      <c r="M83" s="455"/>
      <c r="N83" s="4447"/>
      <c r="O83" s="4627"/>
      <c r="P83" s="144"/>
      <c r="Q83" s="1863" t="s">
        <v>3</v>
      </c>
      <c r="R83" s="716" t="b">
        <f t="shared" ref="R83:R90" si="4">IF(OR(Q83="Compliant",Q83="FE with work-a-round",Q83="Functionally Equivalent"),TRUE,FALSE)</f>
        <v>0</v>
      </c>
      <c r="S83" s="44"/>
      <c r="T83" s="44"/>
      <c r="U83" s="68"/>
      <c r="V83" s="4447"/>
      <c r="W83" s="4691"/>
      <c r="X83" s="44"/>
      <c r="Y83" s="44"/>
      <c r="Z83" s="122"/>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row>
    <row r="84" spans="1:169" s="27" customFormat="1" ht="29" x14ac:dyDescent="0.3">
      <c r="A84" s="60"/>
      <c r="B84" s="1504"/>
      <c r="C84" s="454" t="s">
        <v>975</v>
      </c>
      <c r="D84" s="319" t="s">
        <v>3</v>
      </c>
      <c r="E84" s="67" t="b">
        <f t="shared" si="3"/>
        <v>0</v>
      </c>
      <c r="F84" s="44"/>
      <c r="G84" s="44" t="str">
        <f t="shared" si="2"/>
        <v/>
      </c>
      <c r="H84" s="44"/>
      <c r="I84" s="44"/>
      <c r="J84" s="44" t="str">
        <f t="shared" si="1"/>
        <v/>
      </c>
      <c r="K84" s="44"/>
      <c r="L84" s="44"/>
      <c r="M84" s="419"/>
      <c r="N84" s="4447"/>
      <c r="O84" s="4627"/>
      <c r="P84" s="68"/>
      <c r="Q84" s="1060"/>
      <c r="R84" s="716" t="b">
        <f t="shared" si="4"/>
        <v>0</v>
      </c>
      <c r="S84" s="44"/>
      <c r="T84" s="44"/>
      <c r="U84" s="68"/>
      <c r="V84" s="4447"/>
      <c r="W84" s="4691"/>
      <c r="X84" s="44"/>
      <c r="Y84" s="44"/>
      <c r="Z84" s="122"/>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row>
    <row r="85" spans="1:169" s="27" customFormat="1" ht="43.5" x14ac:dyDescent="0.3">
      <c r="A85" s="60">
        <v>7.6</v>
      </c>
      <c r="B85" s="1504"/>
      <c r="C85" s="454" t="s">
        <v>644</v>
      </c>
      <c r="D85" s="319" t="s">
        <v>3</v>
      </c>
      <c r="E85" s="67" t="b">
        <f t="shared" si="3"/>
        <v>0</v>
      </c>
      <c r="F85" s="44"/>
      <c r="G85" s="44"/>
      <c r="H85" s="44"/>
      <c r="I85" s="44"/>
      <c r="J85" s="44" t="str">
        <f t="shared" si="1"/>
        <v/>
      </c>
      <c r="K85" s="44"/>
      <c r="L85" s="44"/>
      <c r="M85" s="419"/>
      <c r="N85" s="4447"/>
      <c r="O85" s="4627"/>
      <c r="P85" s="68"/>
      <c r="Q85" s="1060"/>
      <c r="R85" s="716" t="b">
        <f t="shared" si="4"/>
        <v>0</v>
      </c>
      <c r="S85" s="44"/>
      <c r="T85" s="44"/>
      <c r="U85" s="68"/>
      <c r="V85" s="4447"/>
      <c r="W85" s="4691"/>
      <c r="X85" s="44"/>
      <c r="Y85" s="44"/>
      <c r="Z85" s="122"/>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row>
    <row r="86" spans="1:169" s="27" customFormat="1" ht="101.5" x14ac:dyDescent="0.3">
      <c r="A86" s="60">
        <v>7.7</v>
      </c>
      <c r="B86" s="1504"/>
      <c r="C86" s="454" t="s">
        <v>1844</v>
      </c>
      <c r="D86" s="319" t="s">
        <v>3</v>
      </c>
      <c r="E86" s="67" t="b">
        <f t="shared" si="3"/>
        <v>0</v>
      </c>
      <c r="F86" s="44"/>
      <c r="G86" s="44" t="str">
        <f t="shared" si="2"/>
        <v/>
      </c>
      <c r="H86" s="44"/>
      <c r="I86" s="44"/>
      <c r="J86" s="44" t="str">
        <f t="shared" si="1"/>
        <v/>
      </c>
      <c r="K86" s="44"/>
      <c r="L86" s="44"/>
      <c r="M86" s="419"/>
      <c r="N86" s="4447"/>
      <c r="O86" s="4627"/>
      <c r="P86" s="68"/>
      <c r="Q86" s="1060"/>
      <c r="R86" s="716" t="b">
        <f t="shared" si="4"/>
        <v>0</v>
      </c>
      <c r="S86" s="44"/>
      <c r="T86" s="44"/>
      <c r="U86" s="68"/>
      <c r="V86" s="4447"/>
      <c r="W86" s="4691"/>
      <c r="X86" s="44"/>
      <c r="Y86" s="44"/>
      <c r="Z86" s="122"/>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row>
    <row r="87" spans="1:169" s="27" customFormat="1" ht="72.5" x14ac:dyDescent="0.3">
      <c r="A87" s="60">
        <v>7.8</v>
      </c>
      <c r="B87" s="1504"/>
      <c r="C87" s="454" t="s">
        <v>645</v>
      </c>
      <c r="D87" s="319" t="s">
        <v>3</v>
      </c>
      <c r="E87" s="67" t="b">
        <f t="shared" si="3"/>
        <v>0</v>
      </c>
      <c r="F87" s="44"/>
      <c r="G87" s="44" t="str">
        <f t="shared" si="2"/>
        <v/>
      </c>
      <c r="H87" s="44"/>
      <c r="I87" s="44"/>
      <c r="J87" s="44" t="str">
        <f t="shared" si="1"/>
        <v/>
      </c>
      <c r="K87" s="44"/>
      <c r="L87" s="44"/>
      <c r="M87" s="419"/>
      <c r="N87" s="4447" t="s">
        <v>3</v>
      </c>
      <c r="O87" s="4627"/>
      <c r="P87" s="68"/>
      <c r="Q87" s="1060"/>
      <c r="R87" s="716" t="b">
        <f t="shared" si="4"/>
        <v>0</v>
      </c>
      <c r="S87" s="44"/>
      <c r="T87" s="44"/>
      <c r="U87" s="68"/>
      <c r="V87" s="4447" t="s">
        <v>3</v>
      </c>
      <c r="W87" s="4691"/>
      <c r="X87" s="44"/>
      <c r="Y87" s="44"/>
      <c r="Z87" s="122"/>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row>
    <row r="88" spans="1:169" s="27" customFormat="1" ht="72.5" x14ac:dyDescent="0.3">
      <c r="A88" s="60">
        <v>7.9</v>
      </c>
      <c r="B88" s="1504"/>
      <c r="C88" s="454" t="s">
        <v>599</v>
      </c>
      <c r="D88" s="319" t="s">
        <v>3</v>
      </c>
      <c r="E88" s="67" t="b">
        <f t="shared" si="3"/>
        <v>0</v>
      </c>
      <c r="F88" s="44"/>
      <c r="G88" s="44" t="str">
        <f t="shared" si="2"/>
        <v/>
      </c>
      <c r="H88" s="44"/>
      <c r="I88" s="44"/>
      <c r="J88" s="44" t="str">
        <f t="shared" si="1"/>
        <v/>
      </c>
      <c r="K88" s="44"/>
      <c r="L88" s="44"/>
      <c r="M88" s="419"/>
      <c r="N88" s="4447"/>
      <c r="O88" s="4627"/>
      <c r="P88" s="68"/>
      <c r="Q88" s="1060" t="s">
        <v>3</v>
      </c>
      <c r="R88" s="716" t="b">
        <f t="shared" si="4"/>
        <v>0</v>
      </c>
      <c r="S88" s="44"/>
      <c r="T88" s="44"/>
      <c r="U88" s="68"/>
      <c r="V88" s="4447"/>
      <c r="W88" s="4691"/>
      <c r="X88" s="44"/>
      <c r="Y88" s="44"/>
      <c r="Z88" s="122"/>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row>
    <row r="89" spans="1:169" s="27" customFormat="1" ht="58" x14ac:dyDescent="0.3">
      <c r="A89" s="60">
        <v>7.1</v>
      </c>
      <c r="B89" s="1504"/>
      <c r="C89" s="454" t="s">
        <v>600</v>
      </c>
      <c r="D89" s="319" t="s">
        <v>3</v>
      </c>
      <c r="E89" s="67" t="b">
        <f t="shared" si="3"/>
        <v>0</v>
      </c>
      <c r="F89" s="44"/>
      <c r="G89" s="44" t="str">
        <f t="shared" si="2"/>
        <v/>
      </c>
      <c r="H89" s="44"/>
      <c r="I89" s="44"/>
      <c r="J89" s="44" t="str">
        <f t="shared" si="1"/>
        <v/>
      </c>
      <c r="K89" s="44"/>
      <c r="L89" s="44"/>
      <c r="M89" s="419"/>
      <c r="N89" s="4447"/>
      <c r="O89" s="4627"/>
      <c r="P89" s="68"/>
      <c r="Q89" s="1060"/>
      <c r="R89" s="716" t="b">
        <f t="shared" si="4"/>
        <v>0</v>
      </c>
      <c r="S89" s="44"/>
      <c r="T89" s="44"/>
      <c r="U89" s="68"/>
      <c r="V89" s="4447"/>
      <c r="W89" s="4691"/>
      <c r="X89" s="44"/>
      <c r="Y89" s="44"/>
      <c r="Z89" s="122"/>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row>
    <row r="90" spans="1:169" s="27" customFormat="1" ht="44" thickBot="1" x14ac:dyDescent="0.35">
      <c r="A90" s="60"/>
      <c r="B90" s="1505"/>
      <c r="C90" s="3135" t="s">
        <v>442</v>
      </c>
      <c r="D90" s="230" t="s">
        <v>3</v>
      </c>
      <c r="E90" s="161" t="b">
        <f t="shared" si="3"/>
        <v>0</v>
      </c>
      <c r="F90" s="124"/>
      <c r="G90" s="124" t="str">
        <f t="shared" si="2"/>
        <v/>
      </c>
      <c r="H90" s="124"/>
      <c r="I90" s="124"/>
      <c r="J90" s="124" t="str">
        <f t="shared" si="1"/>
        <v/>
      </c>
      <c r="K90" s="124"/>
      <c r="L90" s="124"/>
      <c r="M90" s="421"/>
      <c r="N90" s="4448"/>
      <c r="O90" s="4628"/>
      <c r="P90" s="246"/>
      <c r="Q90" s="1017"/>
      <c r="R90" s="921" t="b">
        <f t="shared" si="4"/>
        <v>0</v>
      </c>
      <c r="S90" s="124"/>
      <c r="T90" s="124"/>
      <c r="U90" s="246"/>
      <c r="V90" s="4448"/>
      <c r="W90" s="4692"/>
      <c r="X90" s="124"/>
      <c r="Y90" s="124"/>
      <c r="Z90" s="125"/>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row>
    <row r="91" spans="1:169" s="27" customFormat="1" ht="29.5" thickTop="1" x14ac:dyDescent="0.3">
      <c r="A91" s="60">
        <v>7.11</v>
      </c>
      <c r="B91" s="1907" t="s">
        <v>1705</v>
      </c>
      <c r="C91" s="3151" t="s">
        <v>537</v>
      </c>
      <c r="D91" s="2250" t="s">
        <v>565</v>
      </c>
      <c r="E91" s="659" t="b">
        <f>IF(AND(E92=TRUE,E93=TRUE),TRUE,FALSE)</f>
        <v>0</v>
      </c>
      <c r="F91" s="207">
        <f>COUNTIF(E92:E93,TRUE)</f>
        <v>0</v>
      </c>
      <c r="G91" s="207">
        <f>COUNTIFS(E92:E93,TRUE,G92:G93,"Not Blank")</f>
        <v>0</v>
      </c>
      <c r="H91" s="207">
        <f>COUNTIFS(E92:E93,FALSE,G92:G93,"Not Blank")</f>
        <v>0</v>
      </c>
      <c r="I91" s="3154" t="str">
        <f xml:space="preserve">
IF(F91&gt;2,"Too Many Entries - Check Red Lines",
IF(AND(E91=FALSE,G91=0,H91=0,E91=TRUE),"Nothing Required Below",
IF(G91&lt;F91,"Valid Entry required below - Check Amber Line/s",
IF(AND(E91=FALSE,G91=0,H91=0),"Nothing Entered below Yet",
IF(G91&lt;F91,"Valid Entry required below - Check Amber Line/s",
IF(AND(G91=0,H91&gt;0),"**Non-Valid Entry/ies below - Check Yellow Line/s",
IF(AND(G91&gt;0,H91&gt;0),"**Valid and Non-Valid Entries made below - Check Yellow Line/s",
IF(AND(E91=FALSE,F91&lt;2),"Not all requirements addressed below - Check Pink Line/s",
IF(AND(E91=FALSE,G91&lt;2,G91&gt;0,H91=0),"More entries to come",
IF(AND(E91,TRUE,G91=2,H91=0),"Valid Entries made below"
))))))))))</f>
        <v>Nothing Entered below Yet</v>
      </c>
      <c r="J91" s="3154">
        <f>COUNTIFS(E92:E93,TRUE,J92:J93,"Not Blank")</f>
        <v>0</v>
      </c>
      <c r="K91" s="3154">
        <f>COUNTIFS(E92:E93,FALSE,J92:J93,"Not Blank")</f>
        <v>0</v>
      </c>
      <c r="L91" s="3154" t="str">
        <f xml:space="preserve">
IF(J91&gt;2,"Too Many Entries - Check Red Lines",
IF(AND(E91=FALSE,J91=0,K91=0,E90=TRUE),"Nothing Required Below",
IF(J91&lt;F91,"Valid Entry required below - Check Amber Line/s",
IF(AND(E91=FALSE,J91=0,K91=0),"Nothing Entered below Yet",
IF(AND(J91=0,K91&gt;0),"**Non-Valid Entry/ies below - Check Yellow Line/s",
IF(AND(J91&gt;0,K91&gt;0),"**Valid and Non-Valid Entries made below - Check Yellow Line/s",
IF(AND(E91=FALSE,J91&lt;2),"Not all requirements addressed below - Check Pink Line/s",
IF(AND(E91=FALSE,J91&lt;2,J91&gt;0,K91=0),"More entries to come",
IF(AND(E91,TRUE,J91=2,K91=0),"Valid Entries made below"
)))))))))</f>
        <v>Nothing Entered below Yet</v>
      </c>
      <c r="M91" s="2338"/>
      <c r="N91" s="4446" t="s">
        <v>3</v>
      </c>
      <c r="O91" s="4626" t="b">
        <f>IF(OR(N91="Compliant",N91="FE with work-a-round",N91="Functionally Equivalent"),TRUE,FALSE)</f>
        <v>0</v>
      </c>
      <c r="P91" s="861"/>
      <c r="Q91" s="4190" t="s">
        <v>565</v>
      </c>
      <c r="R91" s="138" t="b">
        <f>IF(AND(R92=TRUE,R93=TRUE),TRUE,FALSE)</f>
        <v>0</v>
      </c>
      <c r="S91" s="111"/>
      <c r="T91" s="111"/>
      <c r="U91" s="211"/>
      <c r="V91" s="4446" t="s">
        <v>3</v>
      </c>
      <c r="W91" s="4696" t="b">
        <f>IF(OR(V91="Compliant",V91="FE with work-a-round",V91="Functionally Equivalent",V91="Not Required/Applicable"),TRUE,FALSE)</f>
        <v>0</v>
      </c>
      <c r="X91" s="111"/>
      <c r="Y91" s="111"/>
      <c r="Z91" s="120"/>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row>
    <row r="92" spans="1:169" s="27" customFormat="1" ht="29" x14ac:dyDescent="0.3">
      <c r="A92" s="60"/>
      <c r="B92" s="1504"/>
      <c r="C92" s="3134" t="s">
        <v>682</v>
      </c>
      <c r="D92" s="1013" t="s">
        <v>3</v>
      </c>
      <c r="E92" s="67" t="b">
        <f>IF(D92="Compliant",TRUE,FALSE)</f>
        <v>0</v>
      </c>
      <c r="F92" s="44"/>
      <c r="G92" s="44" t="str">
        <f t="shared" si="2"/>
        <v/>
      </c>
      <c r="H92" s="44"/>
      <c r="I92" s="42"/>
      <c r="J92" s="42" t="str">
        <f t="shared" si="1"/>
        <v/>
      </c>
      <c r="K92" s="42"/>
      <c r="L92" s="42"/>
      <c r="M92" s="455"/>
      <c r="N92" s="4447"/>
      <c r="O92" s="4627"/>
      <c r="P92" s="2177"/>
      <c r="Q92" s="1863" t="s">
        <v>3</v>
      </c>
      <c r="R92" s="716" t="b">
        <f>IF(OR(Q92="Compliant",Q92="FE with work-a-round",Q92="Functionally Equivalent"),TRUE,FALSE)</f>
        <v>0</v>
      </c>
      <c r="S92" s="44"/>
      <c r="T92" s="44"/>
      <c r="U92" s="68"/>
      <c r="V92" s="4447"/>
      <c r="W92" s="4691"/>
      <c r="X92" s="44"/>
      <c r="Y92" s="44"/>
      <c r="Z92" s="122"/>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row>
    <row r="93" spans="1:169" s="27" customFormat="1" ht="29.5" thickBot="1" x14ac:dyDescent="0.35">
      <c r="A93" s="60"/>
      <c r="B93" s="1505"/>
      <c r="C93" s="3135" t="s">
        <v>683</v>
      </c>
      <c r="D93" s="230" t="s">
        <v>3</v>
      </c>
      <c r="E93" s="161" t="b">
        <f>IF(D93="Compliant",TRUE,FALSE)</f>
        <v>0</v>
      </c>
      <c r="F93" s="124"/>
      <c r="G93" s="124" t="str">
        <f t="shared" si="2"/>
        <v/>
      </c>
      <c r="H93" s="124"/>
      <c r="I93" s="124"/>
      <c r="J93" s="124" t="str">
        <f t="shared" si="1"/>
        <v/>
      </c>
      <c r="K93" s="124"/>
      <c r="L93" s="124"/>
      <c r="M93" s="421"/>
      <c r="N93" s="4448"/>
      <c r="O93" s="4628"/>
      <c r="P93" s="246"/>
      <c r="Q93" s="1017"/>
      <c r="R93" s="921" t="b">
        <f>IF(OR(Q93="Compliant",Q93="FE with work-a-round",Q93="Functionally Equivalent"),TRUE,FALSE)</f>
        <v>0</v>
      </c>
      <c r="S93" s="124"/>
      <c r="T93" s="124"/>
      <c r="U93" s="246"/>
      <c r="V93" s="4448"/>
      <c r="W93" s="4692"/>
      <c r="X93" s="124"/>
      <c r="Y93" s="124"/>
      <c r="Z93" s="125"/>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row>
    <row r="94" spans="1:169" s="3694" customFormat="1" ht="15.5" thickTop="1" thickBot="1" x14ac:dyDescent="0.35">
      <c r="A94" s="3639"/>
      <c r="B94" s="3642"/>
      <c r="C94" s="3731"/>
      <c r="D94" s="3731"/>
      <c r="E94" s="3731"/>
      <c r="F94" s="3731"/>
      <c r="G94" s="3731"/>
      <c r="H94" s="3731"/>
      <c r="I94" s="3701"/>
      <c r="J94" s="3701"/>
      <c r="K94" s="3701"/>
      <c r="L94" s="3701"/>
      <c r="M94" s="3701"/>
      <c r="N94" s="3732"/>
      <c r="O94" s="3732"/>
      <c r="P94" s="3701"/>
      <c r="Q94" s="3701"/>
      <c r="R94" s="3701"/>
      <c r="S94" s="3701"/>
      <c r="T94" s="3701"/>
      <c r="V94" s="3733"/>
      <c r="W94" s="3643"/>
    </row>
    <row r="95" spans="1:169" s="27" customFormat="1" ht="30" thickTop="1" thickBot="1" x14ac:dyDescent="0.35">
      <c r="A95" s="97">
        <v>8</v>
      </c>
      <c r="B95" s="3158" t="s">
        <v>443</v>
      </c>
      <c r="C95" s="1029" t="s">
        <v>444</v>
      </c>
      <c r="D95" s="1915" t="s">
        <v>565</v>
      </c>
      <c r="E95" s="1050" t="b">
        <f>IF(AND(E96=TRUE,E99=TRUE,E100=TRUE,E101=TRUE,E102=TRUE),TRUE,FALSE)</f>
        <v>0</v>
      </c>
      <c r="F95" s="1726">
        <f>COUNTIF(E97:E102,TRUE)</f>
        <v>0</v>
      </c>
      <c r="G95" s="1726">
        <f>COUNTIFS(E97:E102,TRUE,G97:G102,"Not Blank")</f>
        <v>0</v>
      </c>
      <c r="H95" s="1726">
        <f>COUNTIFS(E97:E102,FALSE,G97:G102,"Not Blank")</f>
        <v>0</v>
      </c>
      <c r="I95" s="3159" t="str">
        <f xml:space="preserve">
IF(F95&gt;6,"Too Many Entries - Check Red Lines",
IF(AND(E95=FALSE,G95=0,H95=0,E95=TRUE),"Nothing Required Below",
IF(G95&lt;F95,"Valid Entry required below - Check Amber Line/s",
IF(AND(E95=FALSE,G95=0,H95=0),"Nothing Entered below Yet",
IF(G95&lt;F95,"Valid Entry required below - Check Amber Line/s",
IF(AND(G95=0,H95&gt;0),"**Non-Valid Entry/ies below - Check Yellow Line/s",
IF(AND(G95&gt;0,H95&gt;0),"**Valid and Non-Valid Entries made below - Check Yellow Line/s",
IF(AND(E95=FALSE,F95&lt;6),"Not all requirements addressed below - Check Pink Line/s",
IF(AND(E95=FALSE,G95&lt;6,G95&gt;0,H95=0),"More entries to come",
IF(AND(E95,TRUE,G95=6,H95=0),"Valid Entries made below"
))))))))))</f>
        <v>Nothing Entered below Yet</v>
      </c>
      <c r="J95" s="3159">
        <f>COUNTIFS(E97:E102,TRUE,J97:J102,"Not Blank")</f>
        <v>0</v>
      </c>
      <c r="K95" s="3159">
        <f>COUNTIFS(E97:E102,FALSE,J97:J102,"Not Blank")</f>
        <v>0</v>
      </c>
      <c r="L95" s="3159" t="str">
        <f xml:space="preserve">
IF(J95&gt;6,"Too Many Entries - Check Red Lines",
IF(AND(E95=FALSE,J95=0,K95=0,E94=TRUE),"Nothing Required Below",
IF(J95&lt;F95,"Valid Entry required below - Check Amber Line/s",
IF(AND(E95=FALSE,J95=0,K95=0),"Nothing Entered below Yet",
IF(AND(J95=0,K95&gt;0),"**Non-Valid Entry/ies below - Check Yellow Line/s",
IF(AND(J95&gt;0,K95&gt;0),"**Valid and Non-Valid Entries made below - Check Yellow Line/s",
IF(AND(E95=FALSE,J95&lt;6),"Not all requirements addressed below - Check Pink Line/s",
IF(AND(E95=FALSE,J95&lt;6,J95&gt;0,K95=0),"More entries to come",
IF(AND(E95,TRUE,J95=6,K95=0),"Valid Entries made below"
)))))))))</f>
        <v>Nothing Entered below Yet</v>
      </c>
      <c r="M95" s="861"/>
      <c r="N95" s="4446" t="s">
        <v>3</v>
      </c>
      <c r="O95" s="4626" t="b">
        <f>IF(OR(N95="Compliant",N95="FE with work-a-round",N95="Functionally Equivalent"),TRUE,FALSE)</f>
        <v>0</v>
      </c>
      <c r="P95" s="861"/>
      <c r="Q95" s="4183" t="s">
        <v>565</v>
      </c>
      <c r="R95" s="2139" t="b">
        <f>IF(AND(R96=TRUE,R99=TRUE,R100=TRUE,R101=TRUE,R102=TRUE),TRUE,FALSE)</f>
        <v>0</v>
      </c>
      <c r="S95" s="842"/>
      <c r="T95" s="842"/>
      <c r="U95" s="861"/>
      <c r="V95" s="4446" t="s">
        <v>3</v>
      </c>
      <c r="W95" s="4696" t="b">
        <f>IF(OR(V95="Compliant",V95="FE with work-a-round",V95="Functionally Equivalent",V95="Not Required/Applicable"),TRUE,FALSE)</f>
        <v>0</v>
      </c>
      <c r="X95" s="842"/>
      <c r="Y95" s="842"/>
      <c r="Z95" s="807"/>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row>
    <row r="96" spans="1:169" s="27" customFormat="1" ht="29.5" thickTop="1" x14ac:dyDescent="0.3">
      <c r="A96" s="39">
        <v>8.1</v>
      </c>
      <c r="B96" s="1907" t="s">
        <v>1660</v>
      </c>
      <c r="C96" s="3151" t="s">
        <v>603</v>
      </c>
      <c r="D96" s="2250" t="s">
        <v>565</v>
      </c>
      <c r="E96" s="659" t="b">
        <f>IF(AND(E97=TRUE,E98=TRUE),TRUE,FALSE)</f>
        <v>0</v>
      </c>
      <c r="F96" s="207">
        <f>COUNTIF(E97:E98,TRUE)</f>
        <v>0</v>
      </c>
      <c r="G96" s="615">
        <f>COUNTIFS(E97:E98,TRUE,G97:G98,"Not Blank")</f>
        <v>0</v>
      </c>
      <c r="H96" s="615">
        <f>COUNTIFS(E97:E98,FALSE,G97:G98,"Not Blank")</f>
        <v>0</v>
      </c>
      <c r="I96" s="3154" t="str">
        <f xml:space="preserve">
IF(F96&gt;2,"Too Many Entries - Check Red Lines",
IF(AND(E96=FALSE,G96=0,H96=0,E96=TRUE),"Nothing Required Below",
IF(G96&lt;F96,"Valid Entry required below - Check Amber Line/s",
IF(AND(E96=FALSE,G96=0,H96=0),"Nothing Entered below Yet",
IF(G96&lt;F96,"Valid Entry required below - Check Amber Line/s",
IF(AND(G96=0,H96&gt;0),"**Non-Valid Entry/ies below - Check Yellow Line/s",
IF(AND(G96&gt;0,H96&gt;0),"**Valid and Non-Valid Entries made below - Check Yellow Line/s",
IF(AND(E96=FALSE,F96&lt;2),"Not all requirements addressed below - Check Pink Line/s",
IF(AND(E96=FALSE,G96&lt;2,G96&gt;0,H96=0),"More entries to come",
IF(AND(E96,TRUE,G96=2,H96=0),"Valid Entries made below"
))))))))))</f>
        <v>Nothing Entered below Yet</v>
      </c>
      <c r="J96" s="3154">
        <f>COUNTIFS(E97:E98,TRUE,J97:J98,"Not Blank")</f>
        <v>0</v>
      </c>
      <c r="K96" s="3154">
        <f>COUNTIFS(E97:E98,FALSE,J97:J98,"Not Blank")</f>
        <v>0</v>
      </c>
      <c r="L96" s="3154" t="str">
        <f xml:space="preserve">
IF(J96&gt;2,"Too Many Entries - Check Red Lines",
IF(AND(E96=FALSE,J96=0,K96=0,E95=TRUE),"Nothing Required Below",
IF(J96&lt;F96,"Valid Entry required below - Check Amber Line/s",
IF(AND(E96=FALSE,J96=0,K96=0),"Nothing Entered below Yet",
IF(AND(J96=0,K96&gt;0),"**Non-Valid Entry/ies below - Check Yellow Line/s",
IF(AND(J96&gt;0,K96&gt;0),"**Valid and Non-Valid Entries made below - Check Yellow Line/s",
IF(AND(E96=FALSE,J96&lt;2),"Not all requirements addressed below - Check Pink Line/s",
IF(AND(E96=FALSE,J96&lt;2,J96&gt;0,K96=0),"More entries to come",
IF(AND(E96,TRUE,J96=2,K96=0),"Valid Entries made below"
)))))))))</f>
        <v>Nothing Entered below Yet</v>
      </c>
      <c r="M96" s="2176"/>
      <c r="N96" s="4447"/>
      <c r="O96" s="4627"/>
      <c r="P96" s="2249"/>
      <c r="Q96" s="4190" t="s">
        <v>565</v>
      </c>
      <c r="R96" s="138" t="b">
        <f>IF(AND(R97=TRUE,R98=TRUE),TRUE,FALSE)</f>
        <v>0</v>
      </c>
      <c r="S96" s="111"/>
      <c r="T96" s="111"/>
      <c r="U96" s="211"/>
      <c r="V96" s="4447"/>
      <c r="W96" s="4691"/>
      <c r="X96" s="111"/>
      <c r="Y96" s="111"/>
      <c r="Z96" s="120"/>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row>
    <row r="97" spans="1:169" s="27" customFormat="1" ht="29" x14ac:dyDescent="0.3">
      <c r="A97" s="60" t="s">
        <v>601</v>
      </c>
      <c r="B97" s="1504"/>
      <c r="C97" s="3134" t="s">
        <v>445</v>
      </c>
      <c r="D97" s="1013" t="s">
        <v>3</v>
      </c>
      <c r="E97" s="67" t="b">
        <f t="shared" ref="E97:E102" si="5">IF(D97="Compliant",TRUE,FALSE)</f>
        <v>0</v>
      </c>
      <c r="F97" s="44"/>
      <c r="G97" s="44" t="str">
        <f t="shared" ref="G97:G102" si="6">IF(I97&lt;&gt;"", "Not Blank", "")</f>
        <v/>
      </c>
      <c r="H97" s="44"/>
      <c r="I97" s="42"/>
      <c r="J97" s="42" t="str">
        <f t="shared" ref="J97:J102" si="7">IF(L97&lt;&gt;"", "Not Blank", "")</f>
        <v/>
      </c>
      <c r="K97" s="42"/>
      <c r="L97" s="42"/>
      <c r="M97" s="455"/>
      <c r="N97" s="4447"/>
      <c r="O97" s="4627"/>
      <c r="P97" s="144"/>
      <c r="Q97" s="1863" t="s">
        <v>3</v>
      </c>
      <c r="R97" s="716" t="b">
        <f t="shared" ref="R97:R102" si="8">IF(OR(Q97="Compliant",Q97="FE with work-a-round",Q97="Functionally Equivalent"),TRUE,FALSE)</f>
        <v>0</v>
      </c>
      <c r="S97" s="44"/>
      <c r="T97" s="44"/>
      <c r="U97" s="68"/>
      <c r="V97" s="4447"/>
      <c r="W97" s="4691"/>
      <c r="X97" s="44"/>
      <c r="Y97" s="44"/>
      <c r="Z97" s="122"/>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row>
    <row r="98" spans="1:169" s="27" customFormat="1" ht="43.5" x14ac:dyDescent="0.3">
      <c r="A98" s="60" t="s">
        <v>602</v>
      </c>
      <c r="B98" s="1504"/>
      <c r="C98" s="454" t="s">
        <v>647</v>
      </c>
      <c r="D98" s="319" t="s">
        <v>3</v>
      </c>
      <c r="E98" s="67" t="b">
        <f t="shared" si="5"/>
        <v>0</v>
      </c>
      <c r="F98" s="44"/>
      <c r="G98" s="44" t="str">
        <f t="shared" si="6"/>
        <v/>
      </c>
      <c r="H98" s="44"/>
      <c r="I98" s="44"/>
      <c r="J98" s="44" t="str">
        <f t="shared" si="7"/>
        <v/>
      </c>
      <c r="K98" s="44"/>
      <c r="L98" s="44"/>
      <c r="M98" s="419"/>
      <c r="N98" s="4447"/>
      <c r="O98" s="4627"/>
      <c r="P98" s="68"/>
      <c r="Q98" s="1060"/>
      <c r="R98" s="716" t="b">
        <f t="shared" si="8"/>
        <v>0</v>
      </c>
      <c r="S98" s="44"/>
      <c r="T98" s="44"/>
      <c r="U98" s="68"/>
      <c r="V98" s="4447"/>
      <c r="W98" s="4691"/>
      <c r="X98" s="44"/>
      <c r="Y98" s="44"/>
      <c r="Z98" s="122"/>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row>
    <row r="99" spans="1:169" s="27" customFormat="1" ht="43.5" x14ac:dyDescent="0.3">
      <c r="A99" s="60">
        <v>8.1999999999999993</v>
      </c>
      <c r="B99" s="1504"/>
      <c r="C99" s="454" t="s">
        <v>648</v>
      </c>
      <c r="D99" s="319" t="s">
        <v>3</v>
      </c>
      <c r="E99" s="67" t="b">
        <f t="shared" si="5"/>
        <v>0</v>
      </c>
      <c r="F99" s="44"/>
      <c r="G99" s="44" t="str">
        <f t="shared" si="6"/>
        <v/>
      </c>
      <c r="H99" s="44"/>
      <c r="I99" s="44"/>
      <c r="J99" s="44" t="str">
        <f t="shared" si="7"/>
        <v/>
      </c>
      <c r="K99" s="44"/>
      <c r="L99" s="44"/>
      <c r="M99" s="419"/>
      <c r="N99" s="4447"/>
      <c r="O99" s="4627"/>
      <c r="P99" s="68"/>
      <c r="Q99" s="1060"/>
      <c r="R99" s="716" t="b">
        <f t="shared" si="8"/>
        <v>0</v>
      </c>
      <c r="S99" s="44"/>
      <c r="T99" s="44"/>
      <c r="U99" s="68"/>
      <c r="V99" s="4447"/>
      <c r="W99" s="4691"/>
      <c r="X99" s="44"/>
      <c r="Y99" s="44"/>
      <c r="Z99" s="122"/>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row>
    <row r="100" spans="1:169" s="27" customFormat="1" ht="43.5" x14ac:dyDescent="0.3">
      <c r="A100" s="60">
        <v>8.3000000000000007</v>
      </c>
      <c r="B100" s="1504"/>
      <c r="C100" s="454" t="s">
        <v>649</v>
      </c>
      <c r="D100" s="319" t="s">
        <v>3</v>
      </c>
      <c r="E100" s="67" t="b">
        <f t="shared" si="5"/>
        <v>0</v>
      </c>
      <c r="F100" s="44"/>
      <c r="G100" s="44" t="str">
        <f t="shared" si="6"/>
        <v/>
      </c>
      <c r="H100" s="44"/>
      <c r="I100" s="44"/>
      <c r="J100" s="44" t="str">
        <f t="shared" si="7"/>
        <v/>
      </c>
      <c r="K100" s="44"/>
      <c r="L100" s="44"/>
      <c r="M100" s="419"/>
      <c r="N100" s="4447" t="s">
        <v>3</v>
      </c>
      <c r="O100" s="4627"/>
      <c r="P100" s="68"/>
      <c r="Q100" s="1060"/>
      <c r="R100" s="716" t="b">
        <f t="shared" si="8"/>
        <v>0</v>
      </c>
      <c r="S100" s="44"/>
      <c r="T100" s="44"/>
      <c r="U100" s="68"/>
      <c r="V100" s="4447" t="s">
        <v>3</v>
      </c>
      <c r="W100" s="4691"/>
      <c r="X100" s="44"/>
      <c r="Y100" s="44"/>
      <c r="Z100" s="122"/>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row>
    <row r="101" spans="1:169" s="27" customFormat="1" ht="58" x14ac:dyDescent="0.3">
      <c r="A101" s="60">
        <v>8.4</v>
      </c>
      <c r="B101" s="1504"/>
      <c r="C101" s="454" t="s">
        <v>651</v>
      </c>
      <c r="D101" s="319" t="s">
        <v>3</v>
      </c>
      <c r="E101" s="67" t="b">
        <f t="shared" si="5"/>
        <v>0</v>
      </c>
      <c r="F101" s="44"/>
      <c r="G101" s="44"/>
      <c r="H101" s="44"/>
      <c r="I101" s="44"/>
      <c r="J101" s="44" t="str">
        <f t="shared" si="7"/>
        <v/>
      </c>
      <c r="K101" s="44"/>
      <c r="L101" s="44"/>
      <c r="M101" s="419"/>
      <c r="N101" s="4447"/>
      <c r="O101" s="4627"/>
      <c r="P101" s="68"/>
      <c r="Q101" s="1060"/>
      <c r="R101" s="716" t="b">
        <f t="shared" si="8"/>
        <v>0</v>
      </c>
      <c r="S101" s="44"/>
      <c r="T101" s="44"/>
      <c r="U101" s="68"/>
      <c r="V101" s="4447"/>
      <c r="W101" s="4691"/>
      <c r="X101" s="44"/>
      <c r="Y101" s="44"/>
      <c r="Z101" s="122"/>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row>
    <row r="102" spans="1:169" s="27" customFormat="1" ht="29.5" thickBot="1" x14ac:dyDescent="0.35">
      <c r="A102" s="60">
        <v>8.5</v>
      </c>
      <c r="B102" s="1505"/>
      <c r="C102" s="3135" t="s">
        <v>650</v>
      </c>
      <c r="D102" s="230" t="s">
        <v>3</v>
      </c>
      <c r="E102" s="161" t="b">
        <f t="shared" si="5"/>
        <v>0</v>
      </c>
      <c r="F102" s="124"/>
      <c r="G102" s="124" t="str">
        <f t="shared" si="6"/>
        <v/>
      </c>
      <c r="H102" s="124"/>
      <c r="I102" s="124"/>
      <c r="J102" s="124" t="str">
        <f t="shared" si="7"/>
        <v/>
      </c>
      <c r="K102" s="124"/>
      <c r="L102" s="124"/>
      <c r="M102" s="421"/>
      <c r="N102" s="4448"/>
      <c r="O102" s="4628"/>
      <c r="P102" s="246"/>
      <c r="Q102" s="1017" t="s">
        <v>3</v>
      </c>
      <c r="R102" s="921" t="b">
        <f t="shared" si="8"/>
        <v>0</v>
      </c>
      <c r="S102" s="124"/>
      <c r="T102" s="124"/>
      <c r="U102" s="246"/>
      <c r="V102" s="4448"/>
      <c r="W102" s="4692"/>
      <c r="X102" s="124"/>
      <c r="Y102" s="124"/>
      <c r="Z102" s="125"/>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row>
    <row r="103" spans="1:169" s="3730" customFormat="1" ht="15.5" thickTop="1" thickBot="1" x14ac:dyDescent="0.35">
      <c r="A103" s="3668"/>
      <c r="B103" s="3634"/>
      <c r="C103" s="3634"/>
      <c r="D103" s="3638"/>
      <c r="E103" s="3694"/>
      <c r="F103" s="3694"/>
      <c r="G103" s="3694"/>
      <c r="H103" s="3694"/>
      <c r="I103" s="3694"/>
      <c r="J103" s="3694"/>
      <c r="K103" s="3694"/>
      <c r="L103" s="3664"/>
      <c r="M103" s="3694"/>
      <c r="N103" s="3734"/>
      <c r="O103" s="3694"/>
      <c r="P103" s="3634"/>
      <c r="Q103" s="3734"/>
      <c r="R103" s="3634"/>
      <c r="S103" s="3634"/>
      <c r="T103" s="3634"/>
      <c r="U103" s="3634"/>
      <c r="V103" s="3638"/>
      <c r="W103" s="3643"/>
      <c r="X103" s="3634"/>
      <c r="Y103" s="3634"/>
      <c r="Z103" s="3634"/>
      <c r="AA103" s="3634"/>
      <c r="AB103" s="3634"/>
      <c r="AC103" s="3634"/>
      <c r="AD103" s="3634"/>
      <c r="AE103" s="3634"/>
      <c r="AF103" s="3634"/>
      <c r="AG103" s="3634"/>
      <c r="AH103" s="3634"/>
      <c r="AI103" s="3634"/>
      <c r="AJ103" s="3634"/>
      <c r="AK103" s="3634"/>
      <c r="AL103" s="3634"/>
      <c r="AM103" s="3634"/>
      <c r="AN103" s="3634"/>
      <c r="AO103" s="3634"/>
      <c r="AP103" s="3634"/>
      <c r="AQ103" s="3634"/>
      <c r="AR103" s="3634"/>
      <c r="AS103" s="3634"/>
      <c r="AT103" s="3634"/>
      <c r="AU103" s="3634"/>
      <c r="AV103" s="3634"/>
      <c r="AW103" s="3634"/>
      <c r="AX103" s="3634"/>
      <c r="AY103" s="3634"/>
      <c r="AZ103" s="3634"/>
      <c r="BA103" s="3634"/>
      <c r="BB103" s="3634"/>
      <c r="BC103" s="3634"/>
      <c r="BD103" s="3634"/>
      <c r="BE103" s="3634"/>
      <c r="BF103" s="3634"/>
      <c r="BG103" s="3634"/>
      <c r="BH103" s="3634"/>
      <c r="BI103" s="3634"/>
      <c r="BJ103" s="3634"/>
      <c r="BK103" s="3634"/>
      <c r="BL103" s="3634"/>
      <c r="BM103" s="3634"/>
      <c r="BN103" s="3634"/>
      <c r="BO103" s="3634"/>
      <c r="BP103" s="3634"/>
      <c r="BQ103" s="3634"/>
      <c r="BR103" s="3634"/>
      <c r="BS103" s="3634"/>
      <c r="BT103" s="3634"/>
      <c r="BU103" s="3634"/>
      <c r="BV103" s="3634"/>
      <c r="BW103" s="3634"/>
      <c r="BX103" s="3634"/>
      <c r="BY103" s="3634"/>
      <c r="BZ103" s="3634"/>
      <c r="CA103" s="3634"/>
      <c r="CB103" s="3634"/>
      <c r="CC103" s="3634"/>
      <c r="CD103" s="3634"/>
      <c r="CE103" s="3634"/>
      <c r="CF103" s="3634"/>
      <c r="CG103" s="3634"/>
      <c r="CH103" s="3634"/>
      <c r="CI103" s="3634"/>
      <c r="CJ103" s="3634"/>
      <c r="CK103" s="3634"/>
      <c r="CL103" s="3634"/>
      <c r="CM103" s="3634"/>
      <c r="CN103" s="3634"/>
      <c r="CO103" s="3634"/>
      <c r="CP103" s="3634"/>
      <c r="CQ103" s="3634"/>
      <c r="CR103" s="3634"/>
      <c r="CS103" s="3634"/>
      <c r="CT103" s="3634"/>
      <c r="CU103" s="3634"/>
      <c r="CV103" s="3634"/>
      <c r="CW103" s="3634"/>
      <c r="CX103" s="3634"/>
      <c r="CY103" s="3634"/>
      <c r="CZ103" s="3634"/>
      <c r="DA103" s="3634"/>
      <c r="DB103" s="3634"/>
      <c r="DC103" s="3634"/>
      <c r="DD103" s="3634"/>
      <c r="DE103" s="3634"/>
      <c r="DF103" s="3634"/>
      <c r="DG103" s="3634"/>
      <c r="DH103" s="3634"/>
      <c r="DI103" s="3634"/>
      <c r="DJ103" s="3634"/>
      <c r="DK103" s="3634"/>
      <c r="DL103" s="3634"/>
      <c r="DM103" s="3634"/>
      <c r="DN103" s="3634"/>
      <c r="DO103" s="3634"/>
      <c r="DP103" s="3634"/>
      <c r="DQ103" s="3634"/>
      <c r="DR103" s="3634"/>
      <c r="DS103" s="3634"/>
      <c r="DT103" s="3634"/>
      <c r="DU103" s="3634"/>
      <c r="DV103" s="3634"/>
      <c r="DW103" s="3634"/>
      <c r="DX103" s="3634"/>
      <c r="DY103" s="3634"/>
      <c r="DZ103" s="3634"/>
      <c r="EA103" s="3634"/>
      <c r="EB103" s="3634"/>
      <c r="EC103" s="3634"/>
      <c r="ED103" s="3634"/>
      <c r="EE103" s="3634"/>
      <c r="EF103" s="3634"/>
      <c r="EG103" s="3634"/>
      <c r="EH103" s="3634"/>
      <c r="EI103" s="3634"/>
      <c r="EJ103" s="3634"/>
      <c r="EK103" s="3634"/>
      <c r="EL103" s="3634"/>
      <c r="EM103" s="3634"/>
      <c r="EN103" s="3634"/>
      <c r="EO103" s="3634"/>
      <c r="EP103" s="3634"/>
      <c r="EQ103" s="3634"/>
      <c r="ER103" s="3634"/>
      <c r="ES103" s="3634"/>
      <c r="ET103" s="3634"/>
      <c r="EU103" s="3634"/>
      <c r="EV103" s="3634"/>
      <c r="EW103" s="3634"/>
      <c r="EX103" s="3634"/>
      <c r="EY103" s="3634"/>
      <c r="EZ103" s="3634"/>
      <c r="FA103" s="3634"/>
      <c r="FB103" s="3634"/>
      <c r="FC103" s="3634"/>
      <c r="FD103" s="3634"/>
      <c r="FE103" s="3634"/>
      <c r="FF103" s="3634"/>
      <c r="FG103" s="3634"/>
      <c r="FH103" s="3634"/>
      <c r="FI103" s="3634"/>
      <c r="FJ103" s="3634"/>
      <c r="FK103" s="3634"/>
      <c r="FL103" s="3634"/>
      <c r="FM103" s="3634"/>
    </row>
    <row r="104" spans="1:169" s="27" customFormat="1" ht="30" thickTop="1" thickBot="1" x14ac:dyDescent="0.35">
      <c r="A104" s="82">
        <v>9</v>
      </c>
      <c r="B104" s="3158" t="s">
        <v>447</v>
      </c>
      <c r="C104" s="1029" t="s">
        <v>448</v>
      </c>
      <c r="D104" s="1915" t="s">
        <v>565</v>
      </c>
      <c r="E104" s="1050" t="b">
        <f>IF(AND(E105=TRUE,E108=TRUE,E109=TRUE,E110=TRUE,E111=TRUE,E112=TRUE),TRUE,FALSE)</f>
        <v>0</v>
      </c>
      <c r="F104" s="1726">
        <f>COUNTIF(E106:E112,TRUE)</f>
        <v>0</v>
      </c>
      <c r="G104" s="1726">
        <f>COUNTIFS(E106:E112,TRUE,G106:G112,"Not Blank")</f>
        <v>0</v>
      </c>
      <c r="H104" s="1726">
        <f>COUNTIFS(E106:E112,TRUE,G106:G112,"Not Blank")</f>
        <v>0</v>
      </c>
      <c r="I104" s="3159" t="str">
        <f xml:space="preserve">
IF(F104&gt;7,"Too Many Entries - Check Red Lines",
IF(AND(E104=FALSE,G104=0,H104=0,E104=TRUE),"Nothing Required Below",
IF(G104&lt;F104,"Valid Entry required below - Check Amber Line/s",
IF(AND(E104=FALSE,G104=0,H104=0),"Nothing Entered below Yet",
IF(G104&lt;F104,"Valid Entry required below - Check Amber Line/s",
IF(AND(G104=0,H104&gt;0),"**Non-Valid Entry/ies below - Check Yellow Line/s",
IF(AND(G104&gt;0,H104&gt;0),"**Valid and Non-Valid Entries made below - Check Yellow Line/s",
IF(AND(E104=FALSE,F104&lt;7),"Not all requirements addressed below - Check Pink Line/s",
IF(AND(E104=FALSE,G104&lt;7,G104&gt;0,H104=0),"More entries to come",
IF(AND(E104,TRUE,G104=7,H104=0),"Valid Entries made below"
))))))))))</f>
        <v>Nothing Entered below Yet</v>
      </c>
      <c r="J104" s="3159">
        <f>COUNTIFS(E106:E112,TRUE,J106:J112,"Not Blank")</f>
        <v>0</v>
      </c>
      <c r="K104" s="3159">
        <f>COUNTIFS(E106:E112,TRUE,J106:J112,"Not Blank")</f>
        <v>0</v>
      </c>
      <c r="L104" s="3159" t="str">
        <f xml:space="preserve">
IF(J104&gt;7,"Too Many Entries - Check Red Lines",
IF(AND(E104=FALSE,J104=0,K104=0,E103=TRUE),"Nothing Required Below",
IF(J104&lt;F104,"Valid Entry required below - Check Amber Line/s",
IF(AND(E104=FALSE,J104=0,K104=0),"Nothing Entered below Yet",
IF(AND(J104=0,K104&gt;0),"**Non-Valid Entry/ies below - Check Yellow Line/s",
IF(AND(J104&gt;0,K104&gt;0),"**Valid and Non-Valid Entries made below - Check Yellow Line/s",
IF(AND(E104=FALSE,J104&lt;7),"Not all requirements addressed below - Check Pink Line/s",
IF(AND(E104=FALSE,J104&lt;7,J104&gt;0,K104=0),"More entries to come",
IF(AND(E104,TRUE,J104=7,K104=0),"Valid Entries made below"
)))))))))</f>
        <v>Nothing Entered below Yet</v>
      </c>
      <c r="M104" s="1028"/>
      <c r="N104" s="4446" t="s">
        <v>3</v>
      </c>
      <c r="O104" s="4626" t="b">
        <f>IF(OR(N104="Compliant",N104="FE with work-a-round",N104="Functionally Equivalent"),TRUE,FALSE)</f>
        <v>0</v>
      </c>
      <c r="P104" s="861"/>
      <c r="Q104" s="4183" t="s">
        <v>565</v>
      </c>
      <c r="R104" s="2139" t="b">
        <f>IF(AND(R105=TRUE,R108=TRUE,R109=TRUE,R110=TRUE,R111=TRUE,R112=TRUE),TRUE,FALSE)</f>
        <v>0</v>
      </c>
      <c r="S104" s="842"/>
      <c r="T104" s="842"/>
      <c r="U104" s="861"/>
      <c r="V104" s="4446" t="s">
        <v>3</v>
      </c>
      <c r="W104" s="4696" t="b">
        <f>IF(OR(V104="Compliant",V104="FE with work-a-round",V104="Functionally Equivalent",V104="Not Required/Applicable"),TRUE,FALSE)</f>
        <v>0</v>
      </c>
      <c r="X104" s="842"/>
      <c r="Y104" s="842"/>
      <c r="Z104" s="807"/>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row>
    <row r="105" spans="1:169" s="27" customFormat="1" ht="29.5" thickTop="1" x14ac:dyDescent="0.3">
      <c r="A105" s="239">
        <v>9.1</v>
      </c>
      <c r="B105" s="1907" t="s">
        <v>1706</v>
      </c>
      <c r="C105" s="2154" t="s">
        <v>653</v>
      </c>
      <c r="D105" s="1915" t="s">
        <v>565</v>
      </c>
      <c r="E105" s="659" t="b">
        <f>IF(AND(E106=TRUE,E107=TRUE),TRUE,FALSE)</f>
        <v>0</v>
      </c>
      <c r="F105" s="207">
        <f>COUNTIF(E106:E107,TRUE)</f>
        <v>0</v>
      </c>
      <c r="G105" s="615">
        <f>COUNTIFS(E106:E107,TRUE,G106:G107,"Not Blank")</f>
        <v>0</v>
      </c>
      <c r="H105" s="615">
        <f>COUNTIFS(E106:E107,FALSE,G106:G107,"Not Blank")</f>
        <v>0</v>
      </c>
      <c r="I105" s="3154" t="str">
        <f xml:space="preserve">
IF(F105&gt;2,"Too Many Entries - Check Red Lines",
IF(AND(E105=FALSE,G105=0,H105=0,E105=TRUE),"Nothing Required Below",
IF(G105&lt;F105,"Valid Entry required below - Check Amber Line/s",
IF(AND(E105=FALSE,G105=0,H105=0),"Nothing Entered below Yet",
IF(G105&lt;F105,"Valid Entry required below - Check Amber Line/s",
IF(AND(G105=0,H105&gt;0),"**Non-Valid Entry/ies below - Check Yellow Line/s",
IF(AND(G105&gt;0,H105&gt;0),"**Valid and Non-Valid Entries made below - Check Yellow Line/s",
IF(AND(E105=FALSE,F105&lt;2),"Not all requirements addressed below - Check Pink Line/s",
IF(AND(E105=FALSE,G105&lt;2,G105&gt;0,H105=0),"More entries to come",
IF(AND(E105,TRUE,G105=2,H105=0),"Valid Entries made below"
))))))))))</f>
        <v>Nothing Entered below Yet</v>
      </c>
      <c r="J105" s="3154">
        <f>COUNTIFS(E106:E107,TRUE,J106:J107,"Not Blank")</f>
        <v>0</v>
      </c>
      <c r="K105" s="3154">
        <f>COUNTIFS(E106:E107,FALSE,J106:J107,"Not Blank")</f>
        <v>0</v>
      </c>
      <c r="L105" s="3154" t="str">
        <f xml:space="preserve">
IF(J105&gt;2,"Too Many Entries - Check Red Lines",
IF(AND(E105=FALSE,J105=0,K105=0,E104=TRUE),"Nothing Required Below",
IF(J105&lt;F105,"Valid Entry required below - Check Amber Line/s",
IF(AND(E105=FALSE,J105=0,K105=0),"Nothing Entered below Yet",
IF(AND(J105=0,K105&gt;0),"**Non-Valid Entry/ies below - Check Yellow Line/s",
IF(AND(J105&gt;0,K105&gt;0),"**Valid and Non-Valid Entries made below - Check Yellow Line/s",
IF(AND(E105=FALSE,J105&lt;2),"Not all requirements addressed below - Check Pink Line/s",
IF(AND(E105=FALSE,J105&lt;2,J105&gt;0,K105=0),"More entries to come",
IF(AND(E105,TRUE,J105=2,K105=0),"Valid Entries made below"
)))))))))</f>
        <v>Nothing Entered below Yet</v>
      </c>
      <c r="M105" s="2338"/>
      <c r="N105" s="4447"/>
      <c r="O105" s="4627"/>
      <c r="P105" s="2249"/>
      <c r="Q105" s="4190" t="s">
        <v>565</v>
      </c>
      <c r="R105" s="138" t="b">
        <f>IF(AND(R106=TRUE,R107=TRUE),TRUE,FALSE)</f>
        <v>0</v>
      </c>
      <c r="S105" s="111"/>
      <c r="T105" s="111"/>
      <c r="U105" s="211"/>
      <c r="V105" s="4447"/>
      <c r="W105" s="4691"/>
      <c r="X105" s="111"/>
      <c r="Y105" s="111"/>
      <c r="Z105" s="120"/>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row>
    <row r="106" spans="1:169" s="27" customFormat="1" ht="29" x14ac:dyDescent="0.3">
      <c r="A106" s="60"/>
      <c r="B106" s="1504"/>
      <c r="C106" s="3134" t="s">
        <v>1658</v>
      </c>
      <c r="D106" s="2168" t="s">
        <v>3</v>
      </c>
      <c r="E106" s="67" t="b">
        <f t="shared" ref="E106:E112" si="9">IF(D106="Compliant",TRUE,FALSE)</f>
        <v>0</v>
      </c>
      <c r="F106" s="44"/>
      <c r="G106" s="44" t="str">
        <f t="shared" ref="G106:G112" si="10">IF(I106&lt;&gt;"", "Not Blank", "")</f>
        <v/>
      </c>
      <c r="H106" s="44"/>
      <c r="I106" s="42"/>
      <c r="J106" s="42" t="str">
        <f t="shared" ref="J106:J112" si="11">IF(L106&lt;&gt;"", "Not Blank", "")</f>
        <v/>
      </c>
      <c r="K106" s="42"/>
      <c r="L106" s="42"/>
      <c r="M106" s="455"/>
      <c r="N106" s="4447"/>
      <c r="O106" s="4627"/>
      <c r="P106" s="144"/>
      <c r="Q106" s="1863" t="s">
        <v>3</v>
      </c>
      <c r="R106" s="716" t="b">
        <f t="shared" ref="R106:R112" si="12">IF(OR(Q106="Compliant",Q106="FE with work-a-round",Q106="Functionally Equivalent"),TRUE,FALSE)</f>
        <v>0</v>
      </c>
      <c r="S106" s="44"/>
      <c r="T106" s="44"/>
      <c r="U106" s="68"/>
      <c r="V106" s="4447"/>
      <c r="W106" s="4691"/>
      <c r="X106" s="44"/>
      <c r="Y106" s="44"/>
      <c r="Z106" s="122"/>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row>
    <row r="107" spans="1:169" s="27" customFormat="1" ht="43.5" x14ac:dyDescent="0.3">
      <c r="A107" s="60"/>
      <c r="B107" s="1504"/>
      <c r="C107" s="454" t="s">
        <v>450</v>
      </c>
      <c r="D107" s="319" t="s">
        <v>3</v>
      </c>
      <c r="E107" s="67" t="b">
        <f t="shared" si="9"/>
        <v>0</v>
      </c>
      <c r="F107" s="44"/>
      <c r="G107" s="44" t="str">
        <f t="shared" si="10"/>
        <v/>
      </c>
      <c r="H107" s="44"/>
      <c r="I107" s="44"/>
      <c r="J107" s="44" t="str">
        <f t="shared" si="11"/>
        <v/>
      </c>
      <c r="K107" s="44"/>
      <c r="L107" s="44"/>
      <c r="M107" s="419"/>
      <c r="N107" s="4447"/>
      <c r="O107" s="4627"/>
      <c r="P107" s="68"/>
      <c r="Q107" s="1060"/>
      <c r="R107" s="716" t="b">
        <f t="shared" si="12"/>
        <v>0</v>
      </c>
      <c r="S107" s="44"/>
      <c r="T107" s="44"/>
      <c r="U107" s="68"/>
      <c r="V107" s="4447"/>
      <c r="W107" s="4691"/>
      <c r="X107" s="44"/>
      <c r="Y107" s="44"/>
      <c r="Z107" s="122"/>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row>
    <row r="108" spans="1:169" s="27" customFormat="1" ht="29" x14ac:dyDescent="0.3">
      <c r="A108" s="60">
        <v>9.1999999999999993</v>
      </c>
      <c r="B108" s="1504"/>
      <c r="C108" s="454" t="s">
        <v>451</v>
      </c>
      <c r="D108" s="319" t="s">
        <v>3</v>
      </c>
      <c r="E108" s="67" t="b">
        <f t="shared" si="9"/>
        <v>0</v>
      </c>
      <c r="F108" s="44"/>
      <c r="G108" s="44" t="str">
        <f t="shared" si="10"/>
        <v/>
      </c>
      <c r="H108" s="44"/>
      <c r="I108" s="44"/>
      <c r="J108" s="44" t="str">
        <f t="shared" si="11"/>
        <v/>
      </c>
      <c r="K108" s="44"/>
      <c r="L108" s="44"/>
      <c r="M108" s="419"/>
      <c r="N108" s="4447"/>
      <c r="O108" s="4627"/>
      <c r="P108" s="68"/>
      <c r="Q108" s="1060"/>
      <c r="R108" s="716" t="b">
        <f t="shared" si="12"/>
        <v>0</v>
      </c>
      <c r="S108" s="44"/>
      <c r="T108" s="44"/>
      <c r="U108" s="68"/>
      <c r="V108" s="4447"/>
      <c r="W108" s="4691"/>
      <c r="X108" s="44"/>
      <c r="Y108" s="44"/>
      <c r="Z108" s="122"/>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row>
    <row r="109" spans="1:169" s="27" customFormat="1" ht="29.5" thickBot="1" x14ac:dyDescent="0.35">
      <c r="A109" s="60">
        <v>9.3000000000000007</v>
      </c>
      <c r="B109" s="1504"/>
      <c r="C109" s="454" t="s">
        <v>452</v>
      </c>
      <c r="D109" s="319" t="s">
        <v>3</v>
      </c>
      <c r="E109" s="67" t="b">
        <f t="shared" si="9"/>
        <v>0</v>
      </c>
      <c r="F109" s="44"/>
      <c r="G109" s="44" t="str">
        <f t="shared" si="10"/>
        <v/>
      </c>
      <c r="H109" s="44"/>
      <c r="I109" s="44"/>
      <c r="J109" s="44" t="str">
        <f t="shared" si="11"/>
        <v/>
      </c>
      <c r="K109" s="44"/>
      <c r="L109" s="79"/>
      <c r="M109" s="419"/>
      <c r="N109" s="4447" t="s">
        <v>3</v>
      </c>
      <c r="O109" s="4627"/>
      <c r="P109" s="68"/>
      <c r="Q109" s="1060"/>
      <c r="R109" s="716" t="b">
        <f t="shared" si="12"/>
        <v>0</v>
      </c>
      <c r="S109" s="44"/>
      <c r="T109" s="44"/>
      <c r="U109" s="68"/>
      <c r="V109" s="4447" t="s">
        <v>3</v>
      </c>
      <c r="W109" s="4691"/>
      <c r="X109" s="44"/>
      <c r="Y109" s="44"/>
      <c r="Z109" s="122"/>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row>
    <row r="110" spans="1:169" s="27" customFormat="1" ht="44.5" thickTop="1" thickBot="1" x14ac:dyDescent="0.35">
      <c r="A110" s="60">
        <v>9.4</v>
      </c>
      <c r="B110" s="1504"/>
      <c r="C110" s="454" t="s">
        <v>453</v>
      </c>
      <c r="D110" s="319" t="s">
        <v>3</v>
      </c>
      <c r="E110" s="67" t="b">
        <f t="shared" si="9"/>
        <v>0</v>
      </c>
      <c r="F110" s="44"/>
      <c r="G110" s="44" t="str">
        <f t="shared" si="10"/>
        <v/>
      </c>
      <c r="H110" s="44"/>
      <c r="I110" s="44"/>
      <c r="J110" s="44" t="str">
        <f t="shared" si="11"/>
        <v/>
      </c>
      <c r="K110" s="68"/>
      <c r="L110" s="102"/>
      <c r="M110" s="1052"/>
      <c r="N110" s="4447"/>
      <c r="O110" s="4627"/>
      <c r="P110" s="68"/>
      <c r="Q110" s="1060"/>
      <c r="R110" s="716" t="b">
        <f t="shared" si="12"/>
        <v>0</v>
      </c>
      <c r="S110" s="44"/>
      <c r="T110" s="44"/>
      <c r="U110" s="68"/>
      <c r="V110" s="4447"/>
      <c r="W110" s="4691"/>
      <c r="X110" s="44"/>
      <c r="Y110" s="44"/>
      <c r="Z110" s="122"/>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row>
    <row r="111" spans="1:169" s="27" customFormat="1" ht="87.5" thickTop="1" x14ac:dyDescent="0.3">
      <c r="A111" s="60">
        <v>9.5</v>
      </c>
      <c r="B111" s="1504"/>
      <c r="C111" s="454" t="s">
        <v>454</v>
      </c>
      <c r="D111" s="319" t="s">
        <v>3</v>
      </c>
      <c r="E111" s="67" t="b">
        <f t="shared" si="9"/>
        <v>0</v>
      </c>
      <c r="F111" s="44"/>
      <c r="G111" s="44"/>
      <c r="H111" s="44"/>
      <c r="I111" s="44"/>
      <c r="J111" s="44" t="str">
        <f t="shared" si="11"/>
        <v/>
      </c>
      <c r="K111" s="44"/>
      <c r="L111" s="42"/>
      <c r="M111" s="419"/>
      <c r="N111" s="4447"/>
      <c r="O111" s="4627"/>
      <c r="P111" s="68"/>
      <c r="Q111" s="1060" t="s">
        <v>3</v>
      </c>
      <c r="R111" s="716" t="b">
        <f t="shared" si="12"/>
        <v>0</v>
      </c>
      <c r="S111" s="44"/>
      <c r="T111" s="44"/>
      <c r="U111" s="68"/>
      <c r="V111" s="4447"/>
      <c r="W111" s="4691"/>
      <c r="X111" s="44"/>
      <c r="Y111" s="44"/>
      <c r="Z111" s="122"/>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row>
    <row r="112" spans="1:169" s="27" customFormat="1" ht="29.5" thickBot="1" x14ac:dyDescent="0.35">
      <c r="A112" s="60">
        <v>9.6</v>
      </c>
      <c r="B112" s="1505"/>
      <c r="C112" s="3135" t="s">
        <v>455</v>
      </c>
      <c r="D112" s="230" t="s">
        <v>3</v>
      </c>
      <c r="E112" s="161" t="b">
        <f t="shared" si="9"/>
        <v>0</v>
      </c>
      <c r="F112" s="124"/>
      <c r="G112" s="124" t="str">
        <f t="shared" si="10"/>
        <v/>
      </c>
      <c r="H112" s="124"/>
      <c r="I112" s="124"/>
      <c r="J112" s="124" t="str">
        <f t="shared" si="11"/>
        <v/>
      </c>
      <c r="K112" s="124"/>
      <c r="L112" s="124"/>
      <c r="M112" s="421"/>
      <c r="N112" s="4448"/>
      <c r="O112" s="4628"/>
      <c r="P112" s="246"/>
      <c r="Q112" s="1017" t="s">
        <v>3</v>
      </c>
      <c r="R112" s="921" t="b">
        <f t="shared" si="12"/>
        <v>0</v>
      </c>
      <c r="S112" s="124"/>
      <c r="T112" s="124"/>
      <c r="U112" s="246"/>
      <c r="V112" s="4448"/>
      <c r="W112" s="4692"/>
      <c r="X112" s="124"/>
      <c r="Y112" s="124"/>
      <c r="Z112" s="125"/>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row>
    <row r="113" spans="1:169" s="3730" customFormat="1" ht="15.5" thickTop="1" thickBot="1" x14ac:dyDescent="0.35">
      <c r="B113" s="3634"/>
      <c r="C113" s="3634"/>
      <c r="D113" s="3638"/>
      <c r="E113" s="3634"/>
      <c r="F113" s="3634"/>
      <c r="G113" s="3634"/>
      <c r="H113" s="3634"/>
      <c r="I113" s="3634"/>
      <c r="J113" s="3634"/>
      <c r="K113" s="3634"/>
      <c r="L113" s="3634"/>
      <c r="M113" s="3634"/>
      <c r="N113" s="3638"/>
      <c r="O113" s="3634"/>
      <c r="P113" s="3634"/>
      <c r="Q113" s="3634"/>
      <c r="R113" s="3634"/>
      <c r="S113" s="3634"/>
      <c r="T113" s="3634"/>
      <c r="U113" s="3634"/>
      <c r="V113" s="3634"/>
      <c r="W113" s="3643"/>
      <c r="X113" s="3634"/>
      <c r="Y113" s="3634"/>
      <c r="Z113" s="3634"/>
      <c r="AA113" s="3634"/>
      <c r="AB113" s="3634"/>
      <c r="AC113" s="3634"/>
      <c r="AD113" s="3634"/>
      <c r="AE113" s="3634"/>
      <c r="AF113" s="3634"/>
      <c r="AG113" s="3634"/>
      <c r="AH113" s="3634"/>
      <c r="AI113" s="3634"/>
      <c r="AJ113" s="3634"/>
      <c r="AK113" s="3634"/>
      <c r="AL113" s="3634"/>
      <c r="AM113" s="3634"/>
      <c r="AN113" s="3634"/>
      <c r="AO113" s="3634"/>
      <c r="AP113" s="3634"/>
      <c r="AQ113" s="3634"/>
      <c r="AR113" s="3634"/>
      <c r="AS113" s="3634"/>
      <c r="AT113" s="3634"/>
      <c r="AU113" s="3634"/>
      <c r="AV113" s="3634"/>
      <c r="AW113" s="3634"/>
      <c r="AX113" s="3634"/>
      <c r="AY113" s="3634"/>
      <c r="AZ113" s="3634"/>
      <c r="BA113" s="3634"/>
      <c r="BB113" s="3634"/>
      <c r="BC113" s="3634"/>
      <c r="BD113" s="3634"/>
      <c r="BE113" s="3634"/>
      <c r="BF113" s="3634"/>
      <c r="BG113" s="3634"/>
      <c r="BH113" s="3634"/>
      <c r="BI113" s="3634"/>
      <c r="BJ113" s="3634"/>
      <c r="BK113" s="3634"/>
      <c r="BL113" s="3634"/>
      <c r="BM113" s="3634"/>
      <c r="BN113" s="3634"/>
      <c r="BO113" s="3634"/>
      <c r="BP113" s="3634"/>
      <c r="BQ113" s="3634"/>
      <c r="BR113" s="3634"/>
      <c r="BS113" s="3634"/>
      <c r="BT113" s="3634"/>
      <c r="BU113" s="3634"/>
      <c r="BV113" s="3634"/>
      <c r="BW113" s="3634"/>
      <c r="BX113" s="3634"/>
      <c r="BY113" s="3634"/>
      <c r="BZ113" s="3634"/>
      <c r="CA113" s="3634"/>
      <c r="CB113" s="3634"/>
      <c r="CC113" s="3634"/>
      <c r="CD113" s="3634"/>
      <c r="CE113" s="3634"/>
      <c r="CF113" s="3634"/>
      <c r="CG113" s="3634"/>
      <c r="CH113" s="3634"/>
      <c r="CI113" s="3634"/>
      <c r="CJ113" s="3634"/>
      <c r="CK113" s="3634"/>
      <c r="CL113" s="3634"/>
      <c r="CM113" s="3634"/>
      <c r="CN113" s="3634"/>
      <c r="CO113" s="3634"/>
      <c r="CP113" s="3634"/>
      <c r="CQ113" s="3634"/>
      <c r="CR113" s="3634"/>
      <c r="CS113" s="3634"/>
      <c r="CT113" s="3634"/>
      <c r="CU113" s="3634"/>
      <c r="CV113" s="3634"/>
      <c r="CW113" s="3634"/>
      <c r="CX113" s="3634"/>
      <c r="CY113" s="3634"/>
      <c r="CZ113" s="3634"/>
      <c r="DA113" s="3634"/>
      <c r="DB113" s="3634"/>
      <c r="DC113" s="3634"/>
      <c r="DD113" s="3634"/>
      <c r="DE113" s="3634"/>
      <c r="DF113" s="3634"/>
      <c r="DG113" s="3634"/>
      <c r="DH113" s="3634"/>
      <c r="DI113" s="3634"/>
      <c r="DJ113" s="3634"/>
      <c r="DK113" s="3634"/>
      <c r="DL113" s="3634"/>
      <c r="DM113" s="3634"/>
      <c r="DN113" s="3634"/>
      <c r="DO113" s="3634"/>
      <c r="DP113" s="3634"/>
      <c r="DQ113" s="3634"/>
      <c r="DR113" s="3634"/>
      <c r="DS113" s="3634"/>
      <c r="DT113" s="3634"/>
      <c r="DU113" s="3634"/>
      <c r="DV113" s="3634"/>
      <c r="DW113" s="3634"/>
      <c r="DX113" s="3634"/>
      <c r="DY113" s="3634"/>
      <c r="DZ113" s="3634"/>
      <c r="EA113" s="3634"/>
      <c r="EB113" s="3634"/>
      <c r="EC113" s="3634"/>
      <c r="ED113" s="3634"/>
      <c r="EE113" s="3634"/>
      <c r="EF113" s="3634"/>
      <c r="EG113" s="3634"/>
      <c r="EH113" s="3634"/>
      <c r="EI113" s="3634"/>
      <c r="EJ113" s="3634"/>
      <c r="EK113" s="3634"/>
      <c r="EL113" s="3634"/>
      <c r="EM113" s="3634"/>
      <c r="EN113" s="3634"/>
      <c r="EO113" s="3634"/>
      <c r="EP113" s="3634"/>
      <c r="EQ113" s="3634"/>
      <c r="ER113" s="3634"/>
      <c r="ES113" s="3634"/>
      <c r="ET113" s="3634"/>
      <c r="EU113" s="3634"/>
      <c r="EV113" s="3634"/>
      <c r="EW113" s="3634"/>
      <c r="EX113" s="3634"/>
      <c r="EY113" s="3634"/>
      <c r="EZ113" s="3634"/>
      <c r="FA113" s="3634"/>
      <c r="FB113" s="3634"/>
      <c r="FC113" s="3634"/>
      <c r="FD113" s="3634"/>
      <c r="FE113" s="3634"/>
      <c r="FF113" s="3634"/>
      <c r="FG113" s="3634"/>
      <c r="FH113" s="3634"/>
      <c r="FI113" s="3634"/>
      <c r="FJ113" s="3634"/>
      <c r="FK113" s="3634"/>
      <c r="FL113" s="3634"/>
      <c r="FM113" s="3634"/>
    </row>
    <row r="114" spans="1:169" s="27" customFormat="1" ht="44.5" thickTop="1" thickBot="1" x14ac:dyDescent="0.35">
      <c r="A114" s="60">
        <v>10</v>
      </c>
      <c r="B114" s="1808" t="s">
        <v>456</v>
      </c>
      <c r="C114" s="3099" t="s">
        <v>654</v>
      </c>
      <c r="D114" s="102" t="s">
        <v>3</v>
      </c>
      <c r="E114" s="231" t="b">
        <f>IF(D114="Compliant",TRUE,FALSE)</f>
        <v>0</v>
      </c>
      <c r="F114" s="133">
        <f>COUNTIF(E114,TRUE)</f>
        <v>0</v>
      </c>
      <c r="G114" s="133" t="str">
        <f>IF(I114&lt;&gt;"", "Not Blank", "")</f>
        <v/>
      </c>
      <c r="H114" s="133"/>
      <c r="I114" s="133"/>
      <c r="J114" s="133" t="str">
        <f>IF(L114&lt;&gt;"", "Not Blank", "")</f>
        <v/>
      </c>
      <c r="K114" s="133"/>
      <c r="L114" s="133"/>
      <c r="M114" s="1051"/>
      <c r="N114" s="1188" t="s">
        <v>3</v>
      </c>
      <c r="O114" s="1036" t="b">
        <f>IF(OR(N114="Compliant",N114="FE with work-a-round",N114="Functionally Equivalent"),TRUE,FALSE)</f>
        <v>0</v>
      </c>
      <c r="P114" s="579"/>
      <c r="Q114" s="1188" t="s">
        <v>3</v>
      </c>
      <c r="R114" s="464" t="b">
        <f>IF(OR(Q114="Compliant",Q114="FE with work-a-round",Q114="Functionally Equivalent"),TRUE,FALSE)</f>
        <v>0</v>
      </c>
      <c r="S114" s="133"/>
      <c r="T114" s="133"/>
      <c r="U114" s="579"/>
      <c r="V114" s="1188" t="s">
        <v>3</v>
      </c>
      <c r="W114" s="2432" t="b">
        <f>IF(OR(V114="Compliant",V114="FE with work-a-round",V114="Functionally Equivalent",V114="Not Required/Applicable"),TRUE,FALSE)</f>
        <v>0</v>
      </c>
      <c r="X114" s="133"/>
      <c r="Y114" s="133"/>
      <c r="Z114" s="134"/>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row>
    <row r="115" spans="1:169" s="3668" customFormat="1" ht="15" thickTop="1" x14ac:dyDescent="0.3">
      <c r="A115" s="3651"/>
      <c r="B115" s="3634"/>
      <c r="C115" s="3634"/>
      <c r="D115" s="3634"/>
      <c r="E115" s="3636"/>
      <c r="F115" s="3636"/>
      <c r="G115" s="3662"/>
      <c r="H115" s="3663"/>
      <c r="I115" s="3664"/>
      <c r="J115" s="3643"/>
      <c r="K115" s="3643"/>
      <c r="L115" s="3634"/>
      <c r="M115" s="3634"/>
      <c r="N115" s="3735"/>
      <c r="O115" s="3641"/>
      <c r="P115" s="3634"/>
      <c r="Q115" s="3634"/>
      <c r="R115" s="3634"/>
      <c r="S115" s="3634"/>
      <c r="T115" s="3634"/>
      <c r="U115" s="3634"/>
      <c r="V115" s="3700"/>
      <c r="W115" s="3641"/>
      <c r="X115" s="3634"/>
      <c r="Y115" s="3634"/>
      <c r="Z115" s="3634"/>
      <c r="AA115" s="3634"/>
      <c r="AB115" s="3634"/>
      <c r="AC115" s="3634"/>
      <c r="AD115" s="3634"/>
      <c r="AE115" s="3634"/>
      <c r="AF115" s="3634"/>
      <c r="AG115" s="3634"/>
      <c r="AH115" s="3634"/>
      <c r="AI115" s="3634"/>
      <c r="AJ115" s="3634"/>
      <c r="AK115" s="3634"/>
      <c r="AL115" s="3634"/>
      <c r="AM115" s="3634"/>
      <c r="AN115" s="3634"/>
      <c r="AO115" s="3634"/>
      <c r="AP115" s="3634"/>
      <c r="AQ115" s="3634"/>
      <c r="AR115" s="3634"/>
      <c r="AS115" s="3634"/>
      <c r="AT115" s="3634"/>
      <c r="AU115" s="3634"/>
      <c r="AV115" s="3634"/>
      <c r="AW115" s="3634"/>
      <c r="AX115" s="3634"/>
      <c r="AY115" s="3634"/>
      <c r="AZ115" s="3634"/>
      <c r="BA115" s="3634"/>
      <c r="BB115" s="3634"/>
      <c r="BC115" s="3634"/>
      <c r="BD115" s="3634"/>
      <c r="BE115" s="3634"/>
      <c r="BF115" s="3634"/>
      <c r="BG115" s="3634"/>
      <c r="BH115" s="3634"/>
      <c r="BI115" s="3634"/>
      <c r="BJ115" s="3634"/>
      <c r="BK115" s="3634"/>
      <c r="BL115" s="3634"/>
      <c r="BM115" s="3634"/>
      <c r="BN115" s="3634"/>
      <c r="BO115" s="3634"/>
      <c r="BP115" s="3634"/>
      <c r="BQ115" s="3634"/>
      <c r="BR115" s="3634"/>
      <c r="BS115" s="3634"/>
      <c r="BT115" s="3634"/>
      <c r="BU115" s="3634"/>
      <c r="BV115" s="3634"/>
      <c r="BW115" s="3634"/>
      <c r="BX115" s="3634"/>
      <c r="BY115" s="3634"/>
      <c r="BZ115" s="3634"/>
      <c r="CA115" s="3634"/>
      <c r="CB115" s="3634"/>
      <c r="CC115" s="3634"/>
      <c r="CD115" s="3634"/>
      <c r="CE115" s="3634"/>
      <c r="CF115" s="3634"/>
      <c r="CG115" s="3634"/>
      <c r="CH115" s="3634"/>
      <c r="CI115" s="3634"/>
      <c r="CJ115" s="3634"/>
      <c r="CK115" s="3634"/>
      <c r="CL115" s="3634"/>
      <c r="CM115" s="3634"/>
      <c r="CN115" s="3634"/>
      <c r="CO115" s="3634"/>
      <c r="CP115" s="3634"/>
      <c r="CQ115" s="3634"/>
      <c r="CR115" s="3634"/>
      <c r="CS115" s="3634"/>
      <c r="CT115" s="3634"/>
      <c r="CU115" s="3634"/>
      <c r="CV115" s="3634"/>
      <c r="CW115" s="3634"/>
      <c r="CX115" s="3634"/>
      <c r="CY115" s="3634"/>
      <c r="CZ115" s="3634"/>
      <c r="DA115" s="3634"/>
      <c r="DB115" s="3634"/>
      <c r="DC115" s="3634"/>
      <c r="DD115" s="3634"/>
      <c r="DE115" s="3634"/>
      <c r="DF115" s="3634"/>
      <c r="DG115" s="3634"/>
      <c r="DH115" s="3634"/>
      <c r="DI115" s="3634"/>
      <c r="DJ115" s="3634"/>
      <c r="DK115" s="3634"/>
      <c r="DL115" s="3634"/>
      <c r="DM115" s="3634"/>
      <c r="DN115" s="3634"/>
      <c r="DO115" s="3634"/>
      <c r="DP115" s="3634"/>
      <c r="DQ115" s="3634"/>
      <c r="DR115" s="3634"/>
      <c r="DS115" s="3634"/>
      <c r="DT115" s="3634"/>
      <c r="DU115" s="3634"/>
      <c r="DV115" s="3634"/>
      <c r="DW115" s="3634"/>
      <c r="DX115" s="3634"/>
      <c r="DY115" s="3634"/>
      <c r="DZ115" s="3634"/>
      <c r="EA115" s="3634"/>
      <c r="EB115" s="3634"/>
      <c r="EC115" s="3634"/>
      <c r="ED115" s="3634"/>
      <c r="EE115" s="3634"/>
      <c r="EF115" s="3634"/>
      <c r="EG115" s="3634"/>
      <c r="EH115" s="3634"/>
      <c r="EI115" s="3634"/>
      <c r="EJ115" s="3634"/>
      <c r="EK115" s="3634"/>
      <c r="EL115" s="3634"/>
      <c r="EM115" s="3634"/>
      <c r="EN115" s="3634"/>
      <c r="EO115" s="3634"/>
      <c r="EP115" s="3634"/>
      <c r="EQ115" s="3634"/>
      <c r="ER115" s="3634"/>
      <c r="ES115" s="3634"/>
      <c r="ET115" s="3634"/>
      <c r="EU115" s="3634"/>
      <c r="EV115" s="3634"/>
      <c r="EW115" s="3634"/>
      <c r="EX115" s="3634"/>
      <c r="EY115" s="3634"/>
      <c r="EZ115" s="3634"/>
      <c r="FA115" s="3634"/>
      <c r="FB115" s="3634"/>
      <c r="FC115" s="3634"/>
      <c r="FD115" s="3634"/>
      <c r="FE115" s="3634"/>
      <c r="FF115" s="3634"/>
      <c r="FG115" s="3634"/>
      <c r="FH115" s="3634"/>
      <c r="FI115" s="3634"/>
      <c r="FJ115" s="3634"/>
      <c r="FK115" s="3634"/>
      <c r="FL115" s="3634"/>
      <c r="FM115" s="3634"/>
    </row>
    <row r="116" spans="1:169" s="3640" customFormat="1" ht="18.5" x14ac:dyDescent="0.3">
      <c r="A116" s="4482" t="s">
        <v>1139</v>
      </c>
      <c r="B116" s="4483"/>
      <c r="C116" s="4483"/>
      <c r="D116" s="4483"/>
      <c r="E116" s="4483"/>
      <c r="F116" s="4483"/>
      <c r="G116" s="4483"/>
      <c r="H116" s="4483"/>
      <c r="I116" s="4483"/>
      <c r="J116" s="4483"/>
      <c r="K116" s="4483"/>
      <c r="L116" s="4483"/>
      <c r="M116" s="4483"/>
      <c r="N116" s="4483"/>
      <c r="O116" s="3669"/>
      <c r="P116" s="3670"/>
      <c r="Q116" s="3670"/>
      <c r="R116" s="3670"/>
      <c r="S116" s="3671"/>
      <c r="T116" s="3672"/>
      <c r="U116" s="3672"/>
      <c r="V116" s="3673"/>
      <c r="W116" s="3717"/>
      <c r="X116" s="3674"/>
      <c r="Y116" s="3675"/>
      <c r="Z116" s="3676"/>
    </row>
    <row r="117" spans="1:169" s="3678" customFormat="1" ht="15" thickBot="1" x14ac:dyDescent="0.35">
      <c r="A117" s="3634"/>
      <c r="B117" s="3638"/>
      <c r="C117" s="3638"/>
      <c r="D117" s="3634"/>
      <c r="E117" s="3637"/>
      <c r="F117" s="3637"/>
      <c r="G117" s="3736"/>
      <c r="H117" s="3737"/>
      <c r="I117" s="3638"/>
      <c r="J117" s="3738"/>
      <c r="K117" s="3738"/>
      <c r="L117" s="3638"/>
      <c r="M117" s="3638"/>
      <c r="N117" s="3714"/>
      <c r="O117" s="3714"/>
      <c r="P117" s="3638"/>
      <c r="Q117" s="3638"/>
      <c r="R117" s="3638"/>
      <c r="S117" s="3638"/>
      <c r="T117" s="3638"/>
      <c r="U117" s="3638"/>
      <c r="V117" s="3642"/>
      <c r="W117" s="3641"/>
      <c r="X117" s="3634"/>
      <c r="Y117" s="3634"/>
      <c r="Z117" s="3634"/>
      <c r="AA117" s="3634"/>
      <c r="AB117" s="3634"/>
      <c r="AC117" s="3634"/>
      <c r="AD117" s="3634"/>
      <c r="AE117" s="3634"/>
      <c r="AF117" s="3634"/>
      <c r="AG117" s="3634"/>
      <c r="AH117" s="3634"/>
      <c r="AI117" s="3634"/>
      <c r="AJ117" s="3634"/>
      <c r="AK117" s="3634"/>
      <c r="AL117" s="3634"/>
      <c r="AM117" s="3634"/>
      <c r="AN117" s="3634"/>
      <c r="AO117" s="3634"/>
      <c r="AP117" s="3634"/>
      <c r="AQ117" s="3634"/>
      <c r="AR117" s="3634"/>
      <c r="AS117" s="3634"/>
      <c r="AT117" s="3634"/>
      <c r="AU117" s="3634"/>
      <c r="AV117" s="3634"/>
      <c r="AW117" s="3634"/>
      <c r="AX117" s="3634"/>
      <c r="AY117" s="3634"/>
      <c r="AZ117" s="3634"/>
      <c r="BA117" s="3634"/>
      <c r="BB117" s="3634"/>
      <c r="BC117" s="3634"/>
      <c r="BD117" s="3634"/>
      <c r="BE117" s="3634"/>
      <c r="BF117" s="3634"/>
      <c r="BG117" s="3634"/>
      <c r="BH117" s="3634"/>
      <c r="BI117" s="3634"/>
      <c r="BJ117" s="3634"/>
      <c r="BK117" s="3634"/>
      <c r="BL117" s="3634"/>
      <c r="BM117" s="3634"/>
      <c r="BN117" s="3634"/>
      <c r="BO117" s="3634"/>
      <c r="BP117" s="3634"/>
      <c r="BQ117" s="3634"/>
      <c r="BR117" s="3634"/>
      <c r="BS117" s="3634"/>
      <c r="BT117" s="3634"/>
      <c r="BU117" s="3634"/>
      <c r="BV117" s="3634"/>
      <c r="BW117" s="3634"/>
      <c r="BX117" s="3634"/>
      <c r="BY117" s="3634"/>
      <c r="BZ117" s="3634"/>
      <c r="CA117" s="3634"/>
      <c r="CB117" s="3634"/>
      <c r="CC117" s="3634"/>
      <c r="CD117" s="3634"/>
      <c r="CE117" s="3634"/>
      <c r="CF117" s="3634"/>
      <c r="CG117" s="3634"/>
      <c r="CH117" s="3634"/>
      <c r="CI117" s="3634"/>
      <c r="CJ117" s="3634"/>
      <c r="CK117" s="3634"/>
      <c r="CL117" s="3634"/>
      <c r="CM117" s="3634"/>
      <c r="CN117" s="3634"/>
      <c r="CO117" s="3634"/>
      <c r="CP117" s="3634"/>
      <c r="CQ117" s="3634"/>
      <c r="CR117" s="3634"/>
      <c r="CS117" s="3634"/>
      <c r="CT117" s="3634"/>
      <c r="CU117" s="3634"/>
      <c r="CV117" s="3634"/>
      <c r="CW117" s="3634"/>
      <c r="CX117" s="3634"/>
      <c r="CY117" s="3634"/>
      <c r="CZ117" s="3634"/>
      <c r="DA117" s="3634"/>
      <c r="DB117" s="3634"/>
      <c r="DC117" s="3634"/>
      <c r="DD117" s="3634"/>
      <c r="DE117" s="3634"/>
      <c r="DF117" s="3634"/>
      <c r="DG117" s="3634"/>
      <c r="DH117" s="3634"/>
      <c r="DI117" s="3634"/>
      <c r="DJ117" s="3634"/>
      <c r="DK117" s="3634"/>
      <c r="DL117" s="3634"/>
      <c r="DM117" s="3634"/>
      <c r="DN117" s="3634"/>
      <c r="DO117" s="3634"/>
      <c r="DP117" s="3634"/>
      <c r="DQ117" s="3634"/>
      <c r="DR117" s="3634"/>
      <c r="DS117" s="3634"/>
      <c r="DT117" s="3634"/>
      <c r="DU117" s="3634"/>
      <c r="DV117" s="3634"/>
      <c r="DW117" s="3634"/>
      <c r="DX117" s="3634"/>
      <c r="DY117" s="3634"/>
      <c r="DZ117" s="3634"/>
      <c r="EA117" s="3634"/>
      <c r="EB117" s="3634"/>
      <c r="EC117" s="3634"/>
      <c r="ED117" s="3634"/>
      <c r="EE117" s="3634"/>
      <c r="EF117" s="3634"/>
      <c r="EG117" s="3634"/>
      <c r="EH117" s="3634"/>
      <c r="EI117" s="3634"/>
      <c r="EJ117" s="3634"/>
      <c r="EK117" s="3634"/>
      <c r="EL117" s="3634"/>
      <c r="EM117" s="3634"/>
      <c r="EN117" s="3634"/>
      <c r="EO117" s="3634"/>
      <c r="EP117" s="3634"/>
      <c r="EQ117" s="3634"/>
      <c r="ER117" s="3634"/>
      <c r="ES117" s="3634"/>
      <c r="ET117" s="3634"/>
      <c r="EU117" s="3634"/>
      <c r="EV117" s="3634"/>
      <c r="EW117" s="3634"/>
      <c r="EX117" s="3634"/>
      <c r="EY117" s="3634"/>
      <c r="EZ117" s="3634"/>
      <c r="FA117" s="3634"/>
      <c r="FB117" s="3634"/>
      <c r="FC117" s="3634"/>
      <c r="FD117" s="3634"/>
      <c r="FE117" s="3634"/>
      <c r="FF117" s="3634"/>
      <c r="FG117" s="3634"/>
      <c r="FH117" s="3634"/>
      <c r="FI117" s="3634"/>
      <c r="FJ117" s="3634"/>
      <c r="FK117" s="3634"/>
      <c r="FL117" s="3634"/>
      <c r="FM117" s="3634"/>
    </row>
    <row r="118" spans="1:169" s="651" customFormat="1" ht="32" thickTop="1" thickBot="1" x14ac:dyDescent="0.35">
      <c r="A118" s="684">
        <v>11</v>
      </c>
      <c r="B118" s="3160" t="s">
        <v>769</v>
      </c>
      <c r="C118" s="3161" t="s">
        <v>565</v>
      </c>
      <c r="D118" s="3164" t="s">
        <v>565</v>
      </c>
      <c r="E118" s="3165" t="b">
        <f>IF(AND(E119=TRUE,E123=TRUE,E148=TRUE),TRUE,FALSE)</f>
        <v>0</v>
      </c>
      <c r="F118" s="3166">
        <f>SUM(F119,F123)</f>
        <v>0</v>
      </c>
      <c r="G118" s="3166">
        <f>SUM(G119,G123)</f>
        <v>0</v>
      </c>
      <c r="H118" s="3166">
        <f>SUM(H119,H123)</f>
        <v>0</v>
      </c>
      <c r="I118" s="3167" t="str">
        <f xml:space="preserve">
IF(F118&gt;48,"Too Many Entries - Check Red Lines",
IF(AND(E118=FALSE,G118=0,H118=0),"Nothing Entered below Yet",
IF(AND(G118=0,H118&gt;0),"**Non-Valid Entry/ies below - Check Yellow Line/s",
IF(G118&lt;F118,"Valid Entry required below - Check Amber box",
IF(AND(G118&gt;0,H118&gt;0),"**Valid and Non-Valid Entries made below - Check Yellow Line/s",
IF(AND(E118=FALSE,F118&lt;48),"Not all requirements addressed below - Check Pink Line/s",
IF(AND(E118=FALSE,G118&lt;48,G118&gt;0,H118=0),"More entries to come",
IF(AND(E118,TRUE,G118=48,H118=0),"Valid Entries made below"
))))))))</f>
        <v>Nothing Entered below Yet</v>
      </c>
      <c r="J118" s="3167">
        <f>SUM(J119,J123)</f>
        <v>0</v>
      </c>
      <c r="K118" s="3167">
        <f>SUM(K119,K123)</f>
        <v>0</v>
      </c>
      <c r="L118" s="3167" t="str">
        <f xml:space="preserve">
IF(J118&gt;48,"Too Many Entries - Check Red Lines",
IF(AND(E118=FALSE,J118=0,K118=0,E118=TRUE),"Nothing Required Below",
IF(J118&lt;F118,"Valid Entry required below - Check Amber Line/s",
IF(AND(E118=FALSE,J118=0,K118=0),"Nothing Entered below Yet",
IF(AND(J118=0,K118&gt;0),"**Non-Valid Entry/ies below - Check Yellow Line/s",
IF(AND(J118&gt;0,K118&gt;0),"**Valid and Non-Valid Entries made below - Check Yellow Line/s",
IF(AND(E118=FALSE,J118&lt;48),"Not all requirements addressed below - Check Pink Line/s",
IF(AND(E118=FALSE,J118&lt;48,J118&gt;0,K118=0),"More entries to come",
IF(AND(E118,TRUE,J118=48,K118=0),"Valid Entries made below"
)))))))))</f>
        <v>Nothing Entered below Yet</v>
      </c>
      <c r="M118" s="1003"/>
      <c r="N118" s="4170" t="s">
        <v>565</v>
      </c>
      <c r="O118" s="1186" t="b">
        <f>IF(AND(O119=TRUE,O122=TRUE,O123=TRUE),TRUE,FALSE)</f>
        <v>0</v>
      </c>
      <c r="P118" s="1006"/>
      <c r="Q118" s="4170" t="s">
        <v>565</v>
      </c>
      <c r="R118" s="1186" t="b">
        <f>IF(AND(R119=TRUE,R123=TRUE,R148=TRUE),TRUE,FALSE)</f>
        <v>0</v>
      </c>
      <c r="S118" s="1005"/>
      <c r="T118" s="1005"/>
      <c r="U118" s="1006"/>
      <c r="V118" s="4170" t="s">
        <v>565</v>
      </c>
      <c r="W118" s="1185" t="b">
        <f>IF(AND(W119=TRUE,W122=TRUE,W123=TRUE),TRUE,FALSE)</f>
        <v>0</v>
      </c>
      <c r="X118" s="1005"/>
      <c r="Y118" s="1005"/>
      <c r="Z118" s="1006"/>
    </row>
    <row r="119" spans="1:169" s="27" customFormat="1" ht="29.5" thickTop="1" x14ac:dyDescent="0.3">
      <c r="A119" s="28">
        <v>8.5</v>
      </c>
      <c r="B119" s="1907" t="s">
        <v>1000</v>
      </c>
      <c r="C119" s="3162" t="s">
        <v>670</v>
      </c>
      <c r="D119" s="2250" t="s">
        <v>1194</v>
      </c>
      <c r="E119" s="1688" t="b">
        <f>IF(AND(E120=TRUE,E121=TRUE,E122=TRUE),TRUE,FALSE)</f>
        <v>0</v>
      </c>
      <c r="F119" s="158">
        <f>COUNTIF(E120:E122,TRUE)</f>
        <v>0</v>
      </c>
      <c r="G119" s="1689">
        <f>COUNTIFS(E120:E122,TRUE,G120:G122,"Not Blank")</f>
        <v>0</v>
      </c>
      <c r="H119" s="378">
        <f>COUNTIFS(E120:E122,FALSE,G120:G122,"Not Blank")</f>
        <v>0</v>
      </c>
      <c r="I119" s="3154" t="str">
        <f xml:space="preserve">
IF(F119&gt;4,"Too Many Entries - Check Red Lines",
IF(G119&lt;F119,"Valid Entry required below - Check Amber Line/s",
IF(AND(E119=FALSE,G119=0,H119=0),"Nothing Entered below Yet",
IF(G119&lt;F119,"Valid Entry required below - Check Amber Line/s",
IF(AND(G119=0,H119&gt;0),"**Non-Valid Entry/ies below - Check Yellow Line/s",
IF(AND(G119&gt;0,H119&gt;0),"**Valid and Non-Valid Entries made below - Check Yellow Line/s",
IF(AND(E119=FALSE,F119&lt;4),"Not all requirements addressed below - Check Pink Line/s",
IF(AND(E119=FALSE,G119&lt;4,G119&gt;0,H119=0),"More entries to come",
IF(AND(E119,TRUE,G119=4,H119=0),"Valid Entries made below"
)))))))))</f>
        <v>Nothing Entered below Yet</v>
      </c>
      <c r="J119" s="3168">
        <f>COUNTIFS(E120:E122,TRUE,J120:J122,"Not Blank")</f>
        <v>0</v>
      </c>
      <c r="K119" s="3168">
        <f>COUNTIFS(E120:E122,FALSE,J120:J122,"Not Blank")</f>
        <v>0</v>
      </c>
      <c r="L119" s="3159" t="str">
        <f xml:space="preserve">
IF(J119&gt;3,"Too Many Entries - Check Red Lines",
IF(J119&lt;F119,"Valid Entry required below - Check Amber Line/s",
IF(AND(E119=FALSE,J119=0,K119=0),"Nothing Entered below Yet",
IF(AND(J119=0,K119&gt;0),"**Non-Valid Entry/ies below - Check Yellow Line/s",
IF(AND(J119&gt;0,K119&gt;0),"**Valid and Non-Valid Entries made below - Check Yellow Line/s",
IF(AND(E119=FALSE,J119&lt;3),"Not all requirements addressed below - Check Pink Line/s",
IF(AND(E119=FALSE,J119&lt;3,J119&gt;0,K119=0),"More entries to come",
IF(AND(E119,TRUE,J119=3,K119=0),"Valid Entries made below"
))))))))</f>
        <v>Nothing Entered below Yet</v>
      </c>
      <c r="M119" s="861"/>
      <c r="N119" s="4446" t="s">
        <v>3</v>
      </c>
      <c r="O119" s="4626" t="b">
        <f>IF(OR(N119="Compliant",N119="FE with work-a-round",N119="Functionally Equivalent"),TRUE,FALSE)</f>
        <v>0</v>
      </c>
      <c r="P119" s="2176"/>
      <c r="Q119" s="4190" t="s">
        <v>565</v>
      </c>
      <c r="R119" s="138" t="b">
        <f>IF(AND(R120=TRUE,R121=TRUE,R122=TRUE),TRUE,FALSE)</f>
        <v>0</v>
      </c>
      <c r="S119" s="111"/>
      <c r="T119" s="111"/>
      <c r="U119" s="211"/>
      <c r="V119" s="4446" t="s">
        <v>3</v>
      </c>
      <c r="W119" s="4696" t="b">
        <f>IF(OR(V119="Compliant",V119="FE with work-a-round",V119="Functionally Equivalent",V119="Not Required/Applicable"),TRUE,FALSE)</f>
        <v>0</v>
      </c>
      <c r="X119" s="111"/>
      <c r="Y119" s="111"/>
      <c r="Z119" s="120"/>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row>
    <row r="120" spans="1:169" s="27" customFormat="1" ht="29" x14ac:dyDescent="0.3">
      <c r="A120" s="28" t="s">
        <v>1110</v>
      </c>
      <c r="B120" s="1504"/>
      <c r="C120" s="3134" t="s">
        <v>1001</v>
      </c>
      <c r="D120" s="1013" t="s">
        <v>3</v>
      </c>
      <c r="E120" s="594" t="b">
        <f>IF(D120="Compliant",TRUE,FALSE)</f>
        <v>0</v>
      </c>
      <c r="F120" s="361"/>
      <c r="G120" s="1405" t="str">
        <f>IF(I120&lt;&gt;"", "Not Blank", "")</f>
        <v/>
      </c>
      <c r="H120" s="1403"/>
      <c r="I120" s="42"/>
      <c r="J120" s="216" t="str">
        <f>IF(L120&lt;&gt;"", "Not Blank", "")</f>
        <v/>
      </c>
      <c r="K120" s="216"/>
      <c r="L120" s="2164"/>
      <c r="M120" s="2177"/>
      <c r="N120" s="4447"/>
      <c r="O120" s="4627"/>
      <c r="P120" s="144"/>
      <c r="Q120" s="1863" t="s">
        <v>3</v>
      </c>
      <c r="R120" s="716" t="b">
        <f>IF(OR(Q120="Compliant",Q120="FE with work-a-round",Q120="Functionally Equivalent"),TRUE,FALSE)</f>
        <v>0</v>
      </c>
      <c r="S120" s="44"/>
      <c r="T120" s="44"/>
      <c r="U120" s="68"/>
      <c r="V120" s="4447"/>
      <c r="W120" s="4691"/>
      <c r="X120" s="44"/>
      <c r="Y120" s="44"/>
      <c r="Z120" s="122"/>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row>
    <row r="121" spans="1:169" s="38" customFormat="1" ht="73" thickBot="1" x14ac:dyDescent="0.35">
      <c r="A121" s="28"/>
      <c r="B121" s="1504"/>
      <c r="C121" s="454" t="s">
        <v>1975</v>
      </c>
      <c r="D121" s="230" t="s">
        <v>3</v>
      </c>
      <c r="E121" s="594" t="b">
        <f>IF(D121="Compliant",TRUE,FALSE)</f>
        <v>0</v>
      </c>
      <c r="F121" s="361"/>
      <c r="G121" s="1405" t="str">
        <f>IF(I121&lt;&gt;"", "Not Blank", "")</f>
        <v/>
      </c>
      <c r="H121" s="1403"/>
      <c r="I121" s="44"/>
      <c r="J121" s="216" t="str">
        <f>IF(L121&lt;&gt;"", "Not Blank", "")</f>
        <v/>
      </c>
      <c r="K121" s="216"/>
      <c r="L121" s="44"/>
      <c r="M121" s="68"/>
      <c r="N121" s="4633"/>
      <c r="O121" s="4627"/>
      <c r="P121" s="68"/>
      <c r="Q121" s="1060"/>
      <c r="R121" s="716" t="b">
        <f>IF(OR(Q121="Compliant",Q121="FE with work-a-round",Q121="Functionally Equivalent"),TRUE,FALSE)</f>
        <v>0</v>
      </c>
      <c r="S121" s="44"/>
      <c r="T121" s="44"/>
      <c r="U121" s="68"/>
      <c r="V121" s="4448"/>
      <c r="W121" s="4691"/>
      <c r="X121" s="44"/>
      <c r="Y121" s="44"/>
      <c r="Z121" s="122"/>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row>
    <row r="122" spans="1:169" s="1579" customFormat="1" ht="204" thickTop="1" thickBot="1" x14ac:dyDescent="0.35">
      <c r="A122" s="1383" t="s">
        <v>1107</v>
      </c>
      <c r="B122" s="1505"/>
      <c r="C122" s="3135" t="s">
        <v>1981</v>
      </c>
      <c r="D122" s="102" t="s">
        <v>3</v>
      </c>
      <c r="E122" s="595" t="b">
        <f>IF(D122="Compliant",TRUE,FALSE)</f>
        <v>0</v>
      </c>
      <c r="F122" s="258"/>
      <c r="G122" s="218" t="str">
        <f>IF(I122&lt;&gt;"", "Not Blank", "")</f>
        <v/>
      </c>
      <c r="H122" s="124"/>
      <c r="I122" s="124"/>
      <c r="J122" s="124" t="str">
        <f>IF(L122&lt;&gt;"", "Not Blank", "")</f>
        <v/>
      </c>
      <c r="K122" s="124"/>
      <c r="L122" s="124"/>
      <c r="M122" s="246"/>
      <c r="N122" s="1911"/>
      <c r="O122" s="851" t="b">
        <f>IF(OR(N122="Compliant",N122="FE with work-a-round",N122="Functionally Equivalent"),TRUE,FALSE)</f>
        <v>0</v>
      </c>
      <c r="P122" s="1575"/>
      <c r="Q122" s="1017"/>
      <c r="R122" s="921" t="b">
        <f>IF(OR(Q122="Compliant",Q122="FE with work-a-round",Q122="Functionally Equivalent"),TRUE,FALSE)</f>
        <v>0</v>
      </c>
      <c r="S122" s="1577"/>
      <c r="T122" s="1577"/>
      <c r="U122" s="1575"/>
      <c r="V122" s="1188"/>
      <c r="W122" s="2856" t="b">
        <f>IF(OR(V122="Compliant",V122="FE with work-a-round",V122="Functionally Equivalent",V122="Not Required/Applicable"),TRUE,FALSE)</f>
        <v>0</v>
      </c>
      <c r="X122" s="1577"/>
      <c r="Y122" s="1577"/>
      <c r="Z122" s="1578"/>
    </row>
    <row r="123" spans="1:169" s="1453" customFormat="1" ht="47" thickTop="1" x14ac:dyDescent="0.3">
      <c r="A123" s="1419"/>
      <c r="B123" s="1907"/>
      <c r="C123" s="3163" t="s">
        <v>1186</v>
      </c>
      <c r="D123" s="1915" t="s">
        <v>1218</v>
      </c>
      <c r="E123" s="1688" t="b">
        <f>IF(AND(E124=TRUE,E125=TRUE,E126=TRUE,E127=TRUE,E128=TRUE,E129=TRUE,E130=TRUE,E131=TRUE,E132=TRUE,E133=TRUE,E134=TRUE,E135=TRUE,E136=TRUE,E137=TRUE,E138=TRUE,E139=TRUE,E140=TRUE,E141=TRUE,E142=TRUE,E143=TRUE,E144=TRUE,E145=TRUE,E146=TRUE,E147=TRUE,E148=TRUE,E149=TRUE,E150=TRUE,E151=TRUE,E152=TRUE,E153=TRUE,E154=TRUE,E155=TRUE,E156=TRUE,E157=TRUE,E158=TRUE,E159=TRUE,E160=TRUE,E161=TRUE,E162=TRUE,E163=TRUE,E164=TRUE,E165=TRUE,E166=TRUE,E167=TRUE,E168=TRUE),TRUE,FALSE)</f>
        <v>0</v>
      </c>
      <c r="F123" s="158">
        <f>COUNTIF(E124:E168,TRUE)</f>
        <v>0</v>
      </c>
      <c r="G123" s="378">
        <f>COUNTIFS(E124:E168,TRUE,G124:G168,"Not Blank")</f>
        <v>0</v>
      </c>
      <c r="H123" s="378">
        <f>COUNTIFS(E124:E168,FALSE,G124:G168,"Not Blank")</f>
        <v>0</v>
      </c>
      <c r="I123" s="3159" t="str">
        <f xml:space="preserve">
IF(F123&gt;45,"Too Many Entries - Check Red Lines",
IF(G123&lt;F123,"Valid Entry required below - Check Amber Line/s",
IF(AND(E123=FALSE,G123=0,H123=0),"Nothing Entered below Yet",
IF(G123&lt;F123,"Valid Entry required below - Check Amber Line/s",
IF(AND(G123=0,H123&gt;0),"**Non-Valid Entry/ies below - Check Yellow Line/s",
IF(AND(G123&gt;0,H123&gt;0),"**Valid and Non-Valid Entries made below - Check Yellow Line/s",
IF(AND(E123=FALSE,F123&lt;45),"Not all requirements addressed below - Check Pink Line/s",
IF(AND(E123=FALSE,G123&lt;45,G123&gt;0,H123=0),"More entries to come",
IF(AND(E123,TRUE,G123=45,H123=0),"Valid Entries made below"
)))))))))</f>
        <v>Nothing Entered below Yet</v>
      </c>
      <c r="J123" s="3168">
        <f>COUNTIFS(E124:E168,TRUE,J124:J168,"Not Blank")</f>
        <v>0</v>
      </c>
      <c r="K123" s="3168">
        <f>COUNTIFS(E124:E168,FALSE,J124:J168,"Not Blank")</f>
        <v>0</v>
      </c>
      <c r="L123" s="3159" t="str">
        <f xml:space="preserve">
IF(J123&gt;45,"Too Many Entries - Check Red Lines",
IF(J123&lt;F123,"Valid Entry required below - Check Amber Line/s",
IF(AND(E123=FALSE,J123=0,K123=0),"Nothing Entered below Yet",
IF(AND(J123=0,K123&gt;0),"**Non-Valid Entry/ies below - Check Yellow Line/s",
IF(AND(J123&gt;0,K123&gt;0),"**Valid and Non-Valid Entries made below - Check Yellow Line/s",
IF(AND(E123=FALSE,J123&lt;45),"Not all requirements addressed below - Check Pink Line/s",
IF(AND(E123=FALSE,J123&lt;45,J123&gt;0,K123=0),"More entries to come",
IF(AND(E123,TRUE,J123=45,K123=0),"Valid Entries made below"
))))))))</f>
        <v>Nothing Entered below Yet</v>
      </c>
      <c r="M123" s="2176"/>
      <c r="N123" s="4447"/>
      <c r="O123" s="4440" t="b">
        <f>IF(OR(N123="Compliant",N123="FE with work-a-round",N123="Functionally Equivalent"),TRUE,FALSE)</f>
        <v>0</v>
      </c>
      <c r="P123" s="2656"/>
      <c r="Q123" s="4188" t="s">
        <v>565</v>
      </c>
      <c r="R123" s="138" t="b">
        <f>IF(AND(R124=TRUE,R125=TRUE,R126=TRUE,R127=TRUE,R128=TRUE,R129=TRUE,R130=TRUE,R131=TRUE,R132=TRUE,R133=TRUE,R134=TRUE,R135=TRUE,R136=TRUE,R137=TRUE,R138=TRUE,R139=TRUE,R140=TRUE,R141=TRUE,R142=TRUE,R143=TRUE,R144=TRUE,R145=TRUE,R146=TRUE,R147=TRUE,R148=TRUE,R149=TRUE,R150=TRUE,R151=TRUE,R152=TRUE,R153=TRUE,R154=TRUE,R155=TRUE,R156=TRUE,R157=TRUE,R158=TRUE,R159=TRUE,R160=TRUE,R161=TRUE,R162=TRUE,R163=TRUE,R164=TRUE,R165=TRUE,R166=TRUE,R167=TRUE,R168=TRUE),TRUE,FALSE)</f>
        <v>0</v>
      </c>
      <c r="S123" s="1452"/>
      <c r="T123" s="1452"/>
      <c r="U123" s="1580"/>
      <c r="V123" s="4446"/>
      <c r="W123" s="4696" t="b">
        <f>IF(OR(V123="Compliant",V123="FE with work-a-round",V123="Functionally Equivalent",V123="Not Required/Applicable"),TRUE,FALSE)</f>
        <v>0</v>
      </c>
      <c r="X123" s="1452"/>
      <c r="Y123" s="1452"/>
      <c r="Z123" s="1450"/>
    </row>
    <row r="124" spans="1:169" s="1453" customFormat="1" ht="29" x14ac:dyDescent="0.3">
      <c r="A124" s="1419"/>
      <c r="B124" s="1504"/>
      <c r="C124" s="3134" t="s">
        <v>91</v>
      </c>
      <c r="D124" s="2168" t="s">
        <v>3</v>
      </c>
      <c r="E124" s="594" t="b">
        <f t="shared" ref="E124:E168" si="13">IF(D124="Compliant",TRUE,FALSE)</f>
        <v>0</v>
      </c>
      <c r="F124" s="361"/>
      <c r="G124" s="1403" t="str">
        <f t="shared" ref="G124:G168" si="14">IF(I124&lt;&gt;"", "Not Blank", "")</f>
        <v/>
      </c>
      <c r="H124" s="1403"/>
      <c r="I124" s="2164"/>
      <c r="J124" s="216"/>
      <c r="K124" s="216"/>
      <c r="L124" s="2164"/>
      <c r="M124" s="128"/>
      <c r="N124" s="4447" t="s">
        <v>3</v>
      </c>
      <c r="O124" s="4441"/>
      <c r="P124" s="2657"/>
      <c r="Q124" s="2214" t="s">
        <v>3</v>
      </c>
      <c r="R124" s="716" t="b">
        <f t="shared" ref="R124:R168" si="15">IF(OR(Q124="Compliant",Q124="FE with work-a-round",Q124="Functionally Equivalent"),TRUE,FALSE)</f>
        <v>0</v>
      </c>
      <c r="S124" s="1455"/>
      <c r="T124" s="1455"/>
      <c r="U124" s="1583"/>
      <c r="V124" s="4447" t="s">
        <v>3</v>
      </c>
      <c r="W124" s="4691"/>
      <c r="X124" s="1455"/>
      <c r="Y124" s="1455"/>
      <c r="Z124" s="1454"/>
    </row>
    <row r="125" spans="1:169" s="1453" customFormat="1" ht="29" x14ac:dyDescent="0.3">
      <c r="A125" s="1419"/>
      <c r="B125" s="1504"/>
      <c r="C125" s="454" t="s">
        <v>92</v>
      </c>
      <c r="D125" s="319" t="s">
        <v>3</v>
      </c>
      <c r="E125" s="594" t="b">
        <f t="shared" si="13"/>
        <v>0</v>
      </c>
      <c r="F125" s="361"/>
      <c r="G125" s="1403" t="str">
        <f t="shared" si="14"/>
        <v/>
      </c>
      <c r="H125" s="1403"/>
      <c r="I125" s="44"/>
      <c r="J125" s="216"/>
      <c r="K125" s="216"/>
      <c r="L125" s="44"/>
      <c r="M125" s="122"/>
      <c r="N125" s="4447"/>
      <c r="O125" s="4441"/>
      <c r="P125" s="1583"/>
      <c r="Q125" s="1060"/>
      <c r="R125" s="716" t="b">
        <f t="shared" si="15"/>
        <v>0</v>
      </c>
      <c r="S125" s="1455"/>
      <c r="T125" s="1455"/>
      <c r="U125" s="1583"/>
      <c r="V125" s="4447"/>
      <c r="W125" s="4691"/>
      <c r="X125" s="1455"/>
      <c r="Y125" s="1455"/>
      <c r="Z125" s="1454"/>
    </row>
    <row r="126" spans="1:169" s="1453" customFormat="1" ht="29" x14ac:dyDescent="0.3">
      <c r="A126" s="1419"/>
      <c r="B126" s="1504"/>
      <c r="C126" s="454" t="s">
        <v>93</v>
      </c>
      <c r="D126" s="319" t="s">
        <v>3</v>
      </c>
      <c r="E126" s="594" t="b">
        <f t="shared" si="13"/>
        <v>0</v>
      </c>
      <c r="F126" s="361"/>
      <c r="G126" s="1403" t="str">
        <f t="shared" si="14"/>
        <v/>
      </c>
      <c r="H126" s="1403"/>
      <c r="I126" s="44"/>
      <c r="J126" s="216"/>
      <c r="K126" s="216"/>
      <c r="L126" s="44"/>
      <c r="M126" s="122"/>
      <c r="N126" s="4447"/>
      <c r="O126" s="4441"/>
      <c r="P126" s="1583"/>
      <c r="Q126" s="1060"/>
      <c r="R126" s="716" t="b">
        <f t="shared" si="15"/>
        <v>0</v>
      </c>
      <c r="S126" s="1455"/>
      <c r="T126" s="1455"/>
      <c r="U126" s="1583"/>
      <c r="V126" s="4447"/>
      <c r="W126" s="4691"/>
      <c r="X126" s="1455"/>
      <c r="Y126" s="1455"/>
      <c r="Z126" s="1454"/>
    </row>
    <row r="127" spans="1:169" s="1453" customFormat="1" ht="29" x14ac:dyDescent="0.3">
      <c r="A127" s="1419"/>
      <c r="B127" s="1504"/>
      <c r="C127" s="454" t="s">
        <v>94</v>
      </c>
      <c r="D127" s="319" t="s">
        <v>3</v>
      </c>
      <c r="E127" s="594" t="b">
        <f t="shared" si="13"/>
        <v>0</v>
      </c>
      <c r="F127" s="361"/>
      <c r="G127" s="1403" t="str">
        <f t="shared" si="14"/>
        <v/>
      </c>
      <c r="H127" s="1403"/>
      <c r="I127" s="44"/>
      <c r="J127" s="216"/>
      <c r="K127" s="216"/>
      <c r="L127" s="44"/>
      <c r="M127" s="122"/>
      <c r="N127" s="4447"/>
      <c r="O127" s="4441"/>
      <c r="P127" s="1583"/>
      <c r="Q127" s="1060"/>
      <c r="R127" s="716" t="b">
        <f t="shared" si="15"/>
        <v>0</v>
      </c>
      <c r="S127" s="1455"/>
      <c r="T127" s="1455"/>
      <c r="U127" s="1583"/>
      <c r="V127" s="4447"/>
      <c r="W127" s="4691"/>
      <c r="X127" s="1455"/>
      <c r="Y127" s="1455"/>
      <c r="Z127" s="1454"/>
    </row>
    <row r="128" spans="1:169" s="1453" customFormat="1" ht="72.5" x14ac:dyDescent="0.3">
      <c r="A128" s="1419"/>
      <c r="B128" s="1504"/>
      <c r="C128" s="454" t="s">
        <v>96</v>
      </c>
      <c r="D128" s="319" t="s">
        <v>3</v>
      </c>
      <c r="E128" s="594" t="b">
        <f t="shared" si="13"/>
        <v>0</v>
      </c>
      <c r="F128" s="361"/>
      <c r="G128" s="1403" t="str">
        <f t="shared" si="14"/>
        <v/>
      </c>
      <c r="H128" s="1403"/>
      <c r="I128" s="44"/>
      <c r="J128" s="216"/>
      <c r="K128" s="216"/>
      <c r="L128" s="44"/>
      <c r="M128" s="122"/>
      <c r="N128" s="4447"/>
      <c r="O128" s="4441"/>
      <c r="P128" s="1583"/>
      <c r="Q128" s="1060"/>
      <c r="R128" s="716" t="b">
        <f t="shared" si="15"/>
        <v>0</v>
      </c>
      <c r="S128" s="1455"/>
      <c r="T128" s="1455"/>
      <c r="U128" s="1583"/>
      <c r="V128" s="4447"/>
      <c r="W128" s="4691"/>
      <c r="X128" s="1455"/>
      <c r="Y128" s="1455"/>
      <c r="Z128" s="1454"/>
    </row>
    <row r="129" spans="1:26" s="1453" customFormat="1" ht="29" x14ac:dyDescent="0.3">
      <c r="A129" s="1419"/>
      <c r="B129" s="1504"/>
      <c r="C129" s="454" t="s">
        <v>97</v>
      </c>
      <c r="D129" s="319" t="s">
        <v>3</v>
      </c>
      <c r="E129" s="594" t="b">
        <f t="shared" si="13"/>
        <v>0</v>
      </c>
      <c r="F129" s="361"/>
      <c r="G129" s="1403" t="str">
        <f t="shared" si="14"/>
        <v/>
      </c>
      <c r="H129" s="1403"/>
      <c r="I129" s="44"/>
      <c r="J129" s="216"/>
      <c r="K129" s="216"/>
      <c r="L129" s="44"/>
      <c r="M129" s="122"/>
      <c r="N129" s="4447" t="s">
        <v>3</v>
      </c>
      <c r="O129" s="4441"/>
      <c r="P129" s="1583"/>
      <c r="Q129" s="1060" t="s">
        <v>3</v>
      </c>
      <c r="R129" s="716" t="b">
        <f t="shared" si="15"/>
        <v>0</v>
      </c>
      <c r="S129" s="1455"/>
      <c r="T129" s="1455"/>
      <c r="U129" s="1583"/>
      <c r="V129" s="4447" t="s">
        <v>3</v>
      </c>
      <c r="W129" s="4691"/>
      <c r="X129" s="1455"/>
      <c r="Y129" s="1455"/>
      <c r="Z129" s="1454"/>
    </row>
    <row r="130" spans="1:26" s="1453" customFormat="1" ht="29" x14ac:dyDescent="0.3">
      <c r="A130" s="1419"/>
      <c r="B130" s="1504"/>
      <c r="C130" s="454" t="s">
        <v>1759</v>
      </c>
      <c r="D130" s="319" t="s">
        <v>3</v>
      </c>
      <c r="E130" s="594" t="b">
        <f t="shared" si="13"/>
        <v>0</v>
      </c>
      <c r="F130" s="361"/>
      <c r="G130" s="1403" t="str">
        <f t="shared" si="14"/>
        <v/>
      </c>
      <c r="H130" s="1403"/>
      <c r="I130" s="44"/>
      <c r="J130" s="216"/>
      <c r="K130" s="216"/>
      <c r="L130" s="44"/>
      <c r="M130" s="122"/>
      <c r="N130" s="4447"/>
      <c r="O130" s="4441"/>
      <c r="P130" s="1583"/>
      <c r="Q130" s="1060"/>
      <c r="R130" s="716" t="b">
        <f t="shared" si="15"/>
        <v>0</v>
      </c>
      <c r="S130" s="1455"/>
      <c r="T130" s="1455"/>
      <c r="U130" s="1583"/>
      <c r="V130" s="4447"/>
      <c r="W130" s="4691"/>
      <c r="X130" s="1455"/>
      <c r="Y130" s="1455"/>
      <c r="Z130" s="1454"/>
    </row>
    <row r="131" spans="1:26" s="1453" customFormat="1" ht="29" x14ac:dyDescent="0.3">
      <c r="A131" s="1419"/>
      <c r="B131" s="1504"/>
      <c r="C131" s="454" t="s">
        <v>1760</v>
      </c>
      <c r="D131" s="319" t="s">
        <v>3</v>
      </c>
      <c r="E131" s="594" t="b">
        <f t="shared" si="13"/>
        <v>0</v>
      </c>
      <c r="F131" s="361"/>
      <c r="G131" s="1403" t="str">
        <f t="shared" si="14"/>
        <v/>
      </c>
      <c r="H131" s="1403"/>
      <c r="I131" s="44"/>
      <c r="J131" s="216"/>
      <c r="K131" s="216"/>
      <c r="L131" s="44"/>
      <c r="M131" s="122"/>
      <c r="N131" s="4447"/>
      <c r="O131" s="4441"/>
      <c r="P131" s="1583"/>
      <c r="Q131" s="1060"/>
      <c r="R131" s="716" t="b">
        <f t="shared" si="15"/>
        <v>0</v>
      </c>
      <c r="S131" s="1455"/>
      <c r="T131" s="1455"/>
      <c r="U131" s="1583"/>
      <c r="V131" s="4447"/>
      <c r="W131" s="4691"/>
      <c r="X131" s="1455"/>
      <c r="Y131" s="1455"/>
      <c r="Z131" s="1454"/>
    </row>
    <row r="132" spans="1:26" s="1453" customFormat="1" ht="29" x14ac:dyDescent="0.3">
      <c r="A132" s="1419"/>
      <c r="B132" s="1504"/>
      <c r="C132" s="454" t="s">
        <v>1683</v>
      </c>
      <c r="D132" s="319" t="s">
        <v>3</v>
      </c>
      <c r="E132" s="594" t="b">
        <f t="shared" si="13"/>
        <v>0</v>
      </c>
      <c r="F132" s="361"/>
      <c r="G132" s="1403" t="str">
        <f t="shared" si="14"/>
        <v/>
      </c>
      <c r="H132" s="1403"/>
      <c r="I132" s="44"/>
      <c r="J132" s="216"/>
      <c r="K132" s="216"/>
      <c r="L132" s="44"/>
      <c r="M132" s="122"/>
      <c r="N132" s="4447"/>
      <c r="O132" s="4441"/>
      <c r="P132" s="1583"/>
      <c r="Q132" s="1060"/>
      <c r="R132" s="716" t="b">
        <f t="shared" si="15"/>
        <v>0</v>
      </c>
      <c r="S132" s="1455"/>
      <c r="T132" s="1455"/>
      <c r="U132" s="1583"/>
      <c r="V132" s="4447"/>
      <c r="W132" s="4691"/>
      <c r="X132" s="1455"/>
      <c r="Y132" s="1455"/>
      <c r="Z132" s="1454"/>
    </row>
    <row r="133" spans="1:26" s="1453" customFormat="1" ht="29" x14ac:dyDescent="0.3">
      <c r="A133" s="1419"/>
      <c r="B133" s="1504"/>
      <c r="C133" s="454" t="s">
        <v>101</v>
      </c>
      <c r="D133" s="319" t="s">
        <v>3</v>
      </c>
      <c r="E133" s="594" t="b">
        <f t="shared" si="13"/>
        <v>0</v>
      </c>
      <c r="F133" s="361"/>
      <c r="G133" s="1403" t="str">
        <f t="shared" si="14"/>
        <v/>
      </c>
      <c r="H133" s="1403"/>
      <c r="I133" s="44"/>
      <c r="J133" s="216"/>
      <c r="K133" s="216"/>
      <c r="L133" s="44"/>
      <c r="M133" s="122"/>
      <c r="N133" s="4447"/>
      <c r="O133" s="4441"/>
      <c r="P133" s="1583"/>
      <c r="Q133" s="1060"/>
      <c r="R133" s="716" t="b">
        <f t="shared" si="15"/>
        <v>0</v>
      </c>
      <c r="S133" s="1455"/>
      <c r="T133" s="1455"/>
      <c r="U133" s="1583"/>
      <c r="V133" s="4447"/>
      <c r="W133" s="4691"/>
      <c r="X133" s="1455"/>
      <c r="Y133" s="1455"/>
      <c r="Z133" s="1454"/>
    </row>
    <row r="134" spans="1:26" s="1453" customFormat="1" ht="15.5" x14ac:dyDescent="0.3">
      <c r="A134" s="1419"/>
      <c r="B134" s="1504"/>
      <c r="C134" s="454" t="s">
        <v>102</v>
      </c>
      <c r="D134" s="319" t="s">
        <v>3</v>
      </c>
      <c r="E134" s="594" t="b">
        <f t="shared" si="13"/>
        <v>0</v>
      </c>
      <c r="F134" s="361"/>
      <c r="G134" s="1403" t="str">
        <f t="shared" si="14"/>
        <v/>
      </c>
      <c r="H134" s="1403"/>
      <c r="I134" s="44"/>
      <c r="J134" s="216"/>
      <c r="K134" s="216"/>
      <c r="L134" s="44"/>
      <c r="M134" s="122"/>
      <c r="N134" s="4447" t="s">
        <v>3</v>
      </c>
      <c r="O134" s="4441"/>
      <c r="P134" s="1583"/>
      <c r="Q134" s="1060" t="s">
        <v>3</v>
      </c>
      <c r="R134" s="716" t="b">
        <f t="shared" si="15"/>
        <v>0</v>
      </c>
      <c r="S134" s="1455"/>
      <c r="T134" s="1455"/>
      <c r="U134" s="1583"/>
      <c r="V134" s="4447" t="s">
        <v>3</v>
      </c>
      <c r="W134" s="4691"/>
      <c r="X134" s="1455"/>
      <c r="Y134" s="1455"/>
      <c r="Z134" s="1454"/>
    </row>
    <row r="135" spans="1:26" s="1453" customFormat="1" ht="29" x14ac:dyDescent="0.3">
      <c r="A135" s="1419"/>
      <c r="B135" s="1504"/>
      <c r="C135" s="454" t="s">
        <v>103</v>
      </c>
      <c r="D135" s="319" t="s">
        <v>3</v>
      </c>
      <c r="E135" s="594" t="b">
        <f t="shared" si="13"/>
        <v>0</v>
      </c>
      <c r="F135" s="361"/>
      <c r="G135" s="1403" t="str">
        <f t="shared" si="14"/>
        <v/>
      </c>
      <c r="H135" s="1403"/>
      <c r="I135" s="44"/>
      <c r="J135" s="216"/>
      <c r="K135" s="216"/>
      <c r="L135" s="44"/>
      <c r="M135" s="122"/>
      <c r="N135" s="4447"/>
      <c r="O135" s="4441"/>
      <c r="P135" s="1583"/>
      <c r="Q135" s="1060"/>
      <c r="R135" s="716" t="b">
        <f t="shared" si="15"/>
        <v>0</v>
      </c>
      <c r="S135" s="1455"/>
      <c r="T135" s="1455"/>
      <c r="U135" s="1583"/>
      <c r="V135" s="4447"/>
      <c r="W135" s="4691"/>
      <c r="X135" s="1455"/>
      <c r="Y135" s="1455"/>
      <c r="Z135" s="1454"/>
    </row>
    <row r="136" spans="1:26" s="1453" customFormat="1" ht="15.5" x14ac:dyDescent="0.3">
      <c r="A136" s="1419"/>
      <c r="B136" s="1504"/>
      <c r="C136" s="454" t="s">
        <v>104</v>
      </c>
      <c r="D136" s="319" t="s">
        <v>3</v>
      </c>
      <c r="E136" s="594" t="b">
        <f t="shared" si="13"/>
        <v>0</v>
      </c>
      <c r="F136" s="361"/>
      <c r="G136" s="1403" t="str">
        <f t="shared" si="14"/>
        <v/>
      </c>
      <c r="H136" s="1403"/>
      <c r="I136" s="44"/>
      <c r="J136" s="216"/>
      <c r="K136" s="216"/>
      <c r="L136" s="44"/>
      <c r="M136" s="122"/>
      <c r="N136" s="4447"/>
      <c r="O136" s="4441"/>
      <c r="P136" s="1583"/>
      <c r="Q136" s="1060"/>
      <c r="R136" s="716" t="b">
        <f t="shared" si="15"/>
        <v>0</v>
      </c>
      <c r="S136" s="1455"/>
      <c r="T136" s="1455"/>
      <c r="U136" s="1583"/>
      <c r="V136" s="4447"/>
      <c r="W136" s="4691"/>
      <c r="X136" s="1455"/>
      <c r="Y136" s="1455"/>
      <c r="Z136" s="1454"/>
    </row>
    <row r="137" spans="1:26" s="1453" customFormat="1" ht="43.5" x14ac:dyDescent="0.3">
      <c r="A137" s="1419"/>
      <c r="B137" s="1504"/>
      <c r="C137" s="454" t="s">
        <v>105</v>
      </c>
      <c r="D137" s="319" t="s">
        <v>3</v>
      </c>
      <c r="E137" s="594" t="b">
        <f t="shared" si="13"/>
        <v>0</v>
      </c>
      <c r="F137" s="361"/>
      <c r="G137" s="1403" t="str">
        <f t="shared" si="14"/>
        <v/>
      </c>
      <c r="H137" s="1403"/>
      <c r="I137" s="44"/>
      <c r="J137" s="216"/>
      <c r="K137" s="216"/>
      <c r="L137" s="44"/>
      <c r="M137" s="122"/>
      <c r="N137" s="4447"/>
      <c r="O137" s="4441"/>
      <c r="P137" s="1583"/>
      <c r="Q137" s="1060"/>
      <c r="R137" s="716" t="b">
        <f t="shared" si="15"/>
        <v>0</v>
      </c>
      <c r="S137" s="1455"/>
      <c r="T137" s="1455"/>
      <c r="U137" s="1583"/>
      <c r="V137" s="4447"/>
      <c r="W137" s="4691"/>
      <c r="X137" s="1455"/>
      <c r="Y137" s="1455"/>
      <c r="Z137" s="1454"/>
    </row>
    <row r="138" spans="1:26" s="1453" customFormat="1" ht="29" x14ac:dyDescent="0.3">
      <c r="A138" s="1419"/>
      <c r="B138" s="1504"/>
      <c r="C138" s="454" t="s">
        <v>106</v>
      </c>
      <c r="D138" s="319" t="s">
        <v>3</v>
      </c>
      <c r="E138" s="594" t="b">
        <f t="shared" si="13"/>
        <v>0</v>
      </c>
      <c r="F138" s="361"/>
      <c r="G138" s="1403" t="str">
        <f t="shared" si="14"/>
        <v/>
      </c>
      <c r="H138" s="1403"/>
      <c r="I138" s="44"/>
      <c r="J138" s="216"/>
      <c r="K138" s="216"/>
      <c r="L138" s="44"/>
      <c r="M138" s="122"/>
      <c r="N138" s="4447"/>
      <c r="O138" s="4441"/>
      <c r="P138" s="1583"/>
      <c r="Q138" s="1060"/>
      <c r="R138" s="716" t="b">
        <f t="shared" si="15"/>
        <v>0</v>
      </c>
      <c r="S138" s="1455"/>
      <c r="T138" s="1455"/>
      <c r="U138" s="1583"/>
      <c r="V138" s="4447"/>
      <c r="W138" s="4691"/>
      <c r="X138" s="1455"/>
      <c r="Y138" s="1455"/>
      <c r="Z138" s="1454"/>
    </row>
    <row r="139" spans="1:26" s="1453" customFormat="1" ht="29" x14ac:dyDescent="0.3">
      <c r="A139" s="1419"/>
      <c r="B139" s="1504"/>
      <c r="C139" s="454" t="s">
        <v>1757</v>
      </c>
      <c r="D139" s="319" t="s">
        <v>3</v>
      </c>
      <c r="E139" s="594" t="b">
        <f t="shared" si="13"/>
        <v>0</v>
      </c>
      <c r="F139" s="361"/>
      <c r="G139" s="1403" t="str">
        <f t="shared" si="14"/>
        <v/>
      </c>
      <c r="H139" s="1403"/>
      <c r="I139" s="44"/>
      <c r="J139" s="216"/>
      <c r="K139" s="216"/>
      <c r="L139" s="44"/>
      <c r="M139" s="122"/>
      <c r="N139" s="4447" t="s">
        <v>3</v>
      </c>
      <c r="O139" s="4441"/>
      <c r="P139" s="1583"/>
      <c r="Q139" s="1060" t="s">
        <v>3</v>
      </c>
      <c r="R139" s="716" t="b">
        <f t="shared" si="15"/>
        <v>0</v>
      </c>
      <c r="S139" s="1455"/>
      <c r="T139" s="1455"/>
      <c r="U139" s="1583"/>
      <c r="V139" s="4447" t="s">
        <v>3</v>
      </c>
      <c r="W139" s="4691"/>
      <c r="X139" s="1455"/>
      <c r="Y139" s="1455"/>
      <c r="Z139" s="1454"/>
    </row>
    <row r="140" spans="1:26" s="1453" customFormat="1" ht="43.5" x14ac:dyDescent="0.3">
      <c r="A140" s="1419"/>
      <c r="B140" s="1504"/>
      <c r="C140" s="454" t="s">
        <v>108</v>
      </c>
      <c r="D140" s="319" t="s">
        <v>3</v>
      </c>
      <c r="E140" s="594" t="b">
        <f t="shared" si="13"/>
        <v>0</v>
      </c>
      <c r="F140" s="361"/>
      <c r="G140" s="1403" t="str">
        <f t="shared" si="14"/>
        <v/>
      </c>
      <c r="H140" s="1403"/>
      <c r="I140" s="44"/>
      <c r="J140" s="216"/>
      <c r="K140" s="216"/>
      <c r="L140" s="44"/>
      <c r="M140" s="122"/>
      <c r="N140" s="4447"/>
      <c r="O140" s="4441"/>
      <c r="P140" s="1583"/>
      <c r="Q140" s="1060"/>
      <c r="R140" s="716" t="b">
        <f t="shared" si="15"/>
        <v>0</v>
      </c>
      <c r="S140" s="1455"/>
      <c r="T140" s="1455"/>
      <c r="U140" s="1583"/>
      <c r="V140" s="4447"/>
      <c r="W140" s="4691"/>
      <c r="X140" s="1455"/>
      <c r="Y140" s="1455"/>
      <c r="Z140" s="1454"/>
    </row>
    <row r="141" spans="1:26" s="1453" customFormat="1" ht="43.5" x14ac:dyDescent="0.3">
      <c r="A141" s="1419"/>
      <c r="B141" s="1504"/>
      <c r="C141" s="454" t="s">
        <v>1976</v>
      </c>
      <c r="D141" s="319" t="s">
        <v>3</v>
      </c>
      <c r="E141" s="594" t="b">
        <f t="shared" si="13"/>
        <v>0</v>
      </c>
      <c r="F141" s="361"/>
      <c r="G141" s="1403" t="str">
        <f t="shared" si="14"/>
        <v/>
      </c>
      <c r="H141" s="1403"/>
      <c r="I141" s="44"/>
      <c r="J141" s="216"/>
      <c r="K141" s="216"/>
      <c r="L141" s="44"/>
      <c r="M141" s="122"/>
      <c r="N141" s="4447"/>
      <c r="O141" s="4441"/>
      <c r="P141" s="1583"/>
      <c r="Q141" s="1060"/>
      <c r="R141" s="716" t="b">
        <f t="shared" si="15"/>
        <v>0</v>
      </c>
      <c r="S141" s="1455"/>
      <c r="T141" s="1455"/>
      <c r="U141" s="1583"/>
      <c r="V141" s="4447"/>
      <c r="W141" s="4691"/>
      <c r="X141" s="1455"/>
      <c r="Y141" s="1455"/>
      <c r="Z141" s="1454"/>
    </row>
    <row r="142" spans="1:26" s="1453" customFormat="1" ht="29" x14ac:dyDescent="0.3">
      <c r="A142" s="1419"/>
      <c r="B142" s="1504"/>
      <c r="C142" s="454" t="s">
        <v>110</v>
      </c>
      <c r="D142" s="319" t="s">
        <v>3</v>
      </c>
      <c r="E142" s="594" t="b">
        <f t="shared" si="13"/>
        <v>0</v>
      </c>
      <c r="F142" s="361"/>
      <c r="G142" s="1403" t="str">
        <f t="shared" si="14"/>
        <v/>
      </c>
      <c r="H142" s="1403"/>
      <c r="I142" s="44"/>
      <c r="J142" s="216"/>
      <c r="K142" s="216"/>
      <c r="L142" s="44"/>
      <c r="M142" s="122"/>
      <c r="N142" s="4447"/>
      <c r="O142" s="4441"/>
      <c r="P142" s="1583"/>
      <c r="Q142" s="1060"/>
      <c r="R142" s="716" t="b">
        <f t="shared" si="15"/>
        <v>0</v>
      </c>
      <c r="S142" s="1455"/>
      <c r="T142" s="1455"/>
      <c r="U142" s="1583"/>
      <c r="V142" s="4447"/>
      <c r="W142" s="4691"/>
      <c r="X142" s="1455"/>
      <c r="Y142" s="1455"/>
      <c r="Z142" s="1454"/>
    </row>
    <row r="143" spans="1:26" s="1453" customFormat="1" ht="15.5" x14ac:dyDescent="0.3">
      <c r="A143" s="1419"/>
      <c r="B143" s="1504"/>
      <c r="C143" s="454" t="s">
        <v>111</v>
      </c>
      <c r="D143" s="319" t="s">
        <v>3</v>
      </c>
      <c r="E143" s="594" t="b">
        <f t="shared" si="13"/>
        <v>0</v>
      </c>
      <c r="F143" s="361"/>
      <c r="G143" s="1403" t="str">
        <f t="shared" si="14"/>
        <v/>
      </c>
      <c r="H143" s="1403"/>
      <c r="I143" s="44"/>
      <c r="J143" s="216"/>
      <c r="K143" s="216"/>
      <c r="L143" s="44"/>
      <c r="M143" s="122"/>
      <c r="N143" s="4447"/>
      <c r="O143" s="4441"/>
      <c r="P143" s="1583"/>
      <c r="Q143" s="1060"/>
      <c r="R143" s="716" t="b">
        <f t="shared" si="15"/>
        <v>0</v>
      </c>
      <c r="S143" s="1455"/>
      <c r="T143" s="1455"/>
      <c r="U143" s="1583"/>
      <c r="V143" s="4447"/>
      <c r="W143" s="4691"/>
      <c r="X143" s="1455"/>
      <c r="Y143" s="1455"/>
      <c r="Z143" s="1454"/>
    </row>
    <row r="144" spans="1:26" s="1453" customFormat="1" ht="15.5" x14ac:dyDescent="0.3">
      <c r="A144" s="1419"/>
      <c r="B144" s="1504"/>
      <c r="C144" s="454" t="s">
        <v>1977</v>
      </c>
      <c r="D144" s="319" t="s">
        <v>3</v>
      </c>
      <c r="E144" s="594" t="b">
        <f t="shared" si="13"/>
        <v>0</v>
      </c>
      <c r="F144" s="361"/>
      <c r="G144" s="1403" t="str">
        <f t="shared" si="14"/>
        <v/>
      </c>
      <c r="H144" s="1403"/>
      <c r="I144" s="44"/>
      <c r="J144" s="216"/>
      <c r="K144" s="216"/>
      <c r="L144" s="44"/>
      <c r="M144" s="122"/>
      <c r="N144" s="4447" t="s">
        <v>3</v>
      </c>
      <c r="O144" s="4441"/>
      <c r="P144" s="1583"/>
      <c r="Q144" s="1060" t="s">
        <v>3</v>
      </c>
      <c r="R144" s="716" t="b">
        <f t="shared" si="15"/>
        <v>0</v>
      </c>
      <c r="S144" s="1455"/>
      <c r="T144" s="1455"/>
      <c r="U144" s="1583"/>
      <c r="V144" s="4447" t="s">
        <v>3</v>
      </c>
      <c r="W144" s="4691"/>
      <c r="X144" s="1455"/>
      <c r="Y144" s="1455"/>
      <c r="Z144" s="1454"/>
    </row>
    <row r="145" spans="1:26" s="1453" customFormat="1" ht="29" x14ac:dyDescent="0.3">
      <c r="A145" s="1419"/>
      <c r="B145" s="1504"/>
      <c r="C145" s="454" t="s">
        <v>1761</v>
      </c>
      <c r="D145" s="319" t="s">
        <v>3</v>
      </c>
      <c r="E145" s="594" t="b">
        <f t="shared" si="13"/>
        <v>0</v>
      </c>
      <c r="F145" s="361"/>
      <c r="G145" s="1403" t="str">
        <f t="shared" si="14"/>
        <v/>
      </c>
      <c r="H145" s="1403"/>
      <c r="I145" s="44"/>
      <c r="J145" s="216"/>
      <c r="K145" s="216"/>
      <c r="L145" s="44"/>
      <c r="M145" s="122"/>
      <c r="N145" s="4447"/>
      <c r="O145" s="4441"/>
      <c r="P145" s="1583"/>
      <c r="Q145" s="1060"/>
      <c r="R145" s="716" t="b">
        <f t="shared" si="15"/>
        <v>0</v>
      </c>
      <c r="S145" s="1455"/>
      <c r="T145" s="1455"/>
      <c r="U145" s="1583"/>
      <c r="V145" s="4447"/>
      <c r="W145" s="4691"/>
      <c r="X145" s="1455"/>
      <c r="Y145" s="1455"/>
      <c r="Z145" s="1454"/>
    </row>
    <row r="146" spans="1:26" s="1453" customFormat="1" ht="29" x14ac:dyDescent="0.3">
      <c r="A146" s="1419"/>
      <c r="B146" s="1504"/>
      <c r="C146" s="454" t="s">
        <v>114</v>
      </c>
      <c r="D146" s="319" t="s">
        <v>3</v>
      </c>
      <c r="E146" s="594" t="b">
        <f t="shared" si="13"/>
        <v>0</v>
      </c>
      <c r="F146" s="361"/>
      <c r="G146" s="1403" t="str">
        <f t="shared" si="14"/>
        <v/>
      </c>
      <c r="H146" s="1403"/>
      <c r="I146" s="44"/>
      <c r="J146" s="216"/>
      <c r="K146" s="216"/>
      <c r="L146" s="44"/>
      <c r="M146" s="122"/>
      <c r="N146" s="4447"/>
      <c r="O146" s="4441"/>
      <c r="P146" s="1583"/>
      <c r="Q146" s="1060"/>
      <c r="R146" s="716" t="b">
        <f t="shared" si="15"/>
        <v>0</v>
      </c>
      <c r="S146" s="1455"/>
      <c r="T146" s="1455"/>
      <c r="U146" s="1583"/>
      <c r="V146" s="4447"/>
      <c r="W146" s="4691"/>
      <c r="X146" s="1455"/>
      <c r="Y146" s="1455"/>
      <c r="Z146" s="1454"/>
    </row>
    <row r="147" spans="1:26" s="1453" customFormat="1" ht="29" x14ac:dyDescent="0.3">
      <c r="A147" s="1419"/>
      <c r="B147" s="1504"/>
      <c r="C147" s="454" t="s">
        <v>116</v>
      </c>
      <c r="D147" s="319" t="s">
        <v>3</v>
      </c>
      <c r="E147" s="594" t="b">
        <f t="shared" si="13"/>
        <v>0</v>
      </c>
      <c r="F147" s="361"/>
      <c r="G147" s="1403" t="str">
        <f t="shared" si="14"/>
        <v/>
      </c>
      <c r="H147" s="1403"/>
      <c r="I147" s="44"/>
      <c r="J147" s="216"/>
      <c r="K147" s="216"/>
      <c r="L147" s="44"/>
      <c r="M147" s="122"/>
      <c r="N147" s="4447"/>
      <c r="O147" s="4441"/>
      <c r="P147" s="1583"/>
      <c r="Q147" s="1060"/>
      <c r="R147" s="716" t="b">
        <f t="shared" si="15"/>
        <v>0</v>
      </c>
      <c r="S147" s="1455"/>
      <c r="T147" s="1455"/>
      <c r="U147" s="1583"/>
      <c r="V147" s="4447"/>
      <c r="W147" s="4691"/>
      <c r="X147" s="1455"/>
      <c r="Y147" s="1455"/>
      <c r="Z147" s="1454"/>
    </row>
    <row r="148" spans="1:26" s="1453" customFormat="1" ht="29" x14ac:dyDescent="0.3">
      <c r="A148" s="1419"/>
      <c r="B148" s="1504"/>
      <c r="C148" s="454" t="s">
        <v>117</v>
      </c>
      <c r="D148" s="319" t="s">
        <v>3</v>
      </c>
      <c r="E148" s="594" t="b">
        <f t="shared" si="13"/>
        <v>0</v>
      </c>
      <c r="F148" s="361"/>
      <c r="G148" s="1403" t="str">
        <f t="shared" si="14"/>
        <v/>
      </c>
      <c r="H148" s="1403"/>
      <c r="I148" s="44"/>
      <c r="J148" s="216"/>
      <c r="K148" s="216"/>
      <c r="L148" s="44"/>
      <c r="M148" s="122"/>
      <c r="N148" s="4447"/>
      <c r="O148" s="4441"/>
      <c r="P148" s="1583"/>
      <c r="Q148" s="1060"/>
      <c r="R148" s="716" t="b">
        <f t="shared" si="15"/>
        <v>0</v>
      </c>
      <c r="S148" s="1455"/>
      <c r="T148" s="1455"/>
      <c r="U148" s="1583"/>
      <c r="V148" s="4447"/>
      <c r="W148" s="4691"/>
      <c r="X148" s="1455"/>
      <c r="Y148" s="1455"/>
      <c r="Z148" s="1454"/>
    </row>
    <row r="149" spans="1:26" s="1453" customFormat="1" ht="43.5" x14ac:dyDescent="0.3">
      <c r="A149" s="1419"/>
      <c r="B149" s="1504"/>
      <c r="C149" s="454" t="s">
        <v>1978</v>
      </c>
      <c r="D149" s="319" t="s">
        <v>3</v>
      </c>
      <c r="E149" s="594" t="b">
        <f t="shared" si="13"/>
        <v>0</v>
      </c>
      <c r="F149" s="361"/>
      <c r="G149" s="1403" t="str">
        <f t="shared" si="14"/>
        <v/>
      </c>
      <c r="H149" s="1403"/>
      <c r="I149" s="44"/>
      <c r="J149" s="216"/>
      <c r="K149" s="216"/>
      <c r="L149" s="44"/>
      <c r="M149" s="122"/>
      <c r="N149" s="4447" t="s">
        <v>3</v>
      </c>
      <c r="O149" s="4441"/>
      <c r="P149" s="1583"/>
      <c r="Q149" s="1060" t="s">
        <v>3</v>
      </c>
      <c r="R149" s="716" t="b">
        <f t="shared" si="15"/>
        <v>0</v>
      </c>
      <c r="S149" s="1455"/>
      <c r="T149" s="1455"/>
      <c r="U149" s="1583"/>
      <c r="V149" s="4447" t="s">
        <v>3</v>
      </c>
      <c r="W149" s="4691"/>
      <c r="X149" s="1455"/>
      <c r="Y149" s="1455"/>
      <c r="Z149" s="1454"/>
    </row>
    <row r="150" spans="1:26" s="1453" customFormat="1" ht="29" x14ac:dyDescent="0.3">
      <c r="A150" s="1419"/>
      <c r="B150" s="1504"/>
      <c r="C150" s="454" t="s">
        <v>1753</v>
      </c>
      <c r="D150" s="319" t="s">
        <v>3</v>
      </c>
      <c r="E150" s="594" t="b">
        <f t="shared" si="13"/>
        <v>0</v>
      </c>
      <c r="F150" s="361"/>
      <c r="G150" s="1403" t="str">
        <f t="shared" si="14"/>
        <v/>
      </c>
      <c r="H150" s="1403"/>
      <c r="I150" s="44"/>
      <c r="J150" s="216"/>
      <c r="K150" s="216"/>
      <c r="L150" s="44"/>
      <c r="M150" s="122"/>
      <c r="N150" s="4447"/>
      <c r="O150" s="4441"/>
      <c r="P150" s="1583"/>
      <c r="Q150" s="1060"/>
      <c r="R150" s="716" t="b">
        <f t="shared" si="15"/>
        <v>0</v>
      </c>
      <c r="S150" s="1455"/>
      <c r="T150" s="1455"/>
      <c r="U150" s="1583"/>
      <c r="V150" s="4447"/>
      <c r="W150" s="4691"/>
      <c r="X150" s="1455"/>
      <c r="Y150" s="1455"/>
      <c r="Z150" s="1454"/>
    </row>
    <row r="151" spans="1:26" s="1453" customFormat="1" ht="29" x14ac:dyDescent="0.3">
      <c r="A151" s="1419"/>
      <c r="B151" s="1504"/>
      <c r="C151" s="454" t="s">
        <v>1754</v>
      </c>
      <c r="D151" s="319" t="s">
        <v>3</v>
      </c>
      <c r="E151" s="594" t="b">
        <f t="shared" si="13"/>
        <v>0</v>
      </c>
      <c r="F151" s="361"/>
      <c r="G151" s="1403" t="str">
        <f t="shared" si="14"/>
        <v/>
      </c>
      <c r="H151" s="1403"/>
      <c r="I151" s="44"/>
      <c r="J151" s="216"/>
      <c r="K151" s="216"/>
      <c r="L151" s="44"/>
      <c r="M151" s="122"/>
      <c r="N151" s="4447"/>
      <c r="O151" s="4441"/>
      <c r="P151" s="1583"/>
      <c r="Q151" s="1060"/>
      <c r="R151" s="716" t="b">
        <f t="shared" si="15"/>
        <v>0</v>
      </c>
      <c r="S151" s="1455"/>
      <c r="T151" s="1455"/>
      <c r="U151" s="1583"/>
      <c r="V151" s="4447"/>
      <c r="W151" s="4691"/>
      <c r="X151" s="1455"/>
      <c r="Y151" s="1455"/>
      <c r="Z151" s="1454"/>
    </row>
    <row r="152" spans="1:26" s="1453" customFormat="1" ht="29" x14ac:dyDescent="0.3">
      <c r="A152" s="1419"/>
      <c r="B152" s="1504"/>
      <c r="C152" s="454" t="s">
        <v>1780</v>
      </c>
      <c r="D152" s="319" t="s">
        <v>3</v>
      </c>
      <c r="E152" s="594" t="b">
        <f t="shared" si="13"/>
        <v>0</v>
      </c>
      <c r="F152" s="361"/>
      <c r="G152" s="1403" t="str">
        <f t="shared" si="14"/>
        <v/>
      </c>
      <c r="H152" s="1403"/>
      <c r="I152" s="44"/>
      <c r="J152" s="216"/>
      <c r="K152" s="216"/>
      <c r="L152" s="44"/>
      <c r="M152" s="122"/>
      <c r="N152" s="4447"/>
      <c r="O152" s="4441"/>
      <c r="P152" s="1583"/>
      <c r="Q152" s="1060"/>
      <c r="R152" s="716" t="b">
        <f t="shared" si="15"/>
        <v>0</v>
      </c>
      <c r="S152" s="1455"/>
      <c r="T152" s="1455"/>
      <c r="U152" s="1583"/>
      <c r="V152" s="4447"/>
      <c r="W152" s="4691"/>
      <c r="X152" s="1455"/>
      <c r="Y152" s="1455"/>
      <c r="Z152" s="1454"/>
    </row>
    <row r="153" spans="1:26" s="1453" customFormat="1" ht="29" x14ac:dyDescent="0.3">
      <c r="A153" s="1419"/>
      <c r="B153" s="1504"/>
      <c r="C153" s="454" t="s">
        <v>1779</v>
      </c>
      <c r="D153" s="319" t="s">
        <v>3</v>
      </c>
      <c r="E153" s="594" t="b">
        <f t="shared" si="13"/>
        <v>0</v>
      </c>
      <c r="F153" s="361"/>
      <c r="G153" s="1403" t="str">
        <f t="shared" si="14"/>
        <v/>
      </c>
      <c r="H153" s="1403"/>
      <c r="I153" s="44"/>
      <c r="J153" s="216"/>
      <c r="K153" s="216"/>
      <c r="L153" s="44"/>
      <c r="M153" s="122"/>
      <c r="N153" s="4447"/>
      <c r="O153" s="4441"/>
      <c r="P153" s="1583"/>
      <c r="Q153" s="1060"/>
      <c r="R153" s="716" t="b">
        <f t="shared" si="15"/>
        <v>0</v>
      </c>
      <c r="S153" s="1455"/>
      <c r="T153" s="1455"/>
      <c r="U153" s="1583"/>
      <c r="V153" s="4447"/>
      <c r="W153" s="4691"/>
      <c r="X153" s="1455"/>
      <c r="Y153" s="1455"/>
      <c r="Z153" s="1454"/>
    </row>
    <row r="154" spans="1:26" s="1453" customFormat="1" ht="29" x14ac:dyDescent="0.3">
      <c r="A154" s="1419"/>
      <c r="B154" s="1504"/>
      <c r="C154" s="454" t="s">
        <v>1979</v>
      </c>
      <c r="D154" s="319" t="s">
        <v>3</v>
      </c>
      <c r="E154" s="594" t="b">
        <f t="shared" si="13"/>
        <v>0</v>
      </c>
      <c r="F154" s="361"/>
      <c r="G154" s="1403" t="str">
        <f t="shared" si="14"/>
        <v/>
      </c>
      <c r="H154" s="1403"/>
      <c r="I154" s="44"/>
      <c r="J154" s="216"/>
      <c r="K154" s="216"/>
      <c r="L154" s="44"/>
      <c r="M154" s="122"/>
      <c r="N154" s="4447" t="s">
        <v>3</v>
      </c>
      <c r="O154" s="4441"/>
      <c r="P154" s="1583"/>
      <c r="Q154" s="1060" t="s">
        <v>3</v>
      </c>
      <c r="R154" s="716" t="b">
        <f t="shared" si="15"/>
        <v>0</v>
      </c>
      <c r="S154" s="1455"/>
      <c r="T154" s="1455"/>
      <c r="U154" s="1583"/>
      <c r="V154" s="4447" t="s">
        <v>3</v>
      </c>
      <c r="W154" s="4691"/>
      <c r="X154" s="1455"/>
      <c r="Y154" s="1455"/>
      <c r="Z154" s="1454"/>
    </row>
    <row r="155" spans="1:26" s="1453" customFormat="1" ht="43.5" x14ac:dyDescent="0.3">
      <c r="A155" s="1419"/>
      <c r="B155" s="1504"/>
      <c r="C155" s="454" t="s">
        <v>128</v>
      </c>
      <c r="D155" s="319" t="s">
        <v>3</v>
      </c>
      <c r="E155" s="594" t="b">
        <f t="shared" si="13"/>
        <v>0</v>
      </c>
      <c r="F155" s="361"/>
      <c r="G155" s="1403" t="str">
        <f t="shared" si="14"/>
        <v/>
      </c>
      <c r="H155" s="1403"/>
      <c r="I155" s="44"/>
      <c r="J155" s="216"/>
      <c r="K155" s="216"/>
      <c r="L155" s="44"/>
      <c r="M155" s="122"/>
      <c r="N155" s="4447"/>
      <c r="O155" s="4441"/>
      <c r="P155" s="1583"/>
      <c r="Q155" s="1060"/>
      <c r="R155" s="716" t="b">
        <f t="shared" si="15"/>
        <v>0</v>
      </c>
      <c r="S155" s="1455"/>
      <c r="T155" s="1455"/>
      <c r="U155" s="1583"/>
      <c r="V155" s="4447"/>
      <c r="W155" s="4691"/>
      <c r="X155" s="1455"/>
      <c r="Y155" s="1455"/>
      <c r="Z155" s="1454"/>
    </row>
    <row r="156" spans="1:26" s="1453" customFormat="1" ht="29" x14ac:dyDescent="0.3">
      <c r="A156" s="1419"/>
      <c r="B156" s="1504"/>
      <c r="C156" s="454" t="s">
        <v>1752</v>
      </c>
      <c r="D156" s="319" t="s">
        <v>3</v>
      </c>
      <c r="E156" s="594" t="b">
        <f t="shared" si="13"/>
        <v>0</v>
      </c>
      <c r="F156" s="361"/>
      <c r="G156" s="1403" t="str">
        <f t="shared" si="14"/>
        <v/>
      </c>
      <c r="H156" s="1403"/>
      <c r="I156" s="44"/>
      <c r="J156" s="216"/>
      <c r="K156" s="216"/>
      <c r="L156" s="44"/>
      <c r="M156" s="122"/>
      <c r="N156" s="4447"/>
      <c r="O156" s="4441"/>
      <c r="P156" s="1583"/>
      <c r="Q156" s="1060"/>
      <c r="R156" s="716" t="b">
        <f t="shared" si="15"/>
        <v>0</v>
      </c>
      <c r="S156" s="1455"/>
      <c r="T156" s="1455"/>
      <c r="U156" s="1583"/>
      <c r="V156" s="4447"/>
      <c r="W156" s="4691"/>
      <c r="X156" s="1455"/>
      <c r="Y156" s="1455"/>
      <c r="Z156" s="1454"/>
    </row>
    <row r="157" spans="1:26" s="1453" customFormat="1" ht="29" x14ac:dyDescent="0.3">
      <c r="A157" s="1419"/>
      <c r="B157" s="1504"/>
      <c r="C157" s="454" t="s">
        <v>1751</v>
      </c>
      <c r="D157" s="319" t="s">
        <v>3</v>
      </c>
      <c r="E157" s="594" t="b">
        <f t="shared" si="13"/>
        <v>0</v>
      </c>
      <c r="F157" s="361"/>
      <c r="G157" s="1403" t="str">
        <f t="shared" si="14"/>
        <v/>
      </c>
      <c r="H157" s="1403"/>
      <c r="I157" s="44"/>
      <c r="J157" s="216"/>
      <c r="K157" s="216"/>
      <c r="L157" s="44"/>
      <c r="M157" s="122"/>
      <c r="N157" s="4447"/>
      <c r="O157" s="4441"/>
      <c r="P157" s="1583"/>
      <c r="Q157" s="1060"/>
      <c r="R157" s="716" t="b">
        <f t="shared" si="15"/>
        <v>0</v>
      </c>
      <c r="S157" s="1455"/>
      <c r="T157" s="1455"/>
      <c r="U157" s="1583"/>
      <c r="V157" s="4447"/>
      <c r="W157" s="4691"/>
      <c r="X157" s="1455"/>
      <c r="Y157" s="1455"/>
      <c r="Z157" s="1454"/>
    </row>
    <row r="158" spans="1:26" s="1453" customFormat="1" ht="29" x14ac:dyDescent="0.3">
      <c r="A158" s="1419"/>
      <c r="B158" s="1504"/>
      <c r="C158" s="454" t="s">
        <v>1778</v>
      </c>
      <c r="D158" s="319" t="s">
        <v>3</v>
      </c>
      <c r="E158" s="594" t="b">
        <f t="shared" si="13"/>
        <v>0</v>
      </c>
      <c r="F158" s="361"/>
      <c r="G158" s="1403" t="str">
        <f t="shared" si="14"/>
        <v/>
      </c>
      <c r="H158" s="1403"/>
      <c r="I158" s="44"/>
      <c r="J158" s="216"/>
      <c r="K158" s="216"/>
      <c r="L158" s="44"/>
      <c r="M158" s="122"/>
      <c r="N158" s="4447"/>
      <c r="O158" s="4441"/>
      <c r="P158" s="1583"/>
      <c r="Q158" s="1060"/>
      <c r="R158" s="716" t="b">
        <f t="shared" si="15"/>
        <v>0</v>
      </c>
      <c r="S158" s="1455"/>
      <c r="T158" s="1455"/>
      <c r="U158" s="1583"/>
      <c r="V158" s="4447"/>
      <c r="W158" s="4691"/>
      <c r="X158" s="1455"/>
      <c r="Y158" s="1455"/>
      <c r="Z158" s="1454"/>
    </row>
    <row r="159" spans="1:26" s="1453" customFormat="1" ht="29" x14ac:dyDescent="0.3">
      <c r="A159" s="1419"/>
      <c r="B159" s="1504"/>
      <c r="C159" s="454" t="s">
        <v>132</v>
      </c>
      <c r="D159" s="319" t="s">
        <v>3</v>
      </c>
      <c r="E159" s="594" t="b">
        <f t="shared" si="13"/>
        <v>0</v>
      </c>
      <c r="F159" s="361"/>
      <c r="G159" s="1403" t="str">
        <f t="shared" si="14"/>
        <v/>
      </c>
      <c r="H159" s="1403"/>
      <c r="I159" s="44"/>
      <c r="J159" s="216"/>
      <c r="K159" s="216"/>
      <c r="L159" s="44"/>
      <c r="M159" s="122"/>
      <c r="N159" s="4447" t="s">
        <v>3</v>
      </c>
      <c r="O159" s="4441"/>
      <c r="P159" s="1583"/>
      <c r="Q159" s="1060" t="s">
        <v>3</v>
      </c>
      <c r="R159" s="716" t="b">
        <f t="shared" si="15"/>
        <v>0</v>
      </c>
      <c r="S159" s="1455"/>
      <c r="T159" s="1455"/>
      <c r="U159" s="1583"/>
      <c r="V159" s="4447" t="s">
        <v>3</v>
      </c>
      <c r="W159" s="4691"/>
      <c r="X159" s="1455"/>
      <c r="Y159" s="1455"/>
      <c r="Z159" s="1454"/>
    </row>
    <row r="160" spans="1:26" s="1453" customFormat="1" ht="29" x14ac:dyDescent="0.3">
      <c r="A160" s="1419"/>
      <c r="B160" s="1504"/>
      <c r="C160" s="454" t="s">
        <v>1750</v>
      </c>
      <c r="D160" s="319" t="s">
        <v>3</v>
      </c>
      <c r="E160" s="594" t="b">
        <f t="shared" si="13"/>
        <v>0</v>
      </c>
      <c r="F160" s="361"/>
      <c r="G160" s="1403" t="str">
        <f t="shared" si="14"/>
        <v/>
      </c>
      <c r="H160" s="1403"/>
      <c r="I160" s="44"/>
      <c r="J160" s="216"/>
      <c r="K160" s="216"/>
      <c r="L160" s="44"/>
      <c r="M160" s="122"/>
      <c r="N160" s="4447"/>
      <c r="O160" s="4441"/>
      <c r="P160" s="1583"/>
      <c r="Q160" s="1060"/>
      <c r="R160" s="716" t="b">
        <f t="shared" si="15"/>
        <v>0</v>
      </c>
      <c r="S160" s="1455"/>
      <c r="T160" s="1455"/>
      <c r="U160" s="1583"/>
      <c r="V160" s="4447"/>
      <c r="W160" s="4691"/>
      <c r="X160" s="1455"/>
      <c r="Y160" s="1455"/>
      <c r="Z160" s="1454"/>
    </row>
    <row r="161" spans="1:26" s="1453" customFormat="1" ht="58" x14ac:dyDescent="0.3">
      <c r="A161" s="1419"/>
      <c r="B161" s="1504"/>
      <c r="C161" s="454" t="s">
        <v>1980</v>
      </c>
      <c r="D161" s="319" t="s">
        <v>3</v>
      </c>
      <c r="E161" s="594" t="b">
        <f t="shared" si="13"/>
        <v>0</v>
      </c>
      <c r="F161" s="361"/>
      <c r="G161" s="1403" t="str">
        <f t="shared" si="14"/>
        <v/>
      </c>
      <c r="H161" s="1403"/>
      <c r="I161" s="44"/>
      <c r="J161" s="216"/>
      <c r="K161" s="216"/>
      <c r="L161" s="44"/>
      <c r="M161" s="122"/>
      <c r="N161" s="4447"/>
      <c r="O161" s="4441"/>
      <c r="P161" s="1583"/>
      <c r="Q161" s="1060"/>
      <c r="R161" s="716" t="b">
        <f t="shared" si="15"/>
        <v>0</v>
      </c>
      <c r="S161" s="1455"/>
      <c r="T161" s="1455"/>
      <c r="U161" s="1583"/>
      <c r="V161" s="4447"/>
      <c r="W161" s="4691"/>
      <c r="X161" s="1455"/>
      <c r="Y161" s="1455"/>
      <c r="Z161" s="1454"/>
    </row>
    <row r="162" spans="1:26" s="1453" customFormat="1" ht="29" x14ac:dyDescent="0.3">
      <c r="A162" s="1419"/>
      <c r="B162" s="1504"/>
      <c r="C162" s="454" t="s">
        <v>1938</v>
      </c>
      <c r="D162" s="319" t="s">
        <v>3</v>
      </c>
      <c r="E162" s="594" t="b">
        <f t="shared" si="13"/>
        <v>0</v>
      </c>
      <c r="F162" s="361"/>
      <c r="G162" s="1403" t="str">
        <f t="shared" si="14"/>
        <v/>
      </c>
      <c r="H162" s="1403"/>
      <c r="I162" s="44"/>
      <c r="J162" s="216"/>
      <c r="K162" s="216"/>
      <c r="L162" s="44"/>
      <c r="M162" s="122"/>
      <c r="N162" s="4447"/>
      <c r="O162" s="4441"/>
      <c r="P162" s="1583"/>
      <c r="Q162" s="1060"/>
      <c r="R162" s="716" t="b">
        <f t="shared" si="15"/>
        <v>0</v>
      </c>
      <c r="S162" s="1455"/>
      <c r="T162" s="1455"/>
      <c r="U162" s="1583"/>
      <c r="V162" s="4447"/>
      <c r="W162" s="4691"/>
      <c r="X162" s="1455"/>
      <c r="Y162" s="1455"/>
      <c r="Z162" s="1454"/>
    </row>
    <row r="163" spans="1:26" s="1453" customFormat="1" ht="29" x14ac:dyDescent="0.3">
      <c r="A163" s="1419"/>
      <c r="B163" s="1504"/>
      <c r="C163" s="454" t="s">
        <v>1749</v>
      </c>
      <c r="D163" s="319" t="s">
        <v>3</v>
      </c>
      <c r="E163" s="594" t="b">
        <f t="shared" si="13"/>
        <v>0</v>
      </c>
      <c r="F163" s="361"/>
      <c r="G163" s="1403" t="str">
        <f t="shared" si="14"/>
        <v/>
      </c>
      <c r="H163" s="1403"/>
      <c r="I163" s="44"/>
      <c r="J163" s="216"/>
      <c r="K163" s="216"/>
      <c r="L163" s="44"/>
      <c r="M163" s="122"/>
      <c r="N163" s="4447"/>
      <c r="O163" s="4441"/>
      <c r="P163" s="1583"/>
      <c r="Q163" s="1060"/>
      <c r="R163" s="716" t="b">
        <f t="shared" si="15"/>
        <v>0</v>
      </c>
      <c r="S163" s="1455"/>
      <c r="T163" s="1455"/>
      <c r="U163" s="1583"/>
      <c r="V163" s="4447"/>
      <c r="W163" s="4691"/>
      <c r="X163" s="1455"/>
      <c r="Y163" s="1455"/>
      <c r="Z163" s="1454"/>
    </row>
    <row r="164" spans="1:26" s="1453" customFormat="1" ht="29" x14ac:dyDescent="0.3">
      <c r="A164" s="1419"/>
      <c r="B164" s="1504"/>
      <c r="C164" s="454" t="s">
        <v>138</v>
      </c>
      <c r="D164" s="319" t="s">
        <v>3</v>
      </c>
      <c r="E164" s="594" t="b">
        <f t="shared" si="13"/>
        <v>0</v>
      </c>
      <c r="F164" s="361"/>
      <c r="G164" s="1403" t="str">
        <f t="shared" si="14"/>
        <v/>
      </c>
      <c r="H164" s="1403"/>
      <c r="I164" s="44"/>
      <c r="J164" s="216"/>
      <c r="K164" s="216"/>
      <c r="L164" s="44"/>
      <c r="M164" s="122"/>
      <c r="N164" s="4447" t="s">
        <v>3</v>
      </c>
      <c r="O164" s="4441"/>
      <c r="P164" s="1583"/>
      <c r="Q164" s="1060" t="s">
        <v>3</v>
      </c>
      <c r="R164" s="716" t="b">
        <f t="shared" si="15"/>
        <v>0</v>
      </c>
      <c r="S164" s="1455"/>
      <c r="T164" s="1455"/>
      <c r="U164" s="1583"/>
      <c r="V164" s="4447" t="s">
        <v>3</v>
      </c>
      <c r="W164" s="4691"/>
      <c r="X164" s="1455"/>
      <c r="Y164" s="1455"/>
      <c r="Z164" s="1454"/>
    </row>
    <row r="165" spans="1:26" s="1453" customFormat="1" ht="43.5" x14ac:dyDescent="0.3">
      <c r="A165" s="1419"/>
      <c r="B165" s="1504"/>
      <c r="C165" s="454" t="s">
        <v>139</v>
      </c>
      <c r="D165" s="319" t="s">
        <v>3</v>
      </c>
      <c r="E165" s="594" t="b">
        <f t="shared" si="13"/>
        <v>0</v>
      </c>
      <c r="F165" s="361"/>
      <c r="G165" s="1403" t="str">
        <f t="shared" si="14"/>
        <v/>
      </c>
      <c r="H165" s="1403"/>
      <c r="I165" s="44"/>
      <c r="J165" s="216"/>
      <c r="K165" s="216"/>
      <c r="L165" s="44"/>
      <c r="M165" s="122"/>
      <c r="N165" s="4447"/>
      <c r="O165" s="4441"/>
      <c r="P165" s="1583"/>
      <c r="Q165" s="1060"/>
      <c r="R165" s="716" t="b">
        <f t="shared" si="15"/>
        <v>0</v>
      </c>
      <c r="S165" s="1455"/>
      <c r="T165" s="1455"/>
      <c r="U165" s="1583"/>
      <c r="V165" s="4447"/>
      <c r="W165" s="4691"/>
      <c r="X165" s="1455"/>
      <c r="Y165" s="1455"/>
      <c r="Z165" s="1454"/>
    </row>
    <row r="166" spans="1:26" s="1453" customFormat="1" ht="43.5" x14ac:dyDescent="0.3">
      <c r="A166" s="1419"/>
      <c r="B166" s="1504"/>
      <c r="C166" s="454" t="s">
        <v>140</v>
      </c>
      <c r="D166" s="319" t="s">
        <v>3</v>
      </c>
      <c r="E166" s="594" t="b">
        <f t="shared" si="13"/>
        <v>0</v>
      </c>
      <c r="F166" s="361"/>
      <c r="G166" s="1403" t="str">
        <f t="shared" si="14"/>
        <v/>
      </c>
      <c r="H166" s="1403"/>
      <c r="I166" s="44"/>
      <c r="J166" s="216"/>
      <c r="K166" s="216"/>
      <c r="L166" s="44"/>
      <c r="M166" s="122"/>
      <c r="N166" s="4447"/>
      <c r="O166" s="4441"/>
      <c r="P166" s="1583"/>
      <c r="Q166" s="1060"/>
      <c r="R166" s="716" t="b">
        <f t="shared" si="15"/>
        <v>0</v>
      </c>
      <c r="S166" s="1455"/>
      <c r="T166" s="1455"/>
      <c r="U166" s="1583"/>
      <c r="V166" s="4447"/>
      <c r="W166" s="4691"/>
      <c r="X166" s="1455"/>
      <c r="Y166" s="1455"/>
      <c r="Z166" s="1454"/>
    </row>
    <row r="167" spans="1:26" s="1453" customFormat="1" ht="29" x14ac:dyDescent="0.3">
      <c r="A167" s="1419"/>
      <c r="B167" s="1504"/>
      <c r="C167" s="454" t="s">
        <v>1747</v>
      </c>
      <c r="D167" s="319" t="s">
        <v>3</v>
      </c>
      <c r="E167" s="594" t="b">
        <f t="shared" si="13"/>
        <v>0</v>
      </c>
      <c r="F167" s="361"/>
      <c r="G167" s="1403" t="str">
        <f t="shared" si="14"/>
        <v/>
      </c>
      <c r="H167" s="1403"/>
      <c r="I167" s="44"/>
      <c r="J167" s="216"/>
      <c r="K167" s="216"/>
      <c r="L167" s="44"/>
      <c r="M167" s="122"/>
      <c r="N167" s="4447"/>
      <c r="O167" s="4441"/>
      <c r="P167" s="1583"/>
      <c r="Q167" s="1060"/>
      <c r="R167" s="716" t="b">
        <f t="shared" si="15"/>
        <v>0</v>
      </c>
      <c r="S167" s="1455"/>
      <c r="T167" s="1455"/>
      <c r="U167" s="1583"/>
      <c r="V167" s="4447"/>
      <c r="W167" s="4691"/>
      <c r="X167" s="1455"/>
      <c r="Y167" s="1455"/>
      <c r="Z167" s="1454"/>
    </row>
    <row r="168" spans="1:26" s="1453" customFormat="1" ht="16" thickBot="1" x14ac:dyDescent="0.35">
      <c r="A168" s="1419"/>
      <c r="B168" s="4191"/>
      <c r="C168" s="4192" t="s">
        <v>142</v>
      </c>
      <c r="D168" s="230" t="s">
        <v>3</v>
      </c>
      <c r="E168" s="595" t="b">
        <f t="shared" si="13"/>
        <v>0</v>
      </c>
      <c r="F168" s="258"/>
      <c r="G168" s="1446" t="str">
        <f t="shared" si="14"/>
        <v/>
      </c>
      <c r="H168" s="1446"/>
      <c r="I168" s="124"/>
      <c r="J168" s="218"/>
      <c r="K168" s="218"/>
      <c r="L168" s="124"/>
      <c r="M168" s="125"/>
      <c r="N168" s="4448"/>
      <c r="O168" s="4442"/>
      <c r="P168" s="2658"/>
      <c r="Q168" s="1017"/>
      <c r="R168" s="921" t="b">
        <f t="shared" si="15"/>
        <v>0</v>
      </c>
      <c r="S168" s="2659"/>
      <c r="T168" s="2659"/>
      <c r="U168" s="2658"/>
      <c r="V168" s="4448"/>
      <c r="W168" s="4692"/>
      <c r="X168" s="2659"/>
      <c r="Y168" s="2659"/>
      <c r="Z168" s="2660"/>
    </row>
    <row r="169" spans="1:26" s="3634" customFormat="1" ht="15" thickTop="1" x14ac:dyDescent="0.3">
      <c r="A169" s="3679"/>
      <c r="B169" s="3679"/>
      <c r="V169" s="3692"/>
      <c r="W169" s="3643"/>
    </row>
    <row r="170" spans="1:26" s="3650" customFormat="1" ht="18.5" x14ac:dyDescent="0.3">
      <c r="A170" s="4482" t="s">
        <v>1245</v>
      </c>
      <c r="B170" s="4483"/>
      <c r="C170" s="4483"/>
      <c r="D170" s="4483"/>
      <c r="E170" s="4483"/>
      <c r="F170" s="4483"/>
      <c r="G170" s="4483"/>
      <c r="H170" s="4483"/>
      <c r="I170" s="4483"/>
      <c r="J170" s="4483"/>
      <c r="K170" s="4483"/>
      <c r="L170" s="4483"/>
      <c r="M170" s="4483"/>
      <c r="N170" s="4483"/>
      <c r="O170" s="3669"/>
      <c r="P170" s="3683"/>
      <c r="Q170" s="3683"/>
      <c r="R170" s="3683"/>
      <c r="S170" s="3684"/>
      <c r="T170" s="3685"/>
      <c r="U170" s="3685"/>
      <c r="V170" s="3669"/>
      <c r="W170" s="3739"/>
      <c r="X170" s="3683"/>
      <c r="Y170" s="3684"/>
      <c r="Z170" s="3685"/>
    </row>
    <row r="171" spans="1:26" s="3634" customFormat="1" ht="15" thickBot="1" x14ac:dyDescent="0.35">
      <c r="A171" s="3638"/>
      <c r="B171" s="3638"/>
      <c r="C171" s="3638"/>
      <c r="E171" s="3638"/>
      <c r="F171" s="3638"/>
      <c r="G171" s="3638"/>
      <c r="H171" s="3638"/>
      <c r="I171" s="3638"/>
      <c r="J171" s="3638"/>
      <c r="K171" s="3638"/>
      <c r="L171" s="3740"/>
      <c r="M171" s="3638"/>
      <c r="N171" s="3638"/>
      <c r="V171" s="3635"/>
      <c r="W171" s="3643"/>
    </row>
    <row r="172" spans="1:26" s="1414" customFormat="1" ht="59" thickTop="1" thickBot="1" x14ac:dyDescent="0.35">
      <c r="A172" s="3076" t="s">
        <v>883</v>
      </c>
      <c r="B172" s="1907" t="s">
        <v>459</v>
      </c>
      <c r="C172" s="1029" t="s">
        <v>1845</v>
      </c>
      <c r="D172" s="1915" t="s">
        <v>565</v>
      </c>
      <c r="E172" s="1050" t="b">
        <f>IF(AND(E173,TRUE,E182,TRUE),TRUE,FALSE)</f>
        <v>0</v>
      </c>
      <c r="F172" s="3172">
        <f>SUM(F173,F182)</f>
        <v>0</v>
      </c>
      <c r="G172" s="1726">
        <f>SUM(G173,G182)</f>
        <v>0</v>
      </c>
      <c r="H172" s="1726">
        <f>SUM(H173,H182)</f>
        <v>0</v>
      </c>
      <c r="I172" s="3159" t="str">
        <f xml:space="preserve">
IF(F172&gt;27,"Too Many Entries - Check Red Lines",
IF(AND(E172=FALSE,G172=0,H172=0,E172=TRUE),"Nothing Required Below",
IF(G172&lt;F172,"Valid Entry required below - Check Amber Line/s",
IF(AND(E172=FALSE,G172=0,H172=0),"Nothing Entered below Yet",
IF(G172&lt;F172,"Valid Entry required below - Check Amber Line/s",
IF(AND(G172=0,H172&gt;0),"**Non-Valid Entry/ies below - Check Yellow Line/s",
IF(AND(G172&gt;0,H172&gt;0),"**Valid and Non-Valid Entries made below - Check Yellow Line/s",
IF(AND(E172=FALSE,F172&lt;27),"Not all requirements addressed below - Check Pink Line/s",
IF(AND(E172=FALSE,G172&lt;27,G172&gt;0,H172=0),"More entries to come",
IF(AND(E172,TRUE,G172=27,H172=0),"Valid Entries made below"
))))))))))</f>
        <v>Nothing Entered below Yet</v>
      </c>
      <c r="J172" s="3159">
        <f>SUM(J173,J182)</f>
        <v>0</v>
      </c>
      <c r="K172" s="3159">
        <f>SUM(K173,K182)</f>
        <v>0</v>
      </c>
      <c r="L172" s="3159" t="str">
        <f xml:space="preserve">
IF(J172&gt;27,"Too Many Entries - Check Red Lines",
IF(AND(E172=FALSE,J172=0,K172=0,E171=TRUE),"Nothing Required Below",
IF(J172&lt;F172,"Valid Entry required below - Check Amber Line/s",
IF(AND(E172=FALSE,J172=0,K172=0),"Nothing Entered below Yet",
IF(AND(J172=0,K172&gt;0),"**Non-Valid Entry/ies below - Check Yellow Line/s",
IF(AND(J172&gt;0,K172&gt;0),"**Valid and Non-Valid Entries made below - Check Yellow Line/s",
IF(AND(E172=FALSE,J172&lt;27),"Not all requirements addressed below - Check Pink Line/s",
IF(AND(E172=FALSE,J172&lt;27,J172&gt;0,K172=0),"More entries to come",
IF(AND(E172,TRUE,J172=27,K172=0),"Valid Entries made below"
)))))))))</f>
        <v>Nothing Entered below Yet</v>
      </c>
      <c r="M172" s="807"/>
      <c r="N172" s="4189" t="s">
        <v>565</v>
      </c>
      <c r="O172" s="119" t="b">
        <f>IF(AND(O173=TRUE,O182=TRUE,O189=TRUE),TRUE,FALSE)</f>
        <v>0</v>
      </c>
      <c r="P172" s="1009"/>
      <c r="Q172" s="4183" t="s">
        <v>565</v>
      </c>
      <c r="R172" s="2139" t="b">
        <f>IF(AND(R173,TRUE,R182,TRUE),TRUE,FALSE)</f>
        <v>0</v>
      </c>
      <c r="S172" s="418"/>
      <c r="T172" s="418"/>
      <c r="U172" s="809"/>
      <c r="V172" s="4189" t="s">
        <v>565</v>
      </c>
      <c r="W172" s="773" t="b">
        <f>IF(AND(,W173=TRUE,W185=TRUE),TRUE,FALSE)</f>
        <v>0</v>
      </c>
      <c r="X172" s="2661"/>
      <c r="Y172" s="2661"/>
      <c r="Z172" s="2662"/>
    </row>
    <row r="173" spans="1:26" s="1414" customFormat="1" ht="102.5" thickTop="1" thickBot="1" x14ac:dyDescent="0.35">
      <c r="A173" s="1414" t="s">
        <v>45</v>
      </c>
      <c r="B173" s="3169" t="s">
        <v>401</v>
      </c>
      <c r="C173" s="3170" t="s">
        <v>829</v>
      </c>
      <c r="D173" s="1915" t="s">
        <v>565</v>
      </c>
      <c r="E173" s="1050" t="b">
        <f>IF(AND(E174=TRUE,E183=TRUE),TRUE,FALSE)</f>
        <v>0</v>
      </c>
      <c r="F173" s="1726">
        <f>COUNTIF(E175:E178,TRUE)+COUNTIF(E180:E183,TRUE)</f>
        <v>0</v>
      </c>
      <c r="G173" s="1726">
        <f>COUNTIFS(E174:E183,TRUE,G174:G183,"Not Blank")</f>
        <v>0</v>
      </c>
      <c r="H173" s="1726">
        <f>COUNTIFS(E174:E183,FALSE,G174:G183,"Not Blank")</f>
        <v>0</v>
      </c>
      <c r="I173" s="3159" t="str">
        <f xml:space="preserve">
IF(F173&gt;8,"Too Many Entries - Check Red Lines",
IF(AND(E173=FALSE,G173=0,H173=0,E173=TRUE),"Nothing Required Below",
IF(G173&lt;F173,"Valid Entry required below - Check Amber Line/s",
IF(AND(E173=FALSE,G173=0,H173=0),"Nothing Entered below Yet",
IF(G173&lt;F173,"Valid Entry required below - Check Amber Line/s",
IF(AND(G173=0,H173&gt;0),"**Non-Valid Entry/ies below - Check Yellow Line/s",
IF(AND(G173&gt;0,H173&gt;0),"**Valid and Non-Valid Entries made below - Check Yellow Line/s",
IF(AND(E173=FALSE,F173&lt;8),"Not all requirements addressed below - Check Pink Line/s",
IF(AND(E173=FALSE,G173&lt;8,G173&gt;0,H173=0),"More entries to come",
IF(AND(E173,TRUE,G173=8,H173=0),"Valid Entries made below"
))))))))))</f>
        <v>Nothing Entered below Yet</v>
      </c>
      <c r="J173" s="3159">
        <f>COUNTIFS(E174:E183,TRUE,J174:J183,"Not Blank")</f>
        <v>0</v>
      </c>
      <c r="K173" s="3159">
        <f>COUNTIFS(E174:E183,FALSE,J174:J183,"Not Blank")</f>
        <v>0</v>
      </c>
      <c r="L173" s="3159" t="str">
        <f xml:space="preserve">
IF(J173&gt;8,"Too Many Entries - Check Red Lines",
IF(AND(E173=FALSE,J173=0,K173=0,E172=TRUE),"Nothing Required Below",
IF(J173&lt;F173,"Valid Entry required below - Check Amber Line/s",
IF(AND(E173=FALSE,J173=0,K173=0),"Nothing Entered below Yet",
IF(AND(J173=0,K173&gt;0),"**Non-Valid Entry/ies below - Check Yellow Line/s",
IF(AND(J173&gt;0,K173&gt;0),"**Valid and Non-Valid Entries made below - Check Yellow Line/s",
IF(AND(E173=FALSE,J173&lt;8),"Not all requirements addressed below - Check Pink Line/s",
IF(AND(E173=FALSE,J173&lt;8,J173&gt;0,K173=0),"More entries to come",
IF(AND(E173,TRUE,J173=8,K173=0),"Valid Entries made below"
)))))))))</f>
        <v>Nothing Entered below Yet</v>
      </c>
      <c r="M173" s="861"/>
      <c r="N173" s="4414" t="s">
        <v>3</v>
      </c>
      <c r="O173" s="4698" t="b">
        <f>IF(OR(N173="Compliant",N173="FE with work-a-round",N173="Functionally Equivalent"),TRUE,FALSE)</f>
        <v>0</v>
      </c>
      <c r="P173" s="2144"/>
      <c r="Q173" s="4183" t="s">
        <v>565</v>
      </c>
      <c r="R173" s="2139" t="b">
        <f>IF(AND(R174=TRUE,R182=TRUE),TRUE,FALSE)</f>
        <v>0</v>
      </c>
      <c r="S173" s="418"/>
      <c r="T173" s="418"/>
      <c r="U173" s="1009"/>
      <c r="V173" s="4446" t="s">
        <v>3</v>
      </c>
      <c r="W173" s="4697" t="b">
        <f>IF(OR(V173="Compliant",V173="FE with work-a-round",V173="Functionally Equivalent",V173="Not Required/Applicable"),TRUE,FALSE)</f>
        <v>0</v>
      </c>
      <c r="X173" s="2663"/>
      <c r="Y173" s="2661"/>
      <c r="Z173" s="2662"/>
    </row>
    <row r="174" spans="1:26" s="1414" customFormat="1" ht="73" thickTop="1" x14ac:dyDescent="0.3">
      <c r="A174" s="3077" t="s">
        <v>45</v>
      </c>
      <c r="B174" s="3169" t="s">
        <v>1640</v>
      </c>
      <c r="C174" s="3171" t="s">
        <v>830</v>
      </c>
      <c r="D174" s="2250" t="s">
        <v>1351</v>
      </c>
      <c r="E174" s="659" t="b">
        <f>IF(AND(E175=TRUE,E176=TRUE,E177=TRUE,E178=TRUE,E180=TRUE,E179=TRUE),TRUE,FALSE)</f>
        <v>0</v>
      </c>
      <c r="F174" s="207">
        <f>COUNTIF(E175:E180,TRUE)</f>
        <v>0</v>
      </c>
      <c r="G174" s="207">
        <f>COUNTIFS(E175:E180,TRUE,G175:G180,"Not Blank")</f>
        <v>0</v>
      </c>
      <c r="H174" s="207">
        <f>COUNTIFS(E175:E180,FALSE,G175:G180,"Not Blank")</f>
        <v>0</v>
      </c>
      <c r="I174" s="3154" t="str">
        <f xml:space="preserve">
IF(F174&gt;6,"Too Many Entries - Check Red Lines",
IF(AND(E174=FALSE,G174=0,H174=0,E174=TRUE),"Nothing Required Below",
IF(G174&lt;F174,"Valid Entry required below - Check Amber Line/s",
IF(AND(E174=FALSE,G174=0,H174=0),"Nothing Entered below Yet",
IF(G174&lt;F174,"Valid Entry required below - Check Amber Line/s",
IF(AND(G174=0,H174&gt;0),"**Non-Valid Entry/ies below - Check Yellow Line/s",
IF(AND(G174&gt;0,H174&gt;0),"**Valid and Non-Valid Entries made below - Check Yellow Line/s",
IF(AND(E174=FALSE,F174&lt;6),"Not all requirements addressed below - Check Pink Line/s",
IF(AND(E174=FALSE,G174&lt;6,G174&gt;0,H174=0),"More entries to come",
IF(AND(E174,TRUE,G174=6,H174=0),"Valid Entries made below"
))))))))))</f>
        <v>Nothing Entered below Yet</v>
      </c>
      <c r="J174" s="3154">
        <f>COUNTIFS(E175:E180,TRUE,J175:J180,"Not Blank")</f>
        <v>0</v>
      </c>
      <c r="K174" s="3154">
        <f>COUNTIFS(E175:E180,FALSE,J175:J180,"Not Blank")</f>
        <v>0</v>
      </c>
      <c r="L174" s="3154" t="str">
        <f xml:space="preserve">
IF(J174&gt;6,"Too Many Entries - Check Red Lines",
IF(AND(E174=FALSE,J174=0,K174=0,E173=TRUE),"Nothing Required Below",
IF(J174&lt;F174,"Valid Entry required below - Check Amber Line/s",
IF(AND(E174=FALSE,J174=0,K174=0),"Nothing Entered below Yet",
IF(AND(J174=0,K174&gt;0),"**Non-Valid Entry/ies below - Check Yellow Line/s",
IF(AND(J174&gt;0,K174&gt;0),"**Valid and Non-Valid Entries made below - Check Yellow Line/s",
IF(AND(E174=FALSE,J174&lt;6),"Not all requirements addressed below - Check Pink Line/s",
IF(AND(E174=FALSE,J174&lt;6,J174&gt;0,K174=0),"More entries to come",
IF(AND(E174,TRUE,J174=6,K174=0),"Valid Entries made below"
)))))))))</f>
        <v>Nothing Entered below Yet</v>
      </c>
      <c r="M174" s="2176"/>
      <c r="N174" s="4415"/>
      <c r="O174" s="4698"/>
      <c r="P174" s="2664"/>
      <c r="Q174" s="4190" t="s">
        <v>565</v>
      </c>
      <c r="R174" s="138" t="b">
        <f>IF(AND(R175=TRUE,R176=TRUE,R177=TRUE,R178=TRUE,R180=TRUE,R179=TRUE),TRUE,FALSE)</f>
        <v>0</v>
      </c>
      <c r="S174" s="186"/>
      <c r="T174" s="186"/>
      <c r="U174" s="459"/>
      <c r="V174" s="4447"/>
      <c r="W174" s="4697"/>
      <c r="X174" s="2665"/>
      <c r="Y174" s="1753"/>
      <c r="Z174" s="2666"/>
    </row>
    <row r="175" spans="1:26" s="1414" customFormat="1" ht="43.5" x14ac:dyDescent="0.3">
      <c r="A175" s="1751" t="s">
        <v>47</v>
      </c>
      <c r="B175" s="1504"/>
      <c r="C175" s="3134" t="s">
        <v>48</v>
      </c>
      <c r="D175" s="1013" t="s">
        <v>3</v>
      </c>
      <c r="E175" s="67" t="b">
        <f t="shared" ref="E175:E180" si="16">IF(D175="Compliant",TRUE,FALSE)</f>
        <v>0</v>
      </c>
      <c r="F175" s="44"/>
      <c r="G175" s="44" t="str">
        <f t="shared" ref="G175:G180" si="17">IF(I175&lt;&gt;"", "Not Blank", "")</f>
        <v/>
      </c>
      <c r="H175" s="44"/>
      <c r="I175" s="42"/>
      <c r="J175" s="42" t="str">
        <f t="shared" ref="J175:J180" si="18">IF(L175&lt;&gt;"", "Not Blank", "")</f>
        <v/>
      </c>
      <c r="K175" s="42"/>
      <c r="L175" s="42"/>
      <c r="M175" s="144"/>
      <c r="N175" s="4415"/>
      <c r="O175" s="4627"/>
      <c r="P175" s="2636"/>
      <c r="Q175" s="1863" t="s">
        <v>3</v>
      </c>
      <c r="R175" s="716" t="b">
        <f t="shared" ref="R175:R180" si="19">IF(OR(Q175="Compliant",Q175="FE with work-a-round",Q175="Functionally Equivalent"),TRUE,FALSE)</f>
        <v>0</v>
      </c>
      <c r="S175" s="261"/>
      <c r="T175" s="261"/>
      <c r="U175" s="589"/>
      <c r="V175" s="4447"/>
      <c r="W175" s="4691"/>
      <c r="X175" s="1754"/>
      <c r="Y175" s="1754"/>
      <c r="Z175" s="2667"/>
    </row>
    <row r="176" spans="1:26" s="1414" customFormat="1" ht="29" x14ac:dyDescent="0.3">
      <c r="A176" s="1751" t="s">
        <v>46</v>
      </c>
      <c r="B176" s="1504"/>
      <c r="C176" s="454" t="s">
        <v>49</v>
      </c>
      <c r="D176" s="319" t="s">
        <v>3</v>
      </c>
      <c r="E176" s="67" t="b">
        <f t="shared" si="16"/>
        <v>0</v>
      </c>
      <c r="F176" s="399"/>
      <c r="G176" s="44" t="str">
        <f t="shared" si="17"/>
        <v/>
      </c>
      <c r="H176" s="44"/>
      <c r="I176" s="44"/>
      <c r="J176" s="44" t="str">
        <f t="shared" si="18"/>
        <v/>
      </c>
      <c r="K176" s="44"/>
      <c r="L176" s="44"/>
      <c r="M176" s="68"/>
      <c r="N176" s="4415"/>
      <c r="O176" s="4627"/>
      <c r="P176" s="589"/>
      <c r="Q176" s="1060"/>
      <c r="R176" s="716" t="b">
        <f t="shared" si="19"/>
        <v>0</v>
      </c>
      <c r="S176" s="261"/>
      <c r="T176" s="261"/>
      <c r="U176" s="589"/>
      <c r="V176" s="4447"/>
      <c r="W176" s="4691"/>
      <c r="X176" s="1754"/>
      <c r="Y176" s="1754"/>
      <c r="Z176" s="2667"/>
    </row>
    <row r="177" spans="1:26" s="1414" customFormat="1" ht="43.5" x14ac:dyDescent="0.3">
      <c r="A177" s="1751" t="s">
        <v>53</v>
      </c>
      <c r="B177" s="1504"/>
      <c r="C177" s="454" t="s">
        <v>50</v>
      </c>
      <c r="D177" s="319" t="s">
        <v>3</v>
      </c>
      <c r="E177" s="67" t="b">
        <f t="shared" si="16"/>
        <v>0</v>
      </c>
      <c r="F177" s="399"/>
      <c r="G177" s="44" t="str">
        <f t="shared" si="17"/>
        <v/>
      </c>
      <c r="H177" s="44"/>
      <c r="I177" s="44"/>
      <c r="J177" s="44" t="str">
        <f t="shared" si="18"/>
        <v/>
      </c>
      <c r="K177" s="44"/>
      <c r="L177" s="44"/>
      <c r="M177" s="68"/>
      <c r="N177" s="4415"/>
      <c r="O177" s="4627"/>
      <c r="P177" s="589"/>
      <c r="Q177" s="1060"/>
      <c r="R177" s="716" t="b">
        <f t="shared" si="19"/>
        <v>0</v>
      </c>
      <c r="S177" s="261"/>
      <c r="T177" s="261"/>
      <c r="U177" s="589"/>
      <c r="V177" s="4447"/>
      <c r="W177" s="4691"/>
      <c r="X177" s="1754"/>
      <c r="Y177" s="1754"/>
      <c r="Z177" s="2667"/>
    </row>
    <row r="178" spans="1:26" s="1414" customFormat="1" ht="72.5" x14ac:dyDescent="0.3">
      <c r="A178" s="1751" t="s">
        <v>54</v>
      </c>
      <c r="B178" s="1504"/>
      <c r="C178" s="454" t="s">
        <v>51</v>
      </c>
      <c r="D178" s="319" t="s">
        <v>3</v>
      </c>
      <c r="E178" s="67" t="b">
        <f t="shared" si="16"/>
        <v>0</v>
      </c>
      <c r="F178" s="399"/>
      <c r="G178" s="44" t="str">
        <f t="shared" si="17"/>
        <v/>
      </c>
      <c r="H178" s="44"/>
      <c r="I178" s="44"/>
      <c r="J178" s="44" t="str">
        <f t="shared" si="18"/>
        <v/>
      </c>
      <c r="K178" s="44"/>
      <c r="L178" s="44"/>
      <c r="M178" s="68"/>
      <c r="N178" s="4415" t="s">
        <v>3</v>
      </c>
      <c r="O178" s="4627"/>
      <c r="P178" s="589"/>
      <c r="Q178" s="1060"/>
      <c r="R178" s="716" t="b">
        <f t="shared" si="19"/>
        <v>0</v>
      </c>
      <c r="S178" s="261"/>
      <c r="T178" s="261"/>
      <c r="U178" s="589"/>
      <c r="V178" s="4447" t="s">
        <v>3</v>
      </c>
      <c r="W178" s="4691"/>
      <c r="X178" s="1754"/>
      <c r="Y178" s="1754"/>
      <c r="Z178" s="2667"/>
    </row>
    <row r="179" spans="1:26" s="1414" customFormat="1" ht="58" x14ac:dyDescent="0.3">
      <c r="A179" s="1751" t="s">
        <v>55</v>
      </c>
      <c r="B179" s="1504"/>
      <c r="C179" s="454" t="s">
        <v>52</v>
      </c>
      <c r="D179" s="319" t="s">
        <v>3</v>
      </c>
      <c r="E179" s="67" t="b">
        <f t="shared" si="16"/>
        <v>0</v>
      </c>
      <c r="F179" s="399"/>
      <c r="G179" s="44" t="str">
        <f t="shared" si="17"/>
        <v/>
      </c>
      <c r="H179" s="44"/>
      <c r="I179" s="44"/>
      <c r="J179" s="44" t="str">
        <f t="shared" si="18"/>
        <v/>
      </c>
      <c r="K179" s="44"/>
      <c r="L179" s="44"/>
      <c r="M179" s="68"/>
      <c r="N179" s="4415"/>
      <c r="O179" s="4627"/>
      <c r="P179" s="589"/>
      <c r="Q179" s="1060"/>
      <c r="R179" s="716" t="b">
        <f t="shared" si="19"/>
        <v>0</v>
      </c>
      <c r="S179" s="261"/>
      <c r="T179" s="261"/>
      <c r="U179" s="589"/>
      <c r="V179" s="4447"/>
      <c r="W179" s="4691"/>
      <c r="X179" s="1754"/>
      <c r="Y179" s="1754"/>
      <c r="Z179" s="2667"/>
    </row>
    <row r="180" spans="1:26" s="1414" customFormat="1" ht="131" thickBot="1" x14ac:dyDescent="0.35">
      <c r="A180" s="3076"/>
      <c r="B180" s="1505"/>
      <c r="C180" s="3135" t="s">
        <v>837</v>
      </c>
      <c r="D180" s="230" t="s">
        <v>3</v>
      </c>
      <c r="E180" s="161" t="b">
        <f t="shared" si="16"/>
        <v>0</v>
      </c>
      <c r="F180" s="124"/>
      <c r="G180" s="124" t="str">
        <f t="shared" si="17"/>
        <v/>
      </c>
      <c r="H180" s="124"/>
      <c r="I180" s="124"/>
      <c r="J180" s="124" t="str">
        <f t="shared" si="18"/>
        <v/>
      </c>
      <c r="K180" s="124"/>
      <c r="L180" s="124"/>
      <c r="M180" s="246"/>
      <c r="N180" s="4416"/>
      <c r="O180" s="4628"/>
      <c r="P180" s="1164"/>
      <c r="Q180" s="1017" t="s">
        <v>3</v>
      </c>
      <c r="R180" s="921" t="b">
        <f t="shared" si="19"/>
        <v>0</v>
      </c>
      <c r="S180" s="1555"/>
      <c r="T180" s="1555"/>
      <c r="U180" s="1164"/>
      <c r="V180" s="4448"/>
      <c r="W180" s="4692"/>
      <c r="X180" s="2668"/>
      <c r="Y180" s="2668"/>
      <c r="Z180" s="2669"/>
    </row>
    <row r="181" spans="1:26" s="3745" customFormat="1" ht="15.5" thickTop="1" thickBot="1" x14ac:dyDescent="0.35">
      <c r="A181" s="3741"/>
      <c r="B181" s="3742"/>
      <c r="C181" s="3743"/>
      <c r="D181" s="3634"/>
      <c r="E181" s="3634"/>
      <c r="F181" s="3634"/>
      <c r="G181" s="3634"/>
      <c r="H181" s="3634"/>
      <c r="I181" s="3744"/>
      <c r="L181" s="3702"/>
      <c r="N181" s="3746"/>
      <c r="O181" s="3747"/>
      <c r="P181" s="3748"/>
      <c r="Q181" s="3749"/>
      <c r="R181" s="3635"/>
      <c r="S181" s="3635"/>
      <c r="T181" s="3635"/>
      <c r="U181" s="3749"/>
      <c r="V181" s="3750"/>
      <c r="W181" s="3643"/>
      <c r="Y181" s="3751"/>
    </row>
    <row r="182" spans="1:26" s="1558" customFormat="1" ht="30" thickTop="1" thickBot="1" x14ac:dyDescent="0.35">
      <c r="A182" s="3077"/>
      <c r="B182" s="1907" t="s">
        <v>838</v>
      </c>
      <c r="C182" s="3099" t="s">
        <v>1729</v>
      </c>
      <c r="D182" s="1914" t="s">
        <v>565</v>
      </c>
      <c r="E182" s="659" t="b">
        <f>IF(AND(E183=TRUE,E189=TRUE),TRUE,FALSE)</f>
        <v>0</v>
      </c>
      <c r="F182" s="207">
        <f>SUM(F183,F189)</f>
        <v>0</v>
      </c>
      <c r="G182" s="207">
        <f>SUM(G183,G189)</f>
        <v>0</v>
      </c>
      <c r="H182" s="207">
        <f>SUM(H183,H189)</f>
        <v>0</v>
      </c>
      <c r="I182" s="3174" t="str">
        <f xml:space="preserve">
IF(F182&gt;20,"Too Many Entries - Check Red Lines",
IF(AND(E182=FALSE,G182=0,H182=0,E182=TRUE),"Nothing Required Below",
IF(G182&lt;F182,"Valid Entry required below - Check Amber Line/s",
IF(AND(E182=FALSE,G182=0,H182=0),"Nothing Entered below Yet",
IF(G182&lt;F182,"Valid Entry required below - Check Amber Line/s",
IF(AND(G182=0,H182&gt;0),"**Non-Valid Entry/ies below - Check Yellow Line/s",
IF(AND(G182&gt;0,H182&gt;0),"**Valid and Non-Valid Entries made below - Check Yellow Line/s",
IF(AND(E182=FALSE,F182&lt;20),"Not all requirements addressed below - Check Pink Line/s",
IF(AND(E182=FALSE,G182&lt;20,G182&gt;0,H182=0),"More entries to come",
IF(AND(E182,TRUE,G182=20,H182=0),"Valid Entries made below"
))))))))))</f>
        <v>Nothing Entered below Yet</v>
      </c>
      <c r="J182" s="3174">
        <f>SUM(J183,J189)</f>
        <v>0</v>
      </c>
      <c r="K182" s="3174">
        <f>SUM(K183,K189)</f>
        <v>0</v>
      </c>
      <c r="L182" s="3175" t="str">
        <f xml:space="preserve">
IF(J182&gt;20,"Too Many Entries - Check Red Lines",
IF(J182&lt;F182,"Valid Entry required below - Check Amber Line/s",
IF(AND(E182=FALSE,J182=0,K182=0),"Nothing Entered below Yet",
IF(AND(J182=0,K182&gt;0),"**Non-Valid Entry/ies below - Check Yellow Line/s",
IF(AND(J182&gt;0,K182&gt;0),"**Valid and Non-Valid Entries made below - Check Yellow Line/s",
IF(AND(E182=FALSE,J182&lt;20),"Not all requirements addressed below - Check Pink Line/s",
IF(AND(E182=FALSE,J182&lt;20,J182&gt;0,K182=0),"More entries to come",
IF(AND(E182,TRUE,J182=20,K182=0),"Valid Entries made below"
))))))))</f>
        <v>Nothing Entered below Yet</v>
      </c>
      <c r="M182" s="1782"/>
      <c r="N182" s="4414" t="s">
        <v>3</v>
      </c>
      <c r="O182" s="4699" t="b">
        <f>IF(OR(N182="Compliant",N182="FE with work-a-round",N182="Functionally Equivalent"),TRUE,FALSE)</f>
        <v>0</v>
      </c>
      <c r="P182" s="2144"/>
      <c r="Q182" s="4183" t="s">
        <v>565</v>
      </c>
      <c r="R182" s="138" t="b">
        <f>IF(AND(R183=TRUE,R189=TRUE),TRUE,FALSE)</f>
        <v>0</v>
      </c>
      <c r="S182" s="186"/>
      <c r="T182" s="186"/>
      <c r="U182" s="459"/>
      <c r="V182" s="4446" t="s">
        <v>3</v>
      </c>
      <c r="W182" s="4690" t="b">
        <f>IF(OR(V182="Compliant",V182="FE with work-a-round",V182="Functionally Equivalent",V182="Not Required/Applicable"),TRUE,FALSE)</f>
        <v>0</v>
      </c>
      <c r="X182" s="1774"/>
      <c r="Y182" s="1750"/>
      <c r="Z182" s="1772"/>
    </row>
    <row r="183" spans="1:26" s="1558" customFormat="1" ht="116.5" thickTop="1" x14ac:dyDescent="0.3">
      <c r="A183" s="1751" t="s">
        <v>56</v>
      </c>
      <c r="B183" s="3150" t="s">
        <v>461</v>
      </c>
      <c r="C183" s="3173" t="s">
        <v>313</v>
      </c>
      <c r="D183" s="3176" t="s">
        <v>565</v>
      </c>
      <c r="E183" s="934" t="b">
        <f>IF(AND(E184=TRUE,E185=TRUE,E186=TRUE,E187=TRUE,E188=TRUE),TRUE,FALSE)</f>
        <v>0</v>
      </c>
      <c r="F183" s="197">
        <f>COUNTIF(E184:E189,TRUE)</f>
        <v>0</v>
      </c>
      <c r="G183" s="197">
        <f>COUNTIFS(E184:E189,TRUE,G184:G189,"Not Blank")</f>
        <v>0</v>
      </c>
      <c r="H183" s="197">
        <f>COUNTIFS(E184:E189,FALSE,G184:G189,"Not Blank")</f>
        <v>0</v>
      </c>
      <c r="I183" s="3152" t="str">
        <f xml:space="preserve">
IF(F183&gt;6,"Too Many Entries - Check Red Lines",
IF(AND(E183=FALSE,G183=0,H183=0,E183=TRUE),"Nothing Required Below",
IF(G183&lt;F183,"Valid Entry required below - Check Amber Line/s",
IF(AND(E183=FALSE,G183=0,H183=0),"Nothing Entered below Yet",
IF(G183&lt;F183,"Valid Entry required below - Check Amber Line/s",
IF(AND(G183=0,H183&gt;0),"**Non-Valid Entry/ies below - Check Yellow Line/s",
IF(AND(G183&gt;0,H183&gt;0),"**Valid and Non-Valid Entries made below - Check Yellow Line/s",
IF(AND(E183=FALSE,F183&lt;6),"Not all requirements addressed below - Check Pink Line/s",
IF(AND(E183=FALSE,G183&lt;6,G183&gt;0,H183=0),"More entries to come",
IF(AND(E183,TRUE,G183=6,H183=0),"Valid Entries made below"
))))))))))</f>
        <v>Nothing Entered below Yet</v>
      </c>
      <c r="J183" s="3152">
        <f>COUNTIFS(E184:E189,TRUE,J184:J189,"Not Blank")</f>
        <v>0</v>
      </c>
      <c r="K183" s="3152">
        <f>COUNTIFS(E184:E189,FALSE,J184:J189,"Not Blank")</f>
        <v>0</v>
      </c>
      <c r="L183" s="3152" t="str">
        <f xml:space="preserve">
IF(J183&gt;6,"Too Many Entries - Check Red Lines",
IF(J183&lt;F183,"Valid Entry required below - Check Amber Line/s",
IF(AND(E183=FALSE,J183=0,K183=0),"Nothing Entered below Yet",
IF(AND(J183=0,K183&gt;0),"**Non-Valid Entry/ies below - Check Yellow Line/s",
IF(AND(J183&gt;0,K183&gt;0),"**Valid and Non-Valid Entries made below - Check Yellow Line/s",
IF(AND(E183=FALSE,J183&lt;6),"Not all requirements addressed below - Check Pink Line/s",
IF(AND(E183=FALSE,J183&lt;6,J183&gt;0,K183=0),"More entries to come",
IF(AND(E183,TRUE,J183=6,K183=0),"Valid Entries made below"
))))))))</f>
        <v>Nothing Entered below Yet</v>
      </c>
      <c r="M183" s="2670"/>
      <c r="N183" s="4415"/>
      <c r="O183" s="4627"/>
      <c r="P183" s="2472"/>
      <c r="Q183" s="4190" t="s">
        <v>565</v>
      </c>
      <c r="R183" s="67" t="b">
        <f>IF(AND(R184=TRUE,R185=TRUE,R186=TRUE,R187=TRUE,R188=TRUE),TRUE,FALSE)</f>
        <v>0</v>
      </c>
      <c r="S183" s="261"/>
      <c r="T183" s="261"/>
      <c r="U183" s="589"/>
      <c r="V183" s="4447"/>
      <c r="W183" s="4691"/>
      <c r="X183" s="1748"/>
      <c r="Y183" s="1748"/>
      <c r="Z183" s="1775"/>
    </row>
    <row r="184" spans="1:26" s="1558" customFormat="1" ht="101.5" x14ac:dyDescent="0.3">
      <c r="A184" s="1751" t="s">
        <v>57</v>
      </c>
      <c r="B184" s="1504"/>
      <c r="C184" s="3134" t="s">
        <v>58</v>
      </c>
      <c r="D184" s="1013" t="s">
        <v>3</v>
      </c>
      <c r="E184" s="67" t="b">
        <f>IF(D184="Compliant",TRUE,FALSE)</f>
        <v>0</v>
      </c>
      <c r="F184" s="44"/>
      <c r="G184" s="44" t="str">
        <f>IF(I184&lt;&gt;"", "Not Blank", "")</f>
        <v/>
      </c>
      <c r="H184" s="44"/>
      <c r="I184" s="42"/>
      <c r="J184" s="42" t="str">
        <f t="shared" ref="J184:J195" si="20">IF(L184&lt;&gt;"", "Not Blank", "")</f>
        <v/>
      </c>
      <c r="K184" s="42"/>
      <c r="L184" s="42"/>
      <c r="M184" s="144"/>
      <c r="N184" s="4415"/>
      <c r="O184" s="4627"/>
      <c r="P184" s="2636"/>
      <c r="Q184" s="1863" t="s">
        <v>3</v>
      </c>
      <c r="R184" s="716" t="b">
        <f>IF(OR(Q184="Compliant",Q184="FE with work-a-round",Q184="Functionally Equivalent"),TRUE,FALSE)</f>
        <v>0</v>
      </c>
      <c r="S184" s="261"/>
      <c r="T184" s="261"/>
      <c r="U184" s="589"/>
      <c r="V184" s="4447"/>
      <c r="W184" s="4691"/>
      <c r="X184" s="1748"/>
      <c r="Y184" s="1748"/>
      <c r="Z184" s="1775"/>
    </row>
    <row r="185" spans="1:26" s="1558" customFormat="1" ht="116" x14ac:dyDescent="0.3">
      <c r="A185" s="1751" t="s">
        <v>59</v>
      </c>
      <c r="B185" s="1504"/>
      <c r="C185" s="454" t="s">
        <v>90</v>
      </c>
      <c r="D185" s="319" t="s">
        <v>3</v>
      </c>
      <c r="E185" s="67" t="b">
        <f>IF(D185="Compliant",TRUE,FALSE)</f>
        <v>0</v>
      </c>
      <c r="F185" s="44"/>
      <c r="G185" s="44" t="str">
        <f>IF(I185&lt;&gt;"", "Not Blank", "")</f>
        <v/>
      </c>
      <c r="H185" s="44"/>
      <c r="I185" s="44"/>
      <c r="J185" s="44" t="str">
        <f t="shared" si="20"/>
        <v/>
      </c>
      <c r="K185" s="44"/>
      <c r="L185" s="44"/>
      <c r="M185" s="68"/>
      <c r="N185" s="4415"/>
      <c r="O185" s="4627"/>
      <c r="P185" s="589"/>
      <c r="Q185" s="1060"/>
      <c r="R185" s="716" t="b">
        <f>IF(OR(Q185="Compliant",Q185="FE with work-a-round",Q185="Functionally Equivalent"),TRUE,FALSE)</f>
        <v>0</v>
      </c>
      <c r="S185" s="261"/>
      <c r="T185" s="261"/>
      <c r="U185" s="589"/>
      <c r="V185" s="4447"/>
      <c r="W185" s="4691"/>
      <c r="X185" s="1748"/>
      <c r="Y185" s="1748"/>
      <c r="Z185" s="1775"/>
    </row>
    <row r="186" spans="1:26" s="1558" customFormat="1" ht="29" x14ac:dyDescent="0.3">
      <c r="A186" s="1751" t="s">
        <v>60</v>
      </c>
      <c r="B186" s="1504"/>
      <c r="C186" s="454" t="s">
        <v>61</v>
      </c>
      <c r="D186" s="319" t="s">
        <v>3</v>
      </c>
      <c r="E186" s="67" t="b">
        <f>IF(D186="Compliant",TRUE,FALSE)</f>
        <v>0</v>
      </c>
      <c r="F186" s="44"/>
      <c r="G186" s="44" t="str">
        <f>IF(I186&lt;&gt;"", "Not Blank", "")</f>
        <v/>
      </c>
      <c r="H186" s="44"/>
      <c r="I186" s="44"/>
      <c r="J186" s="44" t="str">
        <f t="shared" si="20"/>
        <v/>
      </c>
      <c r="K186" s="44"/>
      <c r="L186" s="44"/>
      <c r="M186" s="68"/>
      <c r="N186" s="4415"/>
      <c r="O186" s="4627"/>
      <c r="P186" s="589"/>
      <c r="Q186" s="1060"/>
      <c r="R186" s="716" t="b">
        <f>IF(OR(Q186="Compliant",Q186="FE with work-a-round",Q186="Functionally Equivalent"),TRUE,FALSE)</f>
        <v>0</v>
      </c>
      <c r="S186" s="261"/>
      <c r="T186" s="261"/>
      <c r="U186" s="589"/>
      <c r="V186" s="4447"/>
      <c r="W186" s="4691"/>
      <c r="X186" s="1748"/>
      <c r="Y186" s="1748"/>
      <c r="Z186" s="1775"/>
    </row>
    <row r="187" spans="1:26" s="1558" customFormat="1" ht="43.5" x14ac:dyDescent="0.3">
      <c r="A187" s="1751" t="s">
        <v>62</v>
      </c>
      <c r="B187" s="1504"/>
      <c r="C187" s="454" t="s">
        <v>63</v>
      </c>
      <c r="D187" s="319" t="s">
        <v>3</v>
      </c>
      <c r="E187" s="67" t="b">
        <f>IF(D187="Compliant",TRUE,FALSE)</f>
        <v>0</v>
      </c>
      <c r="F187" s="399"/>
      <c r="G187" s="44" t="str">
        <f>IF(I187&lt;&gt;"", "Not Blank", "")</f>
        <v/>
      </c>
      <c r="H187" s="44"/>
      <c r="I187" s="44"/>
      <c r="J187" s="44" t="str">
        <f t="shared" si="20"/>
        <v/>
      </c>
      <c r="K187" s="44"/>
      <c r="L187" s="44"/>
      <c r="M187" s="68"/>
      <c r="N187" s="4415" t="s">
        <v>3</v>
      </c>
      <c r="O187" s="4627"/>
      <c r="P187" s="589"/>
      <c r="Q187" s="1060"/>
      <c r="R187" s="716" t="b">
        <f>IF(OR(Q187="Compliant",Q187="FE with work-a-round",Q187="Functionally Equivalent"),TRUE,FALSE)</f>
        <v>0</v>
      </c>
      <c r="S187" s="261"/>
      <c r="T187" s="261"/>
      <c r="U187" s="589"/>
      <c r="V187" s="4447" t="s">
        <v>3</v>
      </c>
      <c r="W187" s="4691"/>
      <c r="X187" s="1748"/>
      <c r="Y187" s="1748"/>
      <c r="Z187" s="1775"/>
    </row>
    <row r="188" spans="1:26" s="1558" customFormat="1" ht="29.5" thickBot="1" x14ac:dyDescent="0.35">
      <c r="A188" s="1751" t="s">
        <v>64</v>
      </c>
      <c r="B188" s="1505"/>
      <c r="C188" s="3135" t="s">
        <v>65</v>
      </c>
      <c r="D188" s="230" t="s">
        <v>3</v>
      </c>
      <c r="E188" s="161" t="b">
        <f>IF(D188="Compliant",TRUE,FALSE)</f>
        <v>0</v>
      </c>
      <c r="F188" s="1765"/>
      <c r="G188" s="124" t="str">
        <f>IF(I188&lt;&gt;"", "Not Blank", "")</f>
        <v/>
      </c>
      <c r="H188" s="124"/>
      <c r="I188" s="124"/>
      <c r="J188" s="124" t="str">
        <f t="shared" si="20"/>
        <v/>
      </c>
      <c r="K188" s="124"/>
      <c r="L188" s="124"/>
      <c r="M188" s="246"/>
      <c r="N188" s="4416"/>
      <c r="O188" s="4628"/>
      <c r="P188" s="1164"/>
      <c r="Q188" s="1017"/>
      <c r="R188" s="921" t="b">
        <f>IF(OR(Q188="Compliant",Q188="FE with work-a-round",Q188="Functionally Equivalent"),TRUE,FALSE)</f>
        <v>0</v>
      </c>
      <c r="S188" s="1555"/>
      <c r="T188" s="1555"/>
      <c r="U188" s="1164"/>
      <c r="V188" s="4448"/>
      <c r="W188" s="4692"/>
      <c r="X188" s="1764"/>
      <c r="Y188" s="1764"/>
      <c r="Z188" s="1780"/>
    </row>
    <row r="189" spans="1:26" s="1558" customFormat="1" ht="29.5" thickTop="1" x14ac:dyDescent="0.3">
      <c r="A189" s="1751" t="s">
        <v>66</v>
      </c>
      <c r="B189" s="1907" t="s">
        <v>1728</v>
      </c>
      <c r="C189" s="1004" t="s">
        <v>67</v>
      </c>
      <c r="D189" s="1915" t="s">
        <v>565</v>
      </c>
      <c r="E189" s="933" t="b">
        <f>IF(AND(E190=TRUE,E191=TRUE,E192=TRUE,E193=TRUE,E194=TRUE,E195=TRUE,E196=TRUE,E197=TRUE,E198=TRUE,E199=TRUE,E200=TRUE,E201=TRUE,E202=TRUE,E203=TRUE),TRUE,FALSE)</f>
        <v>0</v>
      </c>
      <c r="F189" s="207">
        <f>COUNTIF(E190:E203,TRUE)</f>
        <v>0</v>
      </c>
      <c r="G189" s="207">
        <f>COUNTIFS(E190:E203,TRUE,G190:G203,"Not Blank")</f>
        <v>0</v>
      </c>
      <c r="H189" s="207">
        <f>COUNTIFS(E190:E203,FALSE,G190:G203,"Not Blank")</f>
        <v>0</v>
      </c>
      <c r="I189" s="3154" t="str">
        <f xml:space="preserve">
IF(F189&gt;14,"Too Many Entries - Check Red Lines",
IF(G189&lt;F189,"Valid Entry required below - Check Amber Line/s",
IF(AND(E189=FALSE,G189=0,H189=0),"Nothing Entered below Yet",
IF(G189&lt;F189,"Valid Entry required below - Check Amber Line/s",
IF(AND(G189=0,H189&gt;0),"**Non-Valid Entry/ies below - Check Yellow Line/s",
IF(AND(G189&gt;0,H189&gt;0),"**Valid and Non-Valid Entries made below - Check Yellow Line/s",
IF(AND(E189=FALSE,F189&lt;14),"Not all requirements addressed below - Check Pink Line/s",
IF(AND(E189=FALSE,G189&lt;14,G189&gt;0,H189=0),"More entries to come",
IF(AND(E189,TRUE,G189=14,H189=0),"Valid Entries made below"
)))))))))</f>
        <v>Nothing Entered below Yet</v>
      </c>
      <c r="J189" s="3177">
        <f>COUNTIFS(E190:E203,TRUE,J190:J203,"Not Blank")</f>
        <v>0</v>
      </c>
      <c r="K189" s="3177">
        <f>COUNTIFS(E190:E203,FALSE,J190:J203,"Not Blank")</f>
        <v>0</v>
      </c>
      <c r="L189" s="3159" t="str">
        <f xml:space="preserve">
IF(J189&gt;14,"Too Many Entries - Check Red Lines",
IF(J189&lt;F189,"Valid Entry required below - Check Amber Line/s",
IF(AND(E189=FALSE,J189=0,K189=0),"Nothing Entered below Yet",
IF(AND(J189=0,K189&gt;0),"**Non-Valid Entry/ies below - Check Yellow Line/s",
IF(AND(J189&gt;0,K189&gt;0),"**Valid and Non-Valid Entries made below - Check Yellow Line/s",
IF(AND(E189=FALSE,J189&lt;14),"Not all requirements addressed below - Check Pink Line/s",
IF(AND(E189=FALSE,J189&lt;14,J189&gt;0,K189=0),"More entries to come",
IF(AND(E189,TRUE,J189=14,K189=0),"Valid Entries made below"
))))))))</f>
        <v>Nothing Entered below Yet</v>
      </c>
      <c r="M189" s="807"/>
      <c r="N189" s="4414" t="s">
        <v>3</v>
      </c>
      <c r="O189" s="4440" t="b">
        <f>IF(OR(N189="Compliant",N189="FE with work-a-round",N189="Functionally Equivalent"),TRUE,FALSE)</f>
        <v>0</v>
      </c>
      <c r="P189" s="2472"/>
      <c r="Q189" s="4188" t="s">
        <v>565</v>
      </c>
      <c r="R189" s="119" t="b">
        <f>IF(AND(R190=TRUE,R191=TRUE,R192=TRUE,R193=TRUE,R194=TRUE,R195=TRUE,R196=TRUE,R197=TRUE,R198=TRUE,R199=TRUE,R200=TRUE,R201=TRUE,R202=TRUE,R203=TRUE),TRUE,FALSE)</f>
        <v>0</v>
      </c>
      <c r="S189" s="186"/>
      <c r="T189" s="186"/>
      <c r="U189" s="306"/>
      <c r="V189" s="4446" t="s">
        <v>3</v>
      </c>
      <c r="W189" s="4693" t="b">
        <f>IF(OR(V189="Compliant",V189="FE with work-a-round",V189="Functionally Equivalent",V189="Not Required/Applicable"),TRUE,FALSE)</f>
        <v>0</v>
      </c>
      <c r="X189" s="1750"/>
      <c r="Y189" s="1750"/>
      <c r="Z189" s="1772"/>
    </row>
    <row r="190" spans="1:26" s="1558" customFormat="1" ht="29" x14ac:dyDescent="0.3">
      <c r="A190" s="1751" t="s">
        <v>68</v>
      </c>
      <c r="B190" s="1504"/>
      <c r="C190" s="3138" t="s">
        <v>833</v>
      </c>
      <c r="D190" s="2168" t="s">
        <v>3</v>
      </c>
      <c r="E190" s="121" t="b">
        <f t="shared" ref="E190:E203" si="21">IF(D190="Compliant",TRUE,FALSE)</f>
        <v>0</v>
      </c>
      <c r="F190" s="44"/>
      <c r="G190" s="44" t="str">
        <f t="shared" ref="G190:G203" si="22">IF(I190&lt;&gt;"", "Not Blank", "")</f>
        <v/>
      </c>
      <c r="H190" s="44"/>
      <c r="I190" s="42"/>
      <c r="J190" s="44" t="str">
        <f t="shared" si="20"/>
        <v/>
      </c>
      <c r="K190" s="44"/>
      <c r="L190" s="2164"/>
      <c r="M190" s="2177"/>
      <c r="N190" s="4415"/>
      <c r="O190" s="4441"/>
      <c r="P190" s="1081"/>
      <c r="Q190" s="2214" t="s">
        <v>3</v>
      </c>
      <c r="R190" s="574" t="b">
        <f t="shared" ref="R190:R203" si="23">IF(OR(Q190="Compliant",Q190="FE with work-a-round",Q190="Functionally Equivalent"),TRUE,FALSE)</f>
        <v>0</v>
      </c>
      <c r="S190" s="261"/>
      <c r="T190" s="261"/>
      <c r="U190" s="575"/>
      <c r="V190" s="4447"/>
      <c r="W190" s="4694"/>
      <c r="X190" s="1748"/>
      <c r="Y190" s="1748"/>
      <c r="Z190" s="1775"/>
    </row>
    <row r="191" spans="1:26" s="1558" customFormat="1" ht="29" x14ac:dyDescent="0.3">
      <c r="A191" s="1751" t="s">
        <v>69</v>
      </c>
      <c r="B191" s="1504"/>
      <c r="C191" s="200" t="s">
        <v>835</v>
      </c>
      <c r="D191" s="319" t="s">
        <v>3</v>
      </c>
      <c r="E191" s="121" t="b">
        <f t="shared" si="21"/>
        <v>0</v>
      </c>
      <c r="F191" s="44"/>
      <c r="G191" s="44" t="str">
        <f t="shared" si="22"/>
        <v/>
      </c>
      <c r="H191" s="44"/>
      <c r="I191" s="44"/>
      <c r="J191" s="44" t="str">
        <f t="shared" si="20"/>
        <v/>
      </c>
      <c r="K191" s="44"/>
      <c r="L191" s="44"/>
      <c r="M191" s="122"/>
      <c r="N191" s="4415"/>
      <c r="O191" s="4441"/>
      <c r="P191" s="575"/>
      <c r="Q191" s="1060"/>
      <c r="R191" s="574" t="b">
        <f t="shared" si="23"/>
        <v>0</v>
      </c>
      <c r="S191" s="261"/>
      <c r="T191" s="261"/>
      <c r="U191" s="575"/>
      <c r="V191" s="4447"/>
      <c r="W191" s="4694"/>
      <c r="X191" s="1748"/>
      <c r="Y191" s="1748"/>
      <c r="Z191" s="1775"/>
    </row>
    <row r="192" spans="1:26" s="1558" customFormat="1" ht="29" x14ac:dyDescent="0.3">
      <c r="A192" s="1751" t="s">
        <v>70</v>
      </c>
      <c r="B192" s="1504"/>
      <c r="C192" s="200" t="s">
        <v>831</v>
      </c>
      <c r="D192" s="319" t="s">
        <v>3</v>
      </c>
      <c r="E192" s="121" t="b">
        <f t="shared" si="21"/>
        <v>0</v>
      </c>
      <c r="F192" s="44"/>
      <c r="G192" s="44" t="str">
        <f t="shared" si="22"/>
        <v/>
      </c>
      <c r="H192" s="44"/>
      <c r="I192" s="44"/>
      <c r="J192" s="44" t="str">
        <f t="shared" si="20"/>
        <v/>
      </c>
      <c r="K192" s="44"/>
      <c r="L192" s="44"/>
      <c r="M192" s="122"/>
      <c r="N192" s="4415"/>
      <c r="O192" s="4441"/>
      <c r="P192" s="575"/>
      <c r="Q192" s="1060"/>
      <c r="R192" s="574" t="b">
        <f t="shared" si="23"/>
        <v>0</v>
      </c>
      <c r="S192" s="261"/>
      <c r="T192" s="261"/>
      <c r="U192" s="575"/>
      <c r="V192" s="4447"/>
      <c r="W192" s="4694"/>
      <c r="X192" s="1748"/>
      <c r="Y192" s="1748"/>
      <c r="Z192" s="1775"/>
    </row>
    <row r="193" spans="1:26" s="1558" customFormat="1" ht="29" x14ac:dyDescent="0.3">
      <c r="A193" s="1751" t="s">
        <v>71</v>
      </c>
      <c r="B193" s="1504"/>
      <c r="C193" s="200" t="s">
        <v>834</v>
      </c>
      <c r="D193" s="319" t="s">
        <v>3</v>
      </c>
      <c r="E193" s="121" t="b">
        <f t="shared" si="21"/>
        <v>0</v>
      </c>
      <c r="F193" s="44"/>
      <c r="G193" s="44" t="str">
        <f t="shared" si="22"/>
        <v/>
      </c>
      <c r="H193" s="44"/>
      <c r="I193" s="44"/>
      <c r="J193" s="44" t="str">
        <f t="shared" si="20"/>
        <v/>
      </c>
      <c r="K193" s="44"/>
      <c r="L193" s="44"/>
      <c r="M193" s="122"/>
      <c r="N193" s="4415"/>
      <c r="O193" s="4441"/>
      <c r="P193" s="575"/>
      <c r="Q193" s="1060"/>
      <c r="R193" s="574" t="b">
        <f t="shared" si="23"/>
        <v>0</v>
      </c>
      <c r="S193" s="261"/>
      <c r="T193" s="261"/>
      <c r="U193" s="575"/>
      <c r="V193" s="4447"/>
      <c r="W193" s="4694"/>
      <c r="X193" s="1748"/>
      <c r="Y193" s="1748"/>
      <c r="Z193" s="1775"/>
    </row>
    <row r="194" spans="1:26" s="1414" customFormat="1" ht="29" x14ac:dyDescent="0.3">
      <c r="A194" s="1751" t="s">
        <v>72</v>
      </c>
      <c r="B194" s="1504"/>
      <c r="C194" s="200" t="s">
        <v>832</v>
      </c>
      <c r="D194" s="319" t="s">
        <v>3</v>
      </c>
      <c r="E194" s="121" t="b">
        <f t="shared" si="21"/>
        <v>0</v>
      </c>
      <c r="F194" s="44"/>
      <c r="G194" s="44" t="str">
        <f t="shared" si="22"/>
        <v/>
      </c>
      <c r="H194" s="44"/>
      <c r="I194" s="44"/>
      <c r="J194" s="44" t="str">
        <f t="shared" si="20"/>
        <v/>
      </c>
      <c r="K194" s="44"/>
      <c r="L194" s="44"/>
      <c r="M194" s="122"/>
      <c r="N194" s="4415" t="s">
        <v>3</v>
      </c>
      <c r="O194" s="4441"/>
      <c r="P194" s="575"/>
      <c r="Q194" s="1060"/>
      <c r="R194" s="574" t="b">
        <f t="shared" si="23"/>
        <v>0</v>
      </c>
      <c r="S194" s="261"/>
      <c r="T194" s="261"/>
      <c r="U194" s="575"/>
      <c r="V194" s="4447" t="s">
        <v>3</v>
      </c>
      <c r="W194" s="4694"/>
      <c r="X194" s="1754"/>
      <c r="Y194" s="1754"/>
      <c r="Z194" s="2667"/>
    </row>
    <row r="195" spans="1:26" s="1414" customFormat="1" ht="29" x14ac:dyDescent="0.3">
      <c r="A195" s="1751" t="s">
        <v>73</v>
      </c>
      <c r="B195" s="1504"/>
      <c r="C195" s="200" t="s">
        <v>74</v>
      </c>
      <c r="D195" s="319" t="s">
        <v>3</v>
      </c>
      <c r="E195" s="121" t="b">
        <f t="shared" si="21"/>
        <v>0</v>
      </c>
      <c r="F195" s="44"/>
      <c r="G195" s="44" t="str">
        <f t="shared" si="22"/>
        <v/>
      </c>
      <c r="H195" s="44"/>
      <c r="I195" s="44"/>
      <c r="J195" s="44" t="str">
        <f t="shared" si="20"/>
        <v/>
      </c>
      <c r="K195" s="44"/>
      <c r="L195" s="44"/>
      <c r="M195" s="122"/>
      <c r="N195" s="4415"/>
      <c r="O195" s="4441"/>
      <c r="P195" s="575"/>
      <c r="Q195" s="1060" t="s">
        <v>3</v>
      </c>
      <c r="R195" s="574" t="b">
        <f t="shared" si="23"/>
        <v>0</v>
      </c>
      <c r="S195" s="261"/>
      <c r="T195" s="261"/>
      <c r="U195" s="575"/>
      <c r="V195" s="4447"/>
      <c r="W195" s="4694"/>
      <c r="X195" s="1754"/>
      <c r="Y195" s="1754"/>
      <c r="Z195" s="2667"/>
    </row>
    <row r="196" spans="1:26" s="1414" customFormat="1" ht="43.5" x14ac:dyDescent="0.3">
      <c r="A196" s="1751" t="s">
        <v>75</v>
      </c>
      <c r="B196" s="1504"/>
      <c r="C196" s="200" t="s">
        <v>76</v>
      </c>
      <c r="D196" s="319" t="s">
        <v>3</v>
      </c>
      <c r="E196" s="121" t="b">
        <f t="shared" si="21"/>
        <v>0</v>
      </c>
      <c r="F196" s="399"/>
      <c r="G196" s="44" t="str">
        <f t="shared" si="22"/>
        <v/>
      </c>
      <c r="H196" s="44"/>
      <c r="I196" s="44"/>
      <c r="J196" s="44" t="str">
        <f>IF(L1343&lt;&gt;"", "Not Blank", "")</f>
        <v/>
      </c>
      <c r="K196" s="44"/>
      <c r="L196" s="44"/>
      <c r="M196" s="122"/>
      <c r="N196" s="4415"/>
      <c r="O196" s="4441"/>
      <c r="P196" s="575"/>
      <c r="Q196" s="1060"/>
      <c r="R196" s="574" t="b">
        <f t="shared" si="23"/>
        <v>0</v>
      </c>
      <c r="S196" s="261"/>
      <c r="T196" s="261"/>
      <c r="U196" s="575"/>
      <c r="V196" s="4447"/>
      <c r="W196" s="4694"/>
      <c r="X196" s="1754"/>
      <c r="Y196" s="1754"/>
      <c r="Z196" s="2667"/>
    </row>
    <row r="197" spans="1:26" s="1414" customFormat="1" ht="203" x14ac:dyDescent="0.3">
      <c r="A197" s="1751" t="s">
        <v>77</v>
      </c>
      <c r="B197" s="1504"/>
      <c r="C197" s="200" t="s">
        <v>78</v>
      </c>
      <c r="D197" s="319" t="s">
        <v>3</v>
      </c>
      <c r="E197" s="121" t="b">
        <f t="shared" si="21"/>
        <v>0</v>
      </c>
      <c r="F197" s="399"/>
      <c r="G197" s="44" t="str">
        <f t="shared" si="22"/>
        <v/>
      </c>
      <c r="H197" s="44"/>
      <c r="I197" s="44"/>
      <c r="J197" s="44" t="str">
        <f t="shared" ref="J197:J203" si="24">IF(L197&lt;&gt;"", "Not Blank", "")</f>
        <v/>
      </c>
      <c r="K197" s="44"/>
      <c r="L197" s="44"/>
      <c r="M197" s="122"/>
      <c r="N197" s="4415"/>
      <c r="O197" s="4441"/>
      <c r="P197" s="575"/>
      <c r="Q197" s="1060"/>
      <c r="R197" s="574" t="b">
        <f t="shared" si="23"/>
        <v>0</v>
      </c>
      <c r="S197" s="261"/>
      <c r="T197" s="261"/>
      <c r="U197" s="575"/>
      <c r="V197" s="4447"/>
      <c r="W197" s="4694"/>
      <c r="X197" s="1754"/>
      <c r="Y197" s="1754"/>
      <c r="Z197" s="2667"/>
    </row>
    <row r="198" spans="1:26" s="1414" customFormat="1" ht="72.5" x14ac:dyDescent="0.3">
      <c r="A198" s="1751" t="s">
        <v>79</v>
      </c>
      <c r="B198" s="1504"/>
      <c r="C198" s="200" t="s">
        <v>80</v>
      </c>
      <c r="D198" s="319" t="s">
        <v>3</v>
      </c>
      <c r="E198" s="121" t="b">
        <f t="shared" si="21"/>
        <v>0</v>
      </c>
      <c r="F198" s="44"/>
      <c r="G198" s="44" t="str">
        <f t="shared" si="22"/>
        <v/>
      </c>
      <c r="H198" s="44"/>
      <c r="I198" s="44"/>
      <c r="J198" s="44" t="str">
        <f t="shared" si="24"/>
        <v/>
      </c>
      <c r="K198" s="44"/>
      <c r="L198" s="44"/>
      <c r="M198" s="2667"/>
      <c r="N198" s="4415"/>
      <c r="O198" s="4441"/>
      <c r="P198" s="575"/>
      <c r="Q198" s="1060"/>
      <c r="R198" s="574" t="b">
        <f t="shared" si="23"/>
        <v>0</v>
      </c>
      <c r="S198" s="261"/>
      <c r="T198" s="261"/>
      <c r="U198" s="575"/>
      <c r="V198" s="4447"/>
      <c r="W198" s="4694"/>
      <c r="X198" s="1754"/>
      <c r="Y198" s="1754"/>
      <c r="Z198" s="2667"/>
    </row>
    <row r="199" spans="1:26" s="1414" customFormat="1" ht="72.5" x14ac:dyDescent="0.3">
      <c r="A199" s="1751" t="s">
        <v>82</v>
      </c>
      <c r="B199" s="1504"/>
      <c r="C199" s="200" t="s">
        <v>81</v>
      </c>
      <c r="D199" s="319" t="s">
        <v>3</v>
      </c>
      <c r="E199" s="121" t="b">
        <f t="shared" si="21"/>
        <v>0</v>
      </c>
      <c r="F199" s="399"/>
      <c r="G199" s="44" t="str">
        <f t="shared" si="22"/>
        <v/>
      </c>
      <c r="H199" s="44"/>
      <c r="I199" s="44"/>
      <c r="J199" s="44" t="str">
        <f t="shared" si="24"/>
        <v/>
      </c>
      <c r="K199" s="44"/>
      <c r="L199" s="44"/>
      <c r="M199" s="122"/>
      <c r="N199" s="4415" t="s">
        <v>3</v>
      </c>
      <c r="O199" s="4441"/>
      <c r="P199" s="575"/>
      <c r="Q199" s="1060"/>
      <c r="R199" s="574" t="b">
        <f t="shared" si="23"/>
        <v>0</v>
      </c>
      <c r="S199" s="261"/>
      <c r="T199" s="261"/>
      <c r="U199" s="575"/>
      <c r="V199" s="4447" t="s">
        <v>3</v>
      </c>
      <c r="W199" s="4694"/>
      <c r="X199" s="1754"/>
      <c r="Y199" s="1754"/>
      <c r="Z199" s="2667"/>
    </row>
    <row r="200" spans="1:26" s="1414" customFormat="1" ht="101.5" x14ac:dyDescent="0.3">
      <c r="A200" s="1751" t="s">
        <v>83</v>
      </c>
      <c r="B200" s="1504"/>
      <c r="C200" s="200" t="s">
        <v>84</v>
      </c>
      <c r="D200" s="319" t="s">
        <v>3</v>
      </c>
      <c r="E200" s="121" t="b">
        <f t="shared" si="21"/>
        <v>0</v>
      </c>
      <c r="F200" s="399"/>
      <c r="G200" s="44" t="str">
        <f t="shared" si="22"/>
        <v/>
      </c>
      <c r="H200" s="44"/>
      <c r="I200" s="44"/>
      <c r="J200" s="44" t="str">
        <f t="shared" si="24"/>
        <v/>
      </c>
      <c r="K200" s="44"/>
      <c r="L200" s="44"/>
      <c r="M200" s="122"/>
      <c r="N200" s="4415"/>
      <c r="O200" s="4441"/>
      <c r="P200" s="575"/>
      <c r="Q200" s="1060" t="s">
        <v>3</v>
      </c>
      <c r="R200" s="574" t="b">
        <f t="shared" si="23"/>
        <v>0</v>
      </c>
      <c r="S200" s="261"/>
      <c r="T200" s="261"/>
      <c r="U200" s="575"/>
      <c r="V200" s="4447"/>
      <c r="W200" s="4694"/>
      <c r="X200" s="1754"/>
      <c r="Y200" s="1754"/>
      <c r="Z200" s="2667"/>
    </row>
    <row r="201" spans="1:26" s="1414" customFormat="1" ht="43.5" x14ac:dyDescent="0.3">
      <c r="A201" s="1751" t="s">
        <v>85</v>
      </c>
      <c r="B201" s="1504"/>
      <c r="C201" s="200" t="s">
        <v>86</v>
      </c>
      <c r="D201" s="319" t="s">
        <v>3</v>
      </c>
      <c r="E201" s="121" t="b">
        <f t="shared" si="21"/>
        <v>0</v>
      </c>
      <c r="F201" s="399"/>
      <c r="G201" s="44" t="str">
        <f t="shared" si="22"/>
        <v/>
      </c>
      <c r="H201" s="44"/>
      <c r="I201" s="44"/>
      <c r="J201" s="44" t="str">
        <f t="shared" si="24"/>
        <v/>
      </c>
      <c r="K201" s="44"/>
      <c r="L201" s="44"/>
      <c r="M201" s="122"/>
      <c r="N201" s="4415"/>
      <c r="O201" s="4441"/>
      <c r="P201" s="575"/>
      <c r="Q201" s="1060"/>
      <c r="R201" s="574" t="b">
        <f t="shared" si="23"/>
        <v>0</v>
      </c>
      <c r="S201" s="261"/>
      <c r="T201" s="261"/>
      <c r="U201" s="575"/>
      <c r="V201" s="4447"/>
      <c r="W201" s="4694"/>
      <c r="X201" s="1754"/>
      <c r="Y201" s="1754"/>
      <c r="Z201" s="2667"/>
    </row>
    <row r="202" spans="1:26" s="1414" customFormat="1" ht="58" x14ac:dyDescent="0.3">
      <c r="A202" s="1751" t="s">
        <v>88</v>
      </c>
      <c r="B202" s="1504"/>
      <c r="C202" s="200" t="s">
        <v>87</v>
      </c>
      <c r="D202" s="319" t="s">
        <v>3</v>
      </c>
      <c r="E202" s="121" t="b">
        <f t="shared" si="21"/>
        <v>0</v>
      </c>
      <c r="F202" s="399"/>
      <c r="G202" s="44" t="str">
        <f t="shared" si="22"/>
        <v/>
      </c>
      <c r="H202" s="44"/>
      <c r="I202" s="44"/>
      <c r="J202" s="44" t="str">
        <f t="shared" si="24"/>
        <v/>
      </c>
      <c r="K202" s="44"/>
      <c r="L202" s="44"/>
      <c r="M202" s="122"/>
      <c r="N202" s="4415"/>
      <c r="O202" s="4441"/>
      <c r="P202" s="575"/>
      <c r="Q202" s="1060"/>
      <c r="R202" s="574" t="b">
        <f t="shared" si="23"/>
        <v>0</v>
      </c>
      <c r="S202" s="261"/>
      <c r="T202" s="261"/>
      <c r="U202" s="575"/>
      <c r="V202" s="4447"/>
      <c r="W202" s="4694"/>
      <c r="X202" s="1754"/>
      <c r="Y202" s="1754"/>
      <c r="Z202" s="2667"/>
    </row>
    <row r="203" spans="1:26" s="1414" customFormat="1" ht="189" thickBot="1" x14ac:dyDescent="0.35">
      <c r="A203" s="3079" t="s">
        <v>89</v>
      </c>
      <c r="B203" s="1505"/>
      <c r="C203" s="3178" t="s">
        <v>836</v>
      </c>
      <c r="D203" s="230" t="s">
        <v>3</v>
      </c>
      <c r="E203" s="123" t="b">
        <f t="shared" si="21"/>
        <v>0</v>
      </c>
      <c r="F203" s="1765"/>
      <c r="G203" s="124" t="str">
        <f t="shared" si="22"/>
        <v/>
      </c>
      <c r="H203" s="124"/>
      <c r="I203" s="124"/>
      <c r="J203" s="124" t="str">
        <f t="shared" si="24"/>
        <v/>
      </c>
      <c r="K203" s="124"/>
      <c r="L203" s="124"/>
      <c r="M203" s="125"/>
      <c r="N203" s="4416"/>
      <c r="O203" s="4442"/>
      <c r="P203" s="1556"/>
      <c r="Q203" s="1017"/>
      <c r="R203" s="922" t="b">
        <f t="shared" si="23"/>
        <v>0</v>
      </c>
      <c r="S203" s="1555"/>
      <c r="T203" s="1555"/>
      <c r="U203" s="1556"/>
      <c r="V203" s="4448"/>
      <c r="W203" s="4695"/>
      <c r="X203" s="2668"/>
      <c r="Y203" s="2668"/>
      <c r="Z203" s="2669"/>
    </row>
    <row r="204" spans="1:26" ht="15" thickTop="1" x14ac:dyDescent="0.3">
      <c r="A204" s="3080"/>
      <c r="B204" s="28"/>
      <c r="C204" s="28"/>
      <c r="D204" s="28"/>
      <c r="E204" s="3081"/>
      <c r="F204" s="3081"/>
      <c r="G204" s="3081"/>
      <c r="H204" s="3081"/>
      <c r="I204" s="28"/>
      <c r="J204" s="28"/>
      <c r="K204" s="28"/>
      <c r="L204" s="28"/>
      <c r="M204" s="74"/>
      <c r="N204" s="3082"/>
      <c r="O204" s="3082"/>
      <c r="P204" s="1760"/>
      <c r="Q204" s="1761"/>
      <c r="R204" s="1762"/>
      <c r="S204" s="1762"/>
      <c r="T204" s="1762"/>
      <c r="U204" s="1759"/>
      <c r="V204" s="1761"/>
      <c r="W204" s="217"/>
    </row>
    <row r="205" spans="1:26" ht="14.5" x14ac:dyDescent="0.3">
      <c r="A205" s="3080"/>
      <c r="B205" s="28"/>
      <c r="C205" s="28"/>
      <c r="D205" s="28"/>
      <c r="E205" s="3081"/>
      <c r="F205" s="3081"/>
      <c r="G205" s="3081"/>
      <c r="H205" s="3081"/>
      <c r="I205" s="28"/>
      <c r="J205" s="28"/>
      <c r="K205" s="28"/>
      <c r="L205" s="28"/>
      <c r="M205" s="74"/>
      <c r="N205" s="3082"/>
      <c r="O205" s="3082"/>
      <c r="P205" s="1760"/>
      <c r="Q205" s="1761"/>
      <c r="R205" s="1762"/>
      <c r="S205" s="1762"/>
      <c r="T205" s="1762"/>
      <c r="U205" s="1759"/>
      <c r="V205" s="1761"/>
      <c r="W205" s="217"/>
    </row>
    <row r="206" spans="1:26" ht="14.5" x14ac:dyDescent="0.3">
      <c r="A206" s="3080"/>
      <c r="B206" s="28"/>
      <c r="C206" s="28"/>
      <c r="D206" s="28"/>
      <c r="E206" s="3081"/>
      <c r="F206" s="3081"/>
      <c r="G206" s="3081"/>
      <c r="H206" s="3081"/>
      <c r="I206" s="28"/>
      <c r="J206" s="28"/>
      <c r="K206" s="28"/>
      <c r="L206" s="74"/>
      <c r="M206" s="74"/>
      <c r="N206" s="3082"/>
      <c r="O206" s="3082"/>
      <c r="P206" s="1760"/>
      <c r="Q206" s="1761"/>
      <c r="R206" s="1762"/>
      <c r="S206" s="1762"/>
      <c r="T206" s="1762"/>
      <c r="U206" s="1759"/>
      <c r="V206" s="1761"/>
      <c r="W206" s="217"/>
    </row>
    <row r="207" spans="1:26" ht="14.5" x14ac:dyDescent="0.3">
      <c r="A207" s="1267"/>
      <c r="B207" s="28"/>
      <c r="C207" s="28"/>
      <c r="D207" s="28"/>
      <c r="E207" s="1386"/>
      <c r="F207" s="1386"/>
      <c r="G207" s="1386"/>
      <c r="H207" s="1386"/>
      <c r="I207" s="28"/>
      <c r="J207" s="28"/>
      <c r="K207" s="28"/>
      <c r="L207" s="28"/>
      <c r="M207" s="28"/>
      <c r="N207" s="3039"/>
      <c r="O207" s="3039"/>
      <c r="P207" s="204"/>
      <c r="Q207" s="204"/>
      <c r="R207" s="204"/>
      <c r="S207" s="204"/>
      <c r="T207" s="204"/>
      <c r="U207" s="204"/>
      <c r="V207" s="204"/>
      <c r="W207" s="217"/>
    </row>
    <row r="208" spans="1:26" ht="14.5" x14ac:dyDescent="0.3">
      <c r="A208" s="57"/>
      <c r="B208" s="57"/>
      <c r="C208" s="57"/>
      <c r="D208" s="1387"/>
      <c r="E208" s="1387"/>
      <c r="F208" s="1387"/>
      <c r="G208" s="1387"/>
      <c r="H208" s="1387"/>
      <c r="I208" s="204"/>
      <c r="J208" s="204"/>
      <c r="K208" s="204"/>
      <c r="L208" s="204"/>
      <c r="M208" s="204"/>
      <c r="N208" s="3039"/>
      <c r="O208" s="3039"/>
      <c r="P208" s="204"/>
      <c r="Q208" s="204"/>
      <c r="R208" s="204"/>
      <c r="S208" s="204"/>
      <c r="T208" s="204"/>
      <c r="U208" s="204"/>
      <c r="V208" s="204"/>
      <c r="W208" s="217"/>
    </row>
    <row r="209" spans="1:23" ht="14.5" x14ac:dyDescent="0.3">
      <c r="A209" s="57"/>
      <c r="B209" s="57"/>
      <c r="C209" s="57"/>
      <c r="D209" s="1387"/>
      <c r="E209" s="1387"/>
      <c r="F209" s="1387"/>
      <c r="G209" s="1387"/>
      <c r="H209" s="1387"/>
      <c r="I209" s="204"/>
      <c r="J209" s="204"/>
      <c r="K209" s="204"/>
      <c r="L209" s="204"/>
      <c r="M209" s="204"/>
      <c r="N209" s="3039"/>
      <c r="O209" s="3039"/>
      <c r="P209" s="204"/>
      <c r="Q209" s="204"/>
      <c r="R209" s="204"/>
      <c r="S209" s="204"/>
      <c r="T209" s="204"/>
      <c r="U209" s="204"/>
      <c r="V209" s="204"/>
      <c r="W209" s="217"/>
    </row>
    <row r="210" spans="1:23" ht="14.5" x14ac:dyDescent="0.3">
      <c r="A210" s="57"/>
      <c r="B210" s="57"/>
      <c r="C210" s="57"/>
      <c r="D210" s="1387"/>
      <c r="E210" s="1387"/>
      <c r="F210" s="1387"/>
      <c r="G210" s="1387"/>
      <c r="H210" s="1387"/>
      <c r="I210" s="204"/>
      <c r="J210" s="204"/>
      <c r="K210" s="204"/>
      <c r="L210" s="204"/>
      <c r="M210" s="204"/>
      <c r="N210" s="3039"/>
      <c r="O210" s="3039"/>
      <c r="P210" s="204"/>
      <c r="Q210" s="204"/>
      <c r="R210" s="204"/>
      <c r="S210" s="204"/>
      <c r="T210" s="204"/>
      <c r="U210" s="204"/>
      <c r="V210" s="204"/>
      <c r="W210" s="217"/>
    </row>
    <row r="211" spans="1:23" ht="14.5" x14ac:dyDescent="0.3">
      <c r="A211" s="57"/>
      <c r="B211" s="57"/>
      <c r="C211" s="57"/>
      <c r="D211" s="1387"/>
      <c r="E211" s="1387"/>
      <c r="F211" s="1387"/>
      <c r="G211" s="1387"/>
      <c r="H211" s="1387"/>
      <c r="I211" s="204"/>
      <c r="J211" s="204"/>
      <c r="K211" s="204"/>
      <c r="L211" s="204"/>
      <c r="M211" s="204"/>
      <c r="N211" s="3039"/>
      <c r="O211" s="3039"/>
      <c r="P211" s="204"/>
      <c r="Q211" s="204"/>
      <c r="R211" s="204"/>
      <c r="S211" s="204"/>
      <c r="T211" s="204"/>
      <c r="U211" s="204"/>
      <c r="V211" s="204"/>
      <c r="W211" s="217"/>
    </row>
    <row r="212" spans="1:23" ht="14.5" x14ac:dyDescent="0.3">
      <c r="A212" s="57"/>
      <c r="B212" s="57"/>
      <c r="C212" s="57"/>
      <c r="D212" s="1387"/>
      <c r="E212" s="1387"/>
      <c r="F212" s="1387"/>
      <c r="G212" s="1387"/>
      <c r="H212" s="1387"/>
      <c r="I212" s="204"/>
      <c r="J212" s="204"/>
      <c r="K212" s="204"/>
      <c r="L212" s="204"/>
      <c r="M212" s="204"/>
      <c r="N212" s="3039"/>
      <c r="O212" s="3039"/>
      <c r="P212" s="204"/>
      <c r="Q212" s="204"/>
      <c r="R212" s="204"/>
      <c r="S212" s="204"/>
      <c r="T212" s="204"/>
      <c r="U212" s="204"/>
      <c r="V212" s="204"/>
      <c r="W212" s="217"/>
    </row>
    <row r="219" spans="1:23" ht="14.5" x14ac:dyDescent="0.3">
      <c r="A219" s="57"/>
      <c r="B219" s="57"/>
      <c r="C219" s="57"/>
      <c r="D219" s="1387"/>
      <c r="E219" s="1387"/>
      <c r="F219" s="1387"/>
      <c r="G219" s="1387"/>
      <c r="H219" s="1387"/>
      <c r="I219" s="204"/>
      <c r="J219" s="204"/>
      <c r="K219" s="204"/>
      <c r="L219" s="204"/>
      <c r="M219" s="204"/>
      <c r="N219" s="3039"/>
      <c r="O219" s="3039"/>
      <c r="P219" s="204"/>
      <c r="Q219" s="204"/>
      <c r="R219" s="204"/>
      <c r="S219" s="204"/>
      <c r="T219" s="204"/>
      <c r="U219" s="204"/>
      <c r="V219" s="204"/>
      <c r="W219" s="217"/>
    </row>
    <row r="220" spans="1:23" ht="14.5" x14ac:dyDescent="0.3">
      <c r="A220" s="57"/>
      <c r="B220" s="57"/>
      <c r="C220" s="57"/>
      <c r="D220" s="1387"/>
      <c r="E220" s="1387"/>
      <c r="F220" s="1387"/>
      <c r="G220" s="1387"/>
      <c r="H220" s="1387"/>
      <c r="I220" s="204"/>
      <c r="J220" s="204"/>
      <c r="K220" s="204"/>
      <c r="L220" s="204"/>
      <c r="M220" s="204"/>
      <c r="N220" s="3039"/>
      <c r="O220" s="3039"/>
      <c r="P220" s="204"/>
      <c r="Q220" s="204"/>
      <c r="R220" s="204"/>
      <c r="S220" s="204"/>
      <c r="T220" s="204"/>
      <c r="U220" s="204"/>
      <c r="V220" s="204"/>
      <c r="W220" s="217"/>
    </row>
    <row r="221" spans="1:23" ht="14.5" x14ac:dyDescent="0.3">
      <c r="A221" s="57"/>
      <c r="B221" s="57"/>
      <c r="C221" s="57"/>
      <c r="D221" s="1387"/>
      <c r="E221" s="1387"/>
      <c r="F221" s="1387"/>
      <c r="G221" s="1387"/>
      <c r="H221" s="1387"/>
      <c r="I221" s="204"/>
      <c r="J221" s="204"/>
      <c r="K221" s="204"/>
      <c r="L221" s="204"/>
      <c r="M221" s="204"/>
      <c r="N221" s="3039"/>
      <c r="O221" s="3039"/>
      <c r="P221" s="204"/>
      <c r="Q221" s="204"/>
      <c r="R221" s="204"/>
      <c r="S221" s="204"/>
      <c r="T221" s="204"/>
      <c r="U221" s="204"/>
      <c r="V221" s="204"/>
      <c r="W221" s="217"/>
    </row>
    <row r="222" spans="1:23" ht="14.5" x14ac:dyDescent="0.3">
      <c r="A222" s="57"/>
      <c r="B222" s="57"/>
      <c r="C222" s="57"/>
      <c r="D222" s="1387"/>
      <c r="E222" s="1387"/>
      <c r="F222" s="1387"/>
      <c r="G222" s="1387"/>
      <c r="H222" s="1387"/>
      <c r="I222" s="204"/>
      <c r="J222" s="204"/>
      <c r="K222" s="204"/>
      <c r="L222" s="204"/>
      <c r="M222" s="204"/>
      <c r="N222" s="3039"/>
      <c r="O222" s="3039"/>
      <c r="P222" s="204"/>
      <c r="Q222" s="204"/>
      <c r="R222" s="204"/>
      <c r="S222" s="204"/>
      <c r="T222" s="204"/>
      <c r="U222" s="204"/>
      <c r="V222" s="204"/>
      <c r="W222" s="217"/>
    </row>
    <row r="223" spans="1:23" ht="14.5" x14ac:dyDescent="0.3">
      <c r="A223" s="57"/>
      <c r="B223" s="57"/>
      <c r="C223" s="57"/>
      <c r="D223" s="1387"/>
      <c r="E223" s="1387"/>
      <c r="F223" s="1387"/>
      <c r="G223" s="1387"/>
      <c r="H223" s="1387"/>
      <c r="I223" s="204"/>
      <c r="J223" s="204"/>
      <c r="K223" s="204"/>
      <c r="L223" s="204"/>
      <c r="M223" s="204"/>
      <c r="N223" s="3039"/>
      <c r="O223" s="3039"/>
      <c r="P223" s="204"/>
      <c r="Q223" s="204"/>
      <c r="R223" s="204"/>
      <c r="S223" s="204"/>
      <c r="T223" s="204"/>
      <c r="U223" s="204"/>
      <c r="V223" s="204"/>
      <c r="W223" s="217"/>
    </row>
    <row r="224" spans="1:23" ht="14.5" x14ac:dyDescent="0.3">
      <c r="A224" s="57"/>
      <c r="B224" s="57"/>
      <c r="C224" s="57"/>
      <c r="D224" s="1387"/>
      <c r="E224" s="1387"/>
      <c r="F224" s="1387"/>
      <c r="G224" s="1387"/>
      <c r="H224" s="1387"/>
      <c r="I224" s="204"/>
      <c r="J224" s="204"/>
      <c r="K224" s="204"/>
      <c r="L224" s="204"/>
      <c r="M224" s="204"/>
      <c r="N224" s="3039"/>
      <c r="O224" s="3039"/>
      <c r="P224" s="204"/>
      <c r="Q224" s="204"/>
      <c r="R224" s="204"/>
      <c r="S224" s="204"/>
      <c r="T224" s="204"/>
      <c r="U224" s="204"/>
      <c r="V224" s="204"/>
      <c r="W224" s="217"/>
    </row>
    <row r="225" spans="1:23" ht="14.5" x14ac:dyDescent="0.3">
      <c r="A225" s="57"/>
      <c r="B225" s="57"/>
      <c r="C225" s="57"/>
      <c r="D225" s="1387"/>
      <c r="E225" s="1387"/>
      <c r="F225" s="1387"/>
      <c r="G225" s="1387"/>
      <c r="H225" s="1387"/>
      <c r="I225" s="204"/>
      <c r="J225" s="204"/>
      <c r="K225" s="204"/>
      <c r="L225" s="204"/>
      <c r="M225" s="204"/>
      <c r="N225" s="3039"/>
      <c r="O225" s="3039"/>
      <c r="P225" s="204"/>
      <c r="Q225" s="204"/>
      <c r="R225" s="204"/>
      <c r="S225" s="204"/>
      <c r="T225" s="204"/>
      <c r="U225" s="204"/>
      <c r="V225" s="204"/>
      <c r="W225" s="217"/>
    </row>
    <row r="226" spans="1:23" ht="14.5" x14ac:dyDescent="0.3">
      <c r="A226" s="57"/>
      <c r="B226" s="57"/>
      <c r="C226" s="57"/>
      <c r="D226" s="1387"/>
      <c r="E226" s="1387"/>
      <c r="F226" s="1387"/>
      <c r="G226" s="1387"/>
      <c r="H226" s="1387"/>
      <c r="I226" s="204"/>
      <c r="J226" s="204"/>
      <c r="K226" s="204"/>
      <c r="L226" s="204"/>
      <c r="M226" s="204"/>
      <c r="N226" s="3039"/>
      <c r="O226" s="3039"/>
      <c r="P226" s="204"/>
      <c r="Q226" s="204"/>
      <c r="R226" s="204"/>
      <c r="S226" s="204"/>
      <c r="T226" s="204"/>
      <c r="U226" s="204"/>
      <c r="V226" s="204"/>
      <c r="W226" s="217"/>
    </row>
    <row r="227" spans="1:23" ht="14.5" x14ac:dyDescent="0.3">
      <c r="A227" s="57"/>
      <c r="B227" s="57"/>
      <c r="C227" s="57"/>
      <c r="D227" s="1387"/>
      <c r="E227" s="1387"/>
      <c r="F227" s="1387"/>
      <c r="G227" s="1387"/>
      <c r="H227" s="1387"/>
      <c r="I227" s="204"/>
      <c r="J227" s="204"/>
      <c r="K227" s="204"/>
      <c r="L227" s="204"/>
      <c r="M227" s="204"/>
      <c r="N227" s="3039"/>
      <c r="O227" s="3039"/>
      <c r="P227" s="204"/>
      <c r="Q227" s="204"/>
      <c r="R227" s="204"/>
      <c r="S227" s="204"/>
      <c r="T227" s="204"/>
      <c r="U227" s="204"/>
      <c r="V227" s="204"/>
      <c r="W227" s="217"/>
    </row>
    <row r="228" spans="1:23" ht="14.5" x14ac:dyDescent="0.3">
      <c r="A228" s="57"/>
      <c r="B228" s="57"/>
      <c r="C228" s="57"/>
      <c r="D228" s="1387"/>
      <c r="E228" s="1387"/>
      <c r="F228" s="1387"/>
      <c r="G228" s="1387"/>
      <c r="H228" s="1387"/>
      <c r="I228" s="204"/>
      <c r="J228" s="204"/>
      <c r="K228" s="204"/>
      <c r="L228" s="204"/>
      <c r="M228" s="204"/>
      <c r="N228" s="3039"/>
      <c r="O228" s="3039"/>
      <c r="P228" s="204"/>
      <c r="Q228" s="204"/>
      <c r="R228" s="204"/>
      <c r="S228" s="204"/>
      <c r="T228" s="204"/>
      <c r="U228" s="204"/>
      <c r="V228" s="204"/>
      <c r="W228" s="217"/>
    </row>
    <row r="229" spans="1:23" ht="14.5" x14ac:dyDescent="0.3">
      <c r="A229" s="1267"/>
      <c r="B229" s="1267"/>
      <c r="C229" s="1387"/>
      <c r="D229" s="1387"/>
      <c r="E229" s="1387"/>
      <c r="F229" s="1387"/>
      <c r="G229" s="1387"/>
      <c r="H229" s="1387"/>
      <c r="I229" s="204"/>
      <c r="J229" s="204"/>
      <c r="K229" s="204"/>
      <c r="L229" s="204"/>
      <c r="M229" s="204"/>
      <c r="N229" s="3039"/>
      <c r="O229" s="3039"/>
      <c r="P229" s="204"/>
      <c r="Q229" s="204"/>
      <c r="R229" s="204"/>
      <c r="S229" s="204"/>
      <c r="T229" s="204"/>
      <c r="U229" s="204"/>
      <c r="V229" s="204"/>
      <c r="W229" s="217"/>
    </row>
    <row r="230" spans="1:23" ht="14.5" x14ac:dyDescent="0.3">
      <c r="A230" s="1267"/>
      <c r="B230" s="1267"/>
      <c r="C230" s="1387"/>
      <c r="D230" s="1387"/>
      <c r="E230" s="1387"/>
      <c r="F230" s="1387"/>
      <c r="G230" s="1387"/>
      <c r="H230" s="1387"/>
      <c r="I230" s="204"/>
      <c r="J230" s="204"/>
      <c r="K230" s="204"/>
      <c r="L230" s="204"/>
      <c r="M230" s="204"/>
      <c r="N230" s="3039"/>
      <c r="O230" s="3039"/>
      <c r="P230" s="204"/>
      <c r="Q230" s="204"/>
      <c r="R230" s="204"/>
      <c r="S230" s="204"/>
      <c r="T230" s="204"/>
      <c r="U230" s="204"/>
      <c r="V230" s="204"/>
      <c r="W230" s="217"/>
    </row>
    <row r="237" spans="1:23" ht="14.5" x14ac:dyDescent="0.3">
      <c r="A237" s="1267"/>
      <c r="B237" s="1267"/>
      <c r="C237" s="1387"/>
      <c r="D237" s="1387"/>
      <c r="E237" s="1387"/>
      <c r="F237" s="1387"/>
      <c r="G237" s="1387"/>
      <c r="H237" s="1387"/>
      <c r="I237" s="204"/>
      <c r="J237" s="204"/>
      <c r="K237" s="204"/>
      <c r="L237" s="204"/>
      <c r="M237" s="204"/>
      <c r="N237" s="3039"/>
      <c r="O237" s="3039"/>
      <c r="P237" s="204"/>
      <c r="Q237" s="204"/>
      <c r="R237" s="204"/>
      <c r="S237" s="204"/>
      <c r="T237" s="204"/>
      <c r="U237" s="204"/>
      <c r="V237" s="204"/>
      <c r="W237" s="217"/>
    </row>
    <row r="238" spans="1:23" ht="14.5" x14ac:dyDescent="0.3">
      <c r="A238" s="1267"/>
      <c r="B238" s="1267"/>
      <c r="C238" s="1387"/>
      <c r="D238" s="1387"/>
      <c r="E238" s="1387"/>
      <c r="F238" s="1387"/>
      <c r="G238" s="1387"/>
      <c r="H238" s="1387"/>
      <c r="I238" s="204"/>
      <c r="J238" s="204"/>
      <c r="K238" s="204"/>
      <c r="L238" s="204"/>
      <c r="M238" s="204"/>
      <c r="N238" s="3039"/>
      <c r="O238" s="3039"/>
      <c r="P238" s="204"/>
      <c r="Q238" s="204"/>
      <c r="R238" s="204"/>
      <c r="S238" s="204"/>
      <c r="T238" s="204"/>
      <c r="U238" s="204"/>
      <c r="V238" s="204"/>
      <c r="W238" s="217"/>
    </row>
    <row r="239" spans="1:23" ht="14.5" x14ac:dyDescent="0.3">
      <c r="A239" s="1267"/>
      <c r="B239" s="1267"/>
      <c r="C239" s="1387"/>
      <c r="D239" s="1387"/>
      <c r="E239" s="1387"/>
      <c r="F239" s="1387"/>
      <c r="G239" s="1387"/>
      <c r="H239" s="1387"/>
      <c r="I239" s="204"/>
      <c r="J239" s="204"/>
      <c r="K239" s="204"/>
      <c r="L239" s="204"/>
      <c r="M239" s="204"/>
      <c r="N239" s="3039"/>
      <c r="O239" s="3039"/>
      <c r="P239" s="204"/>
      <c r="Q239" s="204"/>
      <c r="R239" s="204"/>
      <c r="S239" s="204"/>
      <c r="T239" s="204"/>
      <c r="U239" s="204"/>
      <c r="V239" s="204"/>
      <c r="W239" s="217"/>
    </row>
    <row r="240" spans="1:23" ht="14.5" x14ac:dyDescent="0.3">
      <c r="A240" s="1267"/>
      <c r="B240" s="1267"/>
      <c r="C240" s="1387"/>
      <c r="D240" s="1387"/>
      <c r="E240" s="1387"/>
      <c r="F240" s="1387"/>
      <c r="G240" s="1387"/>
      <c r="H240" s="1387"/>
      <c r="I240" s="204"/>
      <c r="J240" s="204"/>
      <c r="K240" s="204"/>
      <c r="L240" s="204"/>
      <c r="M240" s="204"/>
      <c r="N240" s="3039"/>
      <c r="O240" s="3039"/>
      <c r="P240" s="204"/>
      <c r="Q240" s="204"/>
      <c r="R240" s="204"/>
      <c r="S240" s="204"/>
      <c r="T240" s="204"/>
      <c r="U240" s="204"/>
      <c r="V240" s="204"/>
      <c r="W240" s="217"/>
    </row>
    <row r="247" spans="1:23" ht="14.5" x14ac:dyDescent="0.3">
      <c r="A247" s="1267"/>
      <c r="B247" s="1267"/>
      <c r="C247" s="1387"/>
      <c r="D247" s="1387"/>
      <c r="E247" s="1387"/>
      <c r="F247" s="1387"/>
      <c r="G247" s="1387"/>
      <c r="H247" s="1387"/>
      <c r="I247" s="204"/>
      <c r="J247" s="204"/>
      <c r="K247" s="204"/>
      <c r="L247" s="204"/>
      <c r="M247" s="204"/>
      <c r="N247" s="3039"/>
      <c r="O247" s="3039"/>
      <c r="P247" s="204"/>
      <c r="Q247" s="204"/>
      <c r="R247" s="204"/>
      <c r="S247" s="204"/>
      <c r="T247" s="204"/>
      <c r="U247" s="204"/>
      <c r="V247" s="204"/>
      <c r="W247" s="217"/>
    </row>
    <row r="248" spans="1:23" ht="14.5" x14ac:dyDescent="0.3">
      <c r="A248" s="1267"/>
      <c r="B248" s="1267"/>
      <c r="C248" s="1387"/>
      <c r="D248" s="1387"/>
      <c r="E248" s="1387"/>
      <c r="F248" s="1387"/>
      <c r="G248" s="1387"/>
      <c r="H248" s="1387"/>
      <c r="I248" s="204"/>
      <c r="J248" s="204"/>
      <c r="K248" s="204"/>
      <c r="L248" s="204"/>
      <c r="M248" s="204"/>
      <c r="N248" s="3039"/>
      <c r="O248" s="3039"/>
      <c r="P248" s="204"/>
      <c r="Q248" s="204"/>
      <c r="R248" s="204"/>
      <c r="S248" s="204"/>
      <c r="T248" s="204"/>
      <c r="U248" s="204"/>
      <c r="V248" s="204"/>
      <c r="W248" s="217"/>
    </row>
    <row r="249" spans="1:23" ht="14.5" x14ac:dyDescent="0.3">
      <c r="A249" s="1267"/>
      <c r="B249" s="1267"/>
      <c r="C249" s="1387"/>
      <c r="D249" s="1387"/>
      <c r="E249" s="1387"/>
      <c r="F249" s="1387"/>
      <c r="G249" s="1387"/>
      <c r="H249" s="1387"/>
      <c r="I249" s="204"/>
      <c r="J249" s="204"/>
      <c r="K249" s="204"/>
      <c r="L249" s="204"/>
      <c r="M249" s="204"/>
      <c r="N249" s="3039"/>
      <c r="O249" s="3039"/>
      <c r="P249" s="204"/>
      <c r="Q249" s="204"/>
      <c r="R249" s="204"/>
      <c r="S249" s="204"/>
      <c r="T249" s="204"/>
      <c r="U249" s="204"/>
      <c r="V249" s="204"/>
      <c r="W249" s="217"/>
    </row>
    <row r="250" spans="1:23" ht="14.5" x14ac:dyDescent="0.3">
      <c r="A250" s="1267"/>
      <c r="B250" s="1267"/>
      <c r="C250" s="1387"/>
      <c r="D250" s="1387"/>
      <c r="E250" s="1387"/>
      <c r="F250" s="1387"/>
      <c r="G250" s="1387"/>
      <c r="H250" s="1387"/>
      <c r="I250" s="204"/>
      <c r="J250" s="204"/>
      <c r="K250" s="204"/>
      <c r="L250" s="204"/>
      <c r="M250" s="204"/>
      <c r="N250" s="3039"/>
      <c r="O250" s="3039"/>
      <c r="P250" s="204"/>
      <c r="Q250" s="204"/>
      <c r="R250" s="204"/>
      <c r="S250" s="204"/>
      <c r="T250" s="204"/>
      <c r="U250" s="204"/>
      <c r="V250" s="204"/>
      <c r="W250" s="217"/>
    </row>
    <row r="251" spans="1:23" ht="14.5" x14ac:dyDescent="0.3">
      <c r="A251" s="1267"/>
      <c r="B251" s="1267"/>
      <c r="C251" s="1387"/>
      <c r="D251" s="1387"/>
      <c r="E251" s="1387"/>
      <c r="F251" s="1387"/>
      <c r="G251" s="1387"/>
      <c r="H251" s="1387"/>
      <c r="I251" s="204"/>
      <c r="J251" s="204"/>
      <c r="K251" s="204"/>
      <c r="L251" s="204"/>
      <c r="M251" s="204"/>
      <c r="N251" s="3039"/>
      <c r="O251" s="3039"/>
      <c r="P251" s="204"/>
      <c r="Q251" s="204"/>
      <c r="R251" s="204"/>
      <c r="S251" s="204"/>
      <c r="T251" s="204"/>
      <c r="U251" s="204"/>
      <c r="V251" s="204"/>
      <c r="W251" s="217"/>
    </row>
    <row r="252" spans="1:23" ht="14.5" x14ac:dyDescent="0.3">
      <c r="A252" s="1267"/>
      <c r="B252" s="1267"/>
      <c r="C252" s="1387"/>
      <c r="D252" s="1387"/>
      <c r="E252" s="1387"/>
      <c r="F252" s="1387"/>
      <c r="G252" s="1387"/>
      <c r="H252" s="1387"/>
      <c r="I252" s="204"/>
      <c r="J252" s="204"/>
      <c r="K252" s="204"/>
      <c r="L252" s="204"/>
      <c r="M252" s="204"/>
      <c r="N252" s="3039"/>
      <c r="O252" s="3039"/>
      <c r="P252" s="204"/>
      <c r="Q252" s="204"/>
      <c r="R252" s="204"/>
      <c r="S252" s="204"/>
      <c r="T252" s="204"/>
      <c r="U252" s="204"/>
      <c r="V252" s="204"/>
      <c r="W252" s="217"/>
    </row>
    <row r="253" spans="1:23" ht="14.5" x14ac:dyDescent="0.3">
      <c r="A253" s="1267"/>
      <c r="B253" s="1267"/>
      <c r="C253" s="1387"/>
      <c r="D253" s="1387"/>
      <c r="E253" s="1387"/>
      <c r="F253" s="1387"/>
      <c r="G253" s="1387"/>
      <c r="H253" s="1387"/>
      <c r="I253" s="204"/>
      <c r="J253" s="204"/>
      <c r="K253" s="204"/>
      <c r="L253" s="204"/>
      <c r="M253" s="204"/>
      <c r="N253" s="3039"/>
      <c r="O253" s="3039"/>
      <c r="P253" s="204"/>
      <c r="Q253" s="204"/>
      <c r="R253" s="204"/>
      <c r="S253" s="204"/>
      <c r="T253" s="204"/>
      <c r="U253" s="204"/>
      <c r="V253" s="204"/>
      <c r="W253" s="217"/>
    </row>
    <row r="254" spans="1:23" ht="14.5" x14ac:dyDescent="0.3">
      <c r="A254" s="1267"/>
      <c r="B254" s="1267"/>
      <c r="C254" s="1387"/>
      <c r="D254" s="1387"/>
      <c r="E254" s="1387"/>
      <c r="F254" s="1387"/>
      <c r="G254" s="1387"/>
      <c r="H254" s="1387"/>
      <c r="I254" s="204"/>
      <c r="J254" s="204"/>
      <c r="K254" s="204"/>
      <c r="L254" s="204"/>
      <c r="M254" s="204"/>
      <c r="N254" s="3039"/>
      <c r="O254" s="3039"/>
      <c r="P254" s="204"/>
      <c r="Q254" s="204"/>
      <c r="R254" s="204"/>
      <c r="S254" s="204"/>
      <c r="T254" s="204"/>
      <c r="U254" s="204"/>
      <c r="V254" s="204"/>
      <c r="W254" s="217"/>
    </row>
    <row r="255" spans="1:23" ht="14.5" x14ac:dyDescent="0.3">
      <c r="A255" s="1267"/>
      <c r="B255" s="1267"/>
      <c r="C255" s="1387"/>
      <c r="D255" s="1387"/>
      <c r="E255" s="1387"/>
      <c r="F255" s="1387"/>
      <c r="G255" s="1387"/>
      <c r="H255" s="1387"/>
      <c r="I255" s="204"/>
      <c r="J255" s="204"/>
      <c r="K255" s="204"/>
      <c r="L255" s="204"/>
      <c r="M255" s="204"/>
      <c r="N255" s="3039"/>
      <c r="O255" s="3039"/>
      <c r="P255" s="204"/>
      <c r="Q255" s="204"/>
      <c r="R255" s="204"/>
      <c r="S255" s="204"/>
      <c r="T255" s="204"/>
      <c r="U255" s="204"/>
      <c r="V255" s="204"/>
      <c r="W255" s="217"/>
    </row>
    <row r="256" spans="1:23" ht="14.5" x14ac:dyDescent="0.3">
      <c r="A256" s="1267"/>
      <c r="B256" s="1267"/>
      <c r="C256" s="1387"/>
      <c r="D256" s="1387"/>
      <c r="E256" s="1387"/>
      <c r="F256" s="1387"/>
      <c r="G256" s="1387"/>
      <c r="H256" s="1387"/>
      <c r="I256" s="204"/>
      <c r="J256" s="204"/>
      <c r="K256" s="204"/>
      <c r="L256" s="204"/>
      <c r="M256" s="204"/>
      <c r="N256" s="3039"/>
      <c r="O256" s="3039"/>
      <c r="P256" s="204"/>
      <c r="Q256" s="204"/>
      <c r="R256" s="204"/>
      <c r="S256" s="204"/>
      <c r="T256" s="204"/>
      <c r="U256" s="204"/>
      <c r="V256" s="204"/>
      <c r="W256" s="217"/>
    </row>
    <row r="257" spans="1:23" ht="14.5" x14ac:dyDescent="0.3">
      <c r="A257" s="1267"/>
      <c r="B257" s="1267"/>
      <c r="C257" s="1387"/>
      <c r="D257" s="1387"/>
      <c r="E257" s="1387"/>
      <c r="F257" s="1387"/>
      <c r="G257" s="1387"/>
      <c r="H257" s="1387"/>
      <c r="I257" s="204"/>
      <c r="J257" s="204"/>
      <c r="K257" s="204"/>
      <c r="L257" s="204"/>
      <c r="M257" s="204"/>
      <c r="N257" s="3039"/>
      <c r="O257" s="3039"/>
      <c r="P257" s="204"/>
      <c r="Q257" s="204"/>
      <c r="R257" s="204"/>
      <c r="S257" s="204"/>
      <c r="T257" s="204"/>
      <c r="U257" s="204"/>
      <c r="V257" s="204"/>
      <c r="W257" s="217"/>
    </row>
    <row r="258" spans="1:23" ht="14.5" x14ac:dyDescent="0.3">
      <c r="A258" s="1267"/>
      <c r="B258" s="1267"/>
      <c r="C258" s="1387"/>
      <c r="D258" s="1387"/>
      <c r="E258" s="1387"/>
      <c r="F258" s="1387"/>
      <c r="G258" s="1387"/>
      <c r="H258" s="1387"/>
      <c r="I258" s="204"/>
      <c r="J258" s="204"/>
      <c r="K258" s="204"/>
      <c r="L258" s="204"/>
      <c r="M258" s="204"/>
      <c r="N258" s="3039"/>
      <c r="O258" s="3039"/>
      <c r="P258" s="204"/>
      <c r="Q258" s="204"/>
      <c r="R258" s="204"/>
      <c r="S258" s="204"/>
      <c r="T258" s="204"/>
      <c r="U258" s="204"/>
      <c r="V258" s="204"/>
      <c r="W258" s="217"/>
    </row>
    <row r="259" spans="1:23" ht="14.5" x14ac:dyDescent="0.3">
      <c r="A259" s="1267"/>
      <c r="B259" s="1267"/>
      <c r="C259" s="1387"/>
      <c r="D259" s="1387"/>
      <c r="E259" s="1387"/>
      <c r="F259" s="1387"/>
      <c r="G259" s="1387"/>
      <c r="H259" s="1387"/>
      <c r="I259" s="204"/>
      <c r="J259" s="204"/>
      <c r="K259" s="204"/>
      <c r="L259" s="204"/>
      <c r="M259" s="204"/>
      <c r="N259" s="3039"/>
      <c r="O259" s="3039"/>
      <c r="P259" s="204"/>
      <c r="Q259" s="204"/>
      <c r="R259" s="204"/>
      <c r="S259" s="204"/>
      <c r="T259" s="204"/>
      <c r="U259" s="204"/>
      <c r="V259" s="204"/>
      <c r="W259" s="217"/>
    </row>
    <row r="260" spans="1:23" ht="14.5" x14ac:dyDescent="0.3">
      <c r="A260" s="1267"/>
      <c r="B260" s="1267"/>
      <c r="C260" s="1387"/>
      <c r="D260" s="1387"/>
      <c r="E260" s="1387"/>
      <c r="F260" s="1387"/>
      <c r="G260" s="1387"/>
      <c r="H260" s="1387"/>
      <c r="I260" s="204"/>
      <c r="J260" s="204"/>
      <c r="K260" s="204"/>
      <c r="L260" s="204"/>
      <c r="M260" s="204"/>
      <c r="N260" s="3039"/>
      <c r="O260" s="3039"/>
      <c r="P260" s="204"/>
      <c r="Q260" s="204"/>
      <c r="R260" s="204"/>
      <c r="S260" s="204"/>
      <c r="T260" s="204"/>
      <c r="U260" s="204"/>
      <c r="V260" s="204"/>
      <c r="W260" s="217"/>
    </row>
    <row r="261" spans="1:23" ht="14.5" x14ac:dyDescent="0.3">
      <c r="A261" s="1267"/>
      <c r="B261" s="1267"/>
      <c r="C261" s="1387"/>
      <c r="D261" s="1387"/>
      <c r="E261" s="1387"/>
      <c r="F261" s="1387"/>
      <c r="G261" s="1387"/>
      <c r="H261" s="1387"/>
      <c r="I261" s="204"/>
      <c r="J261" s="204"/>
      <c r="K261" s="204"/>
      <c r="L261" s="204"/>
      <c r="M261" s="204"/>
      <c r="N261" s="3039"/>
      <c r="O261" s="3039"/>
      <c r="P261" s="204"/>
      <c r="Q261" s="204"/>
      <c r="R261" s="204"/>
      <c r="S261" s="204"/>
      <c r="T261" s="204"/>
      <c r="U261" s="204"/>
      <c r="V261" s="204"/>
      <c r="W261" s="217"/>
    </row>
    <row r="262" spans="1:23" ht="14.5" x14ac:dyDescent="0.3">
      <c r="A262" s="1267"/>
      <c r="B262" s="1267"/>
      <c r="C262" s="1387"/>
      <c r="D262" s="1387"/>
      <c r="E262" s="1387"/>
      <c r="F262" s="1387"/>
      <c r="G262" s="1387"/>
      <c r="H262" s="1387"/>
      <c r="I262" s="204"/>
      <c r="J262" s="204"/>
      <c r="K262" s="204"/>
      <c r="L262" s="204"/>
      <c r="M262" s="204"/>
      <c r="N262" s="3039"/>
      <c r="O262" s="3039"/>
      <c r="P262" s="204"/>
      <c r="Q262" s="204"/>
      <c r="R262" s="204"/>
      <c r="S262" s="204"/>
      <c r="T262" s="204"/>
      <c r="U262" s="204"/>
      <c r="V262" s="204"/>
      <c r="W262" s="217"/>
    </row>
    <row r="269" spans="1:23" s="1394" customFormat="1" ht="14.5" x14ac:dyDescent="0.3">
      <c r="A269" s="1267"/>
      <c r="B269" s="1267"/>
      <c r="C269" s="1267"/>
      <c r="D269" s="1267"/>
      <c r="E269" s="1267"/>
      <c r="F269" s="1267"/>
      <c r="G269" s="1267"/>
      <c r="H269" s="1267"/>
      <c r="I269" s="1267"/>
      <c r="J269" s="1267"/>
      <c r="K269" s="1267"/>
      <c r="L269" s="1267"/>
      <c r="M269" s="3050"/>
      <c r="N269" s="3050"/>
      <c r="O269" s="3050"/>
      <c r="P269" s="57"/>
      <c r="Q269" s="3050"/>
      <c r="R269" s="28"/>
      <c r="S269" s="3050"/>
      <c r="T269" s="57"/>
      <c r="W269" s="1385"/>
    </row>
    <row r="270" spans="1:23" s="1394" customFormat="1" ht="14.5" x14ac:dyDescent="0.3">
      <c r="A270" s="57"/>
      <c r="B270" s="57"/>
      <c r="C270" s="57"/>
      <c r="D270" s="57"/>
      <c r="E270" s="57"/>
      <c r="F270" s="57"/>
      <c r="G270" s="57"/>
      <c r="H270" s="57"/>
      <c r="I270" s="1267"/>
      <c r="J270" s="1267"/>
      <c r="K270" s="1267"/>
      <c r="L270" s="1267"/>
      <c r="M270" s="3050"/>
      <c r="N270" s="3050"/>
      <c r="O270" s="3050"/>
      <c r="P270" s="57"/>
      <c r="Q270" s="3050"/>
      <c r="R270" s="28"/>
      <c r="S270" s="3050"/>
      <c r="T270" s="57"/>
      <c r="W270" s="1385"/>
    </row>
    <row r="271" spans="1:23" s="1394" customFormat="1" ht="14.5" x14ac:dyDescent="0.3">
      <c r="A271" s="57"/>
      <c r="B271" s="57"/>
      <c r="C271" s="57"/>
      <c r="D271" s="57"/>
      <c r="E271" s="57"/>
      <c r="F271" s="57"/>
      <c r="G271" s="57"/>
      <c r="H271" s="57"/>
      <c r="I271" s="1267"/>
      <c r="J271" s="1267"/>
      <c r="K271" s="1267"/>
      <c r="L271" s="1267"/>
      <c r="M271" s="3050"/>
      <c r="N271" s="3050"/>
      <c r="O271" s="3050"/>
      <c r="P271" s="57"/>
      <c r="Q271" s="3050"/>
      <c r="R271" s="28"/>
      <c r="S271" s="3050"/>
      <c r="T271" s="57"/>
      <c r="W271" s="1385"/>
    </row>
    <row r="272" spans="1:23" s="1394" customFormat="1" ht="14.5" x14ac:dyDescent="0.3">
      <c r="A272" s="57"/>
      <c r="B272" s="57"/>
      <c r="C272" s="57"/>
      <c r="D272" s="57"/>
      <c r="E272" s="57"/>
      <c r="F272" s="57"/>
      <c r="G272" s="57"/>
      <c r="H272" s="57"/>
      <c r="I272" s="1267"/>
      <c r="J272" s="1267"/>
      <c r="K272" s="1267"/>
      <c r="L272" s="1267"/>
      <c r="M272" s="3050"/>
      <c r="N272" s="3050"/>
      <c r="O272" s="3050"/>
      <c r="P272" s="57"/>
      <c r="Q272" s="3050"/>
      <c r="R272" s="28"/>
      <c r="S272" s="3050"/>
      <c r="T272" s="57"/>
      <c r="W272" s="1385"/>
    </row>
    <row r="273" spans="1:23" s="1394" customFormat="1" ht="14.5" x14ac:dyDescent="0.3">
      <c r="A273" s="57"/>
      <c r="B273" s="57"/>
      <c r="C273" s="57"/>
      <c r="D273" s="57"/>
      <c r="E273" s="57"/>
      <c r="F273" s="57"/>
      <c r="G273" s="57"/>
      <c r="H273" s="57"/>
      <c r="I273" s="1267"/>
      <c r="J273" s="1267"/>
      <c r="K273" s="1267"/>
      <c r="L273" s="1267"/>
      <c r="M273" s="3050"/>
      <c r="N273" s="3050"/>
      <c r="O273" s="3050"/>
      <c r="P273" s="57"/>
      <c r="Q273" s="3050"/>
      <c r="R273" s="28"/>
      <c r="S273" s="3050"/>
      <c r="T273" s="57"/>
      <c r="W273" s="1385"/>
    </row>
    <row r="274" spans="1:23" s="1394" customFormat="1" ht="14.5" x14ac:dyDescent="0.3">
      <c r="A274" s="57"/>
      <c r="B274" s="57"/>
      <c r="C274" s="57"/>
      <c r="D274" s="57"/>
      <c r="E274" s="57"/>
      <c r="F274" s="57"/>
      <c r="G274" s="57"/>
      <c r="H274" s="57"/>
      <c r="I274" s="1267"/>
      <c r="J274" s="1267"/>
      <c r="K274" s="1267"/>
      <c r="L274" s="1267"/>
      <c r="M274" s="3050"/>
      <c r="N274" s="3050"/>
      <c r="O274" s="3050"/>
      <c r="P274" s="57"/>
      <c r="Q274" s="3050"/>
      <c r="R274" s="28"/>
      <c r="S274" s="3050"/>
      <c r="T274" s="57"/>
      <c r="W274" s="1385"/>
    </row>
    <row r="275" spans="1:23" s="1394" customFormat="1" ht="14.5" x14ac:dyDescent="0.3">
      <c r="A275" s="57"/>
      <c r="B275" s="57"/>
      <c r="C275" s="57"/>
      <c r="D275" s="57"/>
      <c r="E275" s="57"/>
      <c r="F275" s="57"/>
      <c r="G275" s="57"/>
      <c r="H275" s="57"/>
      <c r="I275" s="1267"/>
      <c r="J275" s="1267"/>
      <c r="K275" s="1267"/>
      <c r="L275" s="1267"/>
      <c r="M275" s="3050"/>
      <c r="N275" s="3050"/>
      <c r="O275" s="3050"/>
      <c r="P275" s="57"/>
      <c r="Q275" s="3050"/>
      <c r="R275" s="28"/>
      <c r="S275" s="3050"/>
      <c r="T275" s="57"/>
      <c r="W275" s="1385"/>
    </row>
    <row r="276" spans="1:23" s="1394" customFormat="1" ht="14.5" x14ac:dyDescent="0.3">
      <c r="A276" s="57"/>
      <c r="B276" s="57"/>
      <c r="C276" s="57"/>
      <c r="D276" s="57"/>
      <c r="E276" s="57"/>
      <c r="F276" s="57"/>
      <c r="G276" s="57"/>
      <c r="H276" s="57"/>
      <c r="I276" s="57"/>
      <c r="J276" s="57"/>
      <c r="K276" s="57"/>
      <c r="L276" s="57"/>
      <c r="M276" s="3050"/>
      <c r="N276" s="3050"/>
      <c r="O276" s="3050"/>
      <c r="P276" s="57"/>
      <c r="Q276" s="3050"/>
      <c r="R276" s="28"/>
      <c r="S276" s="3050"/>
      <c r="T276" s="57"/>
      <c r="W276" s="1385"/>
    </row>
    <row r="277" spans="1:23" s="1394" customFormat="1" ht="14.5" x14ac:dyDescent="0.3">
      <c r="A277" s="57"/>
      <c r="B277" s="57"/>
      <c r="C277" s="57"/>
      <c r="D277" s="57"/>
      <c r="E277" s="57"/>
      <c r="F277" s="57"/>
      <c r="G277" s="57"/>
      <c r="H277" s="57"/>
      <c r="I277" s="57"/>
      <c r="J277" s="57"/>
      <c r="K277" s="57"/>
      <c r="L277" s="57"/>
      <c r="M277" s="3050"/>
      <c r="N277" s="3050"/>
      <c r="O277" s="3050"/>
      <c r="P277" s="57"/>
      <c r="Q277" s="3050"/>
      <c r="R277" s="28"/>
      <c r="S277" s="3050"/>
      <c r="T277" s="57"/>
      <c r="W277" s="1385"/>
    </row>
    <row r="278" spans="1:23" s="1394" customFormat="1" ht="14.5" x14ac:dyDescent="0.3">
      <c r="A278" s="57"/>
      <c r="B278" s="57"/>
      <c r="C278" s="57"/>
      <c r="D278" s="57"/>
      <c r="E278" s="57"/>
      <c r="F278" s="57"/>
      <c r="G278" s="57"/>
      <c r="H278" s="57"/>
      <c r="I278" s="57"/>
      <c r="J278" s="57"/>
      <c r="K278" s="57"/>
      <c r="L278" s="57"/>
      <c r="M278" s="3050"/>
      <c r="N278" s="3050"/>
      <c r="O278" s="3050"/>
      <c r="P278" s="57"/>
      <c r="Q278" s="3050"/>
      <c r="R278" s="28"/>
      <c r="S278" s="3050"/>
      <c r="T278" s="57"/>
      <c r="W278" s="1385"/>
    </row>
    <row r="279" spans="1:23" s="1394" customFormat="1" ht="14.5" x14ac:dyDescent="0.3">
      <c r="A279" s="57"/>
      <c r="B279" s="57"/>
      <c r="C279" s="57"/>
      <c r="D279" s="57"/>
      <c r="E279" s="57"/>
      <c r="F279" s="57"/>
      <c r="G279" s="57"/>
      <c r="H279" s="57"/>
      <c r="L279" s="3050"/>
      <c r="M279" s="3050"/>
      <c r="N279" s="3050"/>
      <c r="O279" s="3050"/>
      <c r="P279" s="57"/>
      <c r="Q279" s="3050"/>
      <c r="R279" s="28"/>
      <c r="S279" s="3050"/>
      <c r="T279" s="28"/>
      <c r="W279" s="1385"/>
    </row>
    <row r="280" spans="1:23" s="1394" customFormat="1" ht="14.5" x14ac:dyDescent="0.3">
      <c r="A280" s="57"/>
      <c r="B280" s="57"/>
      <c r="C280" s="57"/>
      <c r="D280" s="57"/>
      <c r="E280" s="57"/>
      <c r="F280" s="57"/>
      <c r="G280" s="57"/>
      <c r="H280" s="57"/>
      <c r="I280" s="57"/>
      <c r="J280" s="57"/>
      <c r="K280" s="57"/>
      <c r="L280" s="57"/>
      <c r="M280" s="3050"/>
      <c r="N280" s="3050"/>
      <c r="O280" s="3050"/>
      <c r="P280" s="57"/>
      <c r="Q280" s="3050"/>
      <c r="R280" s="28"/>
      <c r="S280" s="3050"/>
      <c r="T280" s="28"/>
      <c r="W280" s="1385"/>
    </row>
    <row r="281" spans="1:23" s="1394" customFormat="1" ht="14.5" x14ac:dyDescent="0.3">
      <c r="A281" s="57"/>
      <c r="B281" s="57"/>
      <c r="C281" s="57"/>
      <c r="D281" s="57"/>
      <c r="E281" s="57"/>
      <c r="F281" s="57"/>
      <c r="G281" s="57"/>
      <c r="H281" s="57"/>
      <c r="I281" s="57"/>
      <c r="J281" s="57"/>
      <c r="K281" s="57"/>
      <c r="L281" s="57"/>
      <c r="M281" s="3050"/>
      <c r="N281" s="3050"/>
      <c r="O281" s="3050"/>
      <c r="P281" s="57"/>
      <c r="Q281" s="3050"/>
      <c r="R281" s="28"/>
      <c r="S281" s="3050"/>
      <c r="T281" s="28"/>
      <c r="W281" s="1385"/>
    </row>
    <row r="282" spans="1:23" s="1394" customFormat="1" ht="14.5" x14ac:dyDescent="0.3">
      <c r="A282" s="57"/>
      <c r="B282" s="57"/>
      <c r="C282" s="57"/>
      <c r="D282" s="57"/>
      <c r="E282" s="57"/>
      <c r="F282" s="57"/>
      <c r="G282" s="57"/>
      <c r="H282" s="57"/>
      <c r="I282" s="57"/>
      <c r="J282" s="57"/>
      <c r="K282" s="57"/>
      <c r="L282" s="57"/>
      <c r="M282" s="3050"/>
      <c r="N282" s="3050"/>
      <c r="O282" s="3050"/>
      <c r="P282" s="57"/>
      <c r="Q282" s="3050"/>
      <c r="R282" s="28"/>
      <c r="S282" s="3050"/>
      <c r="T282" s="28"/>
      <c r="W282" s="1385"/>
    </row>
    <row r="283" spans="1:23" s="1394" customFormat="1" ht="14.5" x14ac:dyDescent="0.3">
      <c r="A283" s="57"/>
      <c r="B283" s="57"/>
      <c r="C283" s="57"/>
      <c r="D283" s="57"/>
      <c r="E283" s="57"/>
      <c r="F283" s="57"/>
      <c r="G283" s="57"/>
      <c r="H283" s="57"/>
      <c r="I283" s="57"/>
      <c r="J283" s="57"/>
      <c r="K283" s="57"/>
      <c r="L283" s="57"/>
      <c r="M283" s="3050"/>
      <c r="N283" s="3050"/>
      <c r="O283" s="3050"/>
      <c r="P283" s="57"/>
      <c r="Q283" s="3050"/>
      <c r="R283" s="28"/>
      <c r="S283" s="3050"/>
      <c r="T283" s="28"/>
      <c r="W283" s="1385"/>
    </row>
    <row r="284" spans="1:23" s="1394" customFormat="1" ht="14.5" x14ac:dyDescent="0.3">
      <c r="A284" s="57"/>
      <c r="B284" s="57"/>
      <c r="C284" s="57"/>
      <c r="D284" s="57"/>
      <c r="E284" s="57"/>
      <c r="F284" s="57"/>
      <c r="G284" s="57"/>
      <c r="H284" s="57"/>
      <c r="I284" s="57"/>
      <c r="J284" s="57"/>
      <c r="K284" s="57"/>
      <c r="L284" s="57"/>
      <c r="M284" s="3050"/>
      <c r="N284" s="3050"/>
      <c r="O284" s="3050"/>
      <c r="P284" s="57"/>
      <c r="Q284" s="3050"/>
      <c r="R284" s="28"/>
      <c r="S284" s="3050"/>
      <c r="T284" s="28"/>
      <c r="W284" s="1385"/>
    </row>
    <row r="285" spans="1:23" s="1394" customFormat="1" ht="14.5" x14ac:dyDescent="0.3">
      <c r="A285" s="57"/>
      <c r="B285" s="57"/>
      <c r="C285" s="57"/>
      <c r="D285" s="57"/>
      <c r="E285" s="57"/>
      <c r="F285" s="57"/>
      <c r="G285" s="57"/>
      <c r="H285" s="57"/>
      <c r="I285" s="57"/>
      <c r="J285" s="57"/>
      <c r="K285" s="57"/>
      <c r="L285" s="57"/>
      <c r="M285" s="3050"/>
      <c r="N285" s="3050"/>
      <c r="O285" s="3050"/>
      <c r="P285" s="57"/>
      <c r="Q285" s="3050"/>
      <c r="R285" s="28"/>
      <c r="S285" s="3050"/>
      <c r="T285" s="28"/>
      <c r="W285" s="1385"/>
    </row>
    <row r="286" spans="1:23" s="1394" customFormat="1" ht="14.5" x14ac:dyDescent="0.3">
      <c r="A286" s="57"/>
      <c r="B286" s="57"/>
      <c r="C286" s="57"/>
      <c r="D286" s="57"/>
      <c r="E286" s="57"/>
      <c r="F286" s="57"/>
      <c r="G286" s="57"/>
      <c r="H286" s="57"/>
      <c r="I286" s="57"/>
      <c r="J286" s="57"/>
      <c r="K286" s="57"/>
      <c r="L286" s="57"/>
      <c r="M286" s="3050"/>
      <c r="N286" s="3050"/>
      <c r="O286" s="3050"/>
      <c r="P286" s="57"/>
      <c r="Q286" s="3050"/>
      <c r="R286" s="28"/>
      <c r="S286" s="3050"/>
      <c r="T286" s="28"/>
      <c r="W286" s="1385"/>
    </row>
    <row r="287" spans="1:23" s="1394" customFormat="1" ht="14.5" x14ac:dyDescent="0.3">
      <c r="A287" s="57"/>
      <c r="B287" s="57"/>
      <c r="C287" s="57"/>
      <c r="D287" s="57"/>
      <c r="E287" s="57"/>
      <c r="F287" s="57"/>
      <c r="G287" s="57"/>
      <c r="H287" s="57"/>
      <c r="I287" s="57"/>
      <c r="J287" s="57"/>
      <c r="K287" s="57"/>
      <c r="L287" s="57"/>
      <c r="M287" s="3050"/>
      <c r="N287" s="3050"/>
      <c r="O287" s="3050"/>
      <c r="P287" s="57"/>
      <c r="Q287" s="3050"/>
      <c r="R287" s="28"/>
      <c r="S287" s="3050"/>
      <c r="T287" s="28"/>
      <c r="W287" s="1385"/>
    </row>
    <row r="288" spans="1:23" s="1394" customFormat="1" ht="14.5" x14ac:dyDescent="0.3">
      <c r="A288" s="57"/>
      <c r="B288" s="57"/>
      <c r="C288" s="57"/>
      <c r="D288" s="57"/>
      <c r="E288" s="57"/>
      <c r="F288" s="57"/>
      <c r="G288" s="57"/>
      <c r="H288" s="57"/>
      <c r="I288" s="57"/>
      <c r="J288" s="57"/>
      <c r="K288" s="57"/>
      <c r="L288" s="57"/>
      <c r="M288" s="3050"/>
      <c r="N288" s="3050"/>
      <c r="O288" s="3050"/>
      <c r="P288" s="57"/>
      <c r="Q288" s="3050"/>
      <c r="R288" s="28"/>
      <c r="S288" s="3050"/>
      <c r="T288" s="28"/>
      <c r="W288" s="1385"/>
    </row>
    <row r="289" spans="1:23" s="1394" customFormat="1" ht="14.5" x14ac:dyDescent="0.3">
      <c r="A289" s="57"/>
      <c r="B289" s="57"/>
      <c r="C289" s="57"/>
      <c r="D289" s="57"/>
      <c r="E289" s="57"/>
      <c r="F289" s="57"/>
      <c r="G289" s="57"/>
      <c r="H289" s="57"/>
      <c r="I289" s="57"/>
      <c r="J289" s="57"/>
      <c r="K289" s="57"/>
      <c r="L289" s="57"/>
      <c r="M289" s="3050"/>
      <c r="N289" s="3050"/>
      <c r="O289" s="3050"/>
      <c r="P289" s="57"/>
      <c r="Q289" s="3050"/>
      <c r="R289" s="28"/>
      <c r="S289" s="3050"/>
      <c r="T289" s="28"/>
      <c r="W289" s="1385"/>
    </row>
    <row r="290" spans="1:23" s="1394" customFormat="1" ht="14.5" x14ac:dyDescent="0.3">
      <c r="A290" s="57"/>
      <c r="B290" s="57"/>
      <c r="C290" s="57"/>
      <c r="D290" s="57"/>
      <c r="E290" s="57"/>
      <c r="F290" s="57"/>
      <c r="G290" s="57"/>
      <c r="H290" s="57"/>
      <c r="I290" s="57"/>
      <c r="J290" s="57"/>
      <c r="K290" s="57"/>
      <c r="L290" s="57"/>
      <c r="M290" s="3050"/>
      <c r="N290" s="3050"/>
      <c r="O290" s="3050"/>
      <c r="P290" s="57"/>
      <c r="Q290" s="3050"/>
      <c r="R290" s="28"/>
      <c r="S290" s="3050"/>
      <c r="T290" s="28"/>
      <c r="W290" s="1385"/>
    </row>
    <row r="291" spans="1:23" s="1394" customFormat="1" ht="14.5" x14ac:dyDescent="0.3">
      <c r="A291" s="57"/>
      <c r="B291" s="57"/>
      <c r="C291" s="57"/>
      <c r="D291" s="57"/>
      <c r="E291" s="57"/>
      <c r="F291" s="57"/>
      <c r="G291" s="57"/>
      <c r="H291" s="57"/>
      <c r="I291" s="57"/>
      <c r="J291" s="57"/>
      <c r="K291" s="57"/>
      <c r="L291" s="57"/>
      <c r="M291" s="3050"/>
      <c r="N291" s="3050"/>
      <c r="O291" s="3050"/>
      <c r="P291" s="57"/>
      <c r="Q291" s="3050"/>
      <c r="R291" s="28"/>
      <c r="S291" s="3050"/>
      <c r="T291" s="28"/>
      <c r="W291" s="1385"/>
    </row>
    <row r="292" spans="1:23" s="1394" customFormat="1" ht="14.5" x14ac:dyDescent="0.3">
      <c r="A292" s="57"/>
      <c r="B292" s="57"/>
      <c r="C292" s="57"/>
      <c r="D292" s="57"/>
      <c r="E292" s="57"/>
      <c r="F292" s="57"/>
      <c r="G292" s="57"/>
      <c r="H292" s="57"/>
      <c r="I292" s="57"/>
      <c r="J292" s="57"/>
      <c r="K292" s="57"/>
      <c r="L292" s="57"/>
      <c r="M292" s="3050"/>
      <c r="N292" s="3050"/>
      <c r="O292" s="3050"/>
      <c r="P292" s="57"/>
      <c r="Q292" s="3050"/>
      <c r="R292" s="28"/>
      <c r="S292" s="3050"/>
      <c r="T292" s="28"/>
      <c r="W292" s="1385"/>
    </row>
    <row r="293" spans="1:23" s="1394" customFormat="1" ht="14.5" x14ac:dyDescent="0.3">
      <c r="A293" s="57"/>
      <c r="B293" s="57"/>
      <c r="C293" s="57"/>
      <c r="D293" s="57"/>
      <c r="E293" s="57"/>
      <c r="F293" s="57"/>
      <c r="G293" s="57"/>
      <c r="H293" s="57"/>
      <c r="I293" s="57"/>
      <c r="J293" s="57"/>
      <c r="K293" s="57"/>
      <c r="L293" s="57"/>
      <c r="M293" s="3050"/>
      <c r="N293" s="3050"/>
      <c r="O293" s="3050"/>
      <c r="P293" s="57"/>
      <c r="Q293" s="3050"/>
      <c r="R293" s="28"/>
      <c r="S293" s="3050"/>
      <c r="T293" s="28"/>
      <c r="W293" s="1385"/>
    </row>
    <row r="294" spans="1:23" s="1394" customFormat="1" ht="14.5" x14ac:dyDescent="0.3">
      <c r="A294" s="57"/>
      <c r="B294" s="57"/>
      <c r="C294" s="57"/>
      <c r="D294" s="57"/>
      <c r="E294" s="57"/>
      <c r="F294" s="57"/>
      <c r="G294" s="57"/>
      <c r="H294" s="57"/>
      <c r="I294" s="57"/>
      <c r="J294" s="57"/>
      <c r="K294" s="57"/>
      <c r="L294" s="57"/>
      <c r="M294" s="3050"/>
      <c r="N294" s="3050"/>
      <c r="O294" s="3050"/>
      <c r="P294" s="57"/>
      <c r="Q294" s="3050"/>
      <c r="R294" s="28"/>
      <c r="S294" s="3050"/>
      <c r="T294" s="28"/>
      <c r="W294" s="1385"/>
    </row>
    <row r="295" spans="1:23" s="1394" customFormat="1" ht="14.5" x14ac:dyDescent="0.3">
      <c r="A295" s="57"/>
      <c r="B295" s="57"/>
      <c r="C295" s="57"/>
      <c r="D295" s="57"/>
      <c r="E295" s="57"/>
      <c r="F295" s="57"/>
      <c r="G295" s="57"/>
      <c r="H295" s="57"/>
      <c r="I295" s="57"/>
      <c r="J295" s="57"/>
      <c r="K295" s="57"/>
      <c r="L295" s="57"/>
      <c r="M295" s="3050"/>
      <c r="N295" s="3050"/>
      <c r="O295" s="3050"/>
      <c r="P295" s="57"/>
      <c r="Q295" s="3050"/>
      <c r="R295" s="28"/>
      <c r="S295" s="3050"/>
      <c r="T295" s="28"/>
      <c r="W295" s="1385"/>
    </row>
    <row r="296" spans="1:23" s="1394" customFormat="1" ht="14.5" x14ac:dyDescent="0.3">
      <c r="A296" s="57"/>
      <c r="B296" s="57"/>
      <c r="C296" s="57"/>
      <c r="D296" s="57"/>
      <c r="E296" s="57"/>
      <c r="F296" s="57"/>
      <c r="G296" s="57"/>
      <c r="H296" s="57"/>
      <c r="I296" s="57"/>
      <c r="J296" s="57"/>
      <c r="K296" s="57"/>
      <c r="L296" s="57"/>
      <c r="M296" s="3050"/>
      <c r="N296" s="3050"/>
      <c r="O296" s="3050"/>
      <c r="P296" s="57"/>
      <c r="Q296" s="3050"/>
      <c r="R296" s="28"/>
      <c r="S296" s="3050"/>
      <c r="T296" s="28"/>
      <c r="W296" s="1385"/>
    </row>
    <row r="297" spans="1:23" x14ac:dyDescent="0.3">
      <c r="A297" s="4720"/>
      <c r="B297" s="4720"/>
      <c r="C297" s="4720"/>
      <c r="D297" s="4720"/>
      <c r="E297" s="4720"/>
      <c r="F297" s="4720"/>
      <c r="G297" s="4720"/>
      <c r="H297" s="4720"/>
      <c r="I297" s="4720"/>
      <c r="J297" s="4720"/>
      <c r="K297" s="4720"/>
      <c r="L297" s="4720"/>
      <c r="M297" s="4720"/>
      <c r="N297" s="4720"/>
      <c r="O297" s="4720"/>
      <c r="P297" s="4720"/>
      <c r="Q297" s="4720"/>
      <c r="R297" s="4720"/>
      <c r="S297" s="4720"/>
      <c r="T297" s="4720"/>
    </row>
    <row r="299" spans="1:23" x14ac:dyDescent="0.3">
      <c r="A299" s="4720"/>
      <c r="B299" s="4720"/>
      <c r="C299" s="4720"/>
      <c r="D299" s="4720"/>
      <c r="E299" s="4720"/>
      <c r="F299" s="4720"/>
      <c r="G299" s="4720"/>
      <c r="H299" s="4720"/>
      <c r="I299" s="4720"/>
      <c r="J299" s="4720"/>
      <c r="K299" s="4720"/>
      <c r="L299" s="4720"/>
      <c r="M299" s="4720"/>
      <c r="N299" s="4720"/>
      <c r="O299" s="4720"/>
      <c r="P299" s="4720"/>
      <c r="Q299" s="4720"/>
      <c r="R299" s="4720"/>
      <c r="S299" s="4720"/>
      <c r="T299" s="4720"/>
    </row>
  </sheetData>
  <sheetProtection algorithmName="SHA-512" hashValue="vA1M9/PoRe/utJ6Sel5LlNKBVTUnleLB/l+RQIwrlwwPQtwEQN/gOvg0YwJE+SqL2YlaJOV5s/sA3ZzA2vFcDQ==" saltValue="wpeU5iz5+eg1f5y0TF1tbg==" spinCount="100000" sheet="1" formatCells="0" insertHyperlinks="0" selectLockedCells="1" autoFilter="0"/>
  <mergeCells count="122">
    <mergeCell ref="B2:D2"/>
    <mergeCell ref="B3:D3"/>
    <mergeCell ref="B1:D1"/>
    <mergeCell ref="U6:V6"/>
    <mergeCell ref="X6:Y6"/>
    <mergeCell ref="A44:C44"/>
    <mergeCell ref="D44:N44"/>
    <mergeCell ref="B7:D7"/>
    <mergeCell ref="V15:V17"/>
    <mergeCell ref="W15:W17"/>
    <mergeCell ref="O9:O13"/>
    <mergeCell ref="N9:N13"/>
    <mergeCell ref="M9:M13"/>
    <mergeCell ref="L9:L13"/>
    <mergeCell ref="K9:K13"/>
    <mergeCell ref="J9:J13"/>
    <mergeCell ref="U9:U13"/>
    <mergeCell ref="R9:R13"/>
    <mergeCell ref="Q9:Q13"/>
    <mergeCell ref="I9:I13"/>
    <mergeCell ref="H9:H13"/>
    <mergeCell ref="G9:G13"/>
    <mergeCell ref="F9:F13"/>
    <mergeCell ref="P9:P13"/>
    <mergeCell ref="A299:T299"/>
    <mergeCell ref="A297:T297"/>
    <mergeCell ref="A26:C26"/>
    <mergeCell ref="D26:N26"/>
    <mergeCell ref="A6:C6"/>
    <mergeCell ref="N6:T6"/>
    <mergeCell ref="N15:N17"/>
    <mergeCell ref="O15:O17"/>
    <mergeCell ref="Q15:Q17"/>
    <mergeCell ref="R15:R17"/>
    <mergeCell ref="D9:D13"/>
    <mergeCell ref="E9:E13"/>
    <mergeCell ref="B9:B13"/>
    <mergeCell ref="T9:T13"/>
    <mergeCell ref="S9:S13"/>
    <mergeCell ref="A52:C52"/>
    <mergeCell ref="D52:N52"/>
    <mergeCell ref="A116:C116"/>
    <mergeCell ref="D116:N116"/>
    <mergeCell ref="N119:N121"/>
    <mergeCell ref="O69:O73"/>
    <mergeCell ref="N69:N73"/>
    <mergeCell ref="O74:O76"/>
    <mergeCell ref="O82:O90"/>
    <mergeCell ref="Z9:Z13"/>
    <mergeCell ref="Y9:Y13"/>
    <mergeCell ref="X9:X13"/>
    <mergeCell ref="W9:W13"/>
    <mergeCell ref="V9:V13"/>
    <mergeCell ref="N82:N90"/>
    <mergeCell ref="O91:O93"/>
    <mergeCell ref="N91:N93"/>
    <mergeCell ref="V55:V65"/>
    <mergeCell ref="N74:N76"/>
    <mergeCell ref="O77:O81"/>
    <mergeCell ref="N77:N81"/>
    <mergeCell ref="Q34:Q38"/>
    <mergeCell ref="Q40:Q42"/>
    <mergeCell ref="O95:O102"/>
    <mergeCell ref="N95:N102"/>
    <mergeCell ref="N40:N42"/>
    <mergeCell ref="N34:N38"/>
    <mergeCell ref="N28:N32"/>
    <mergeCell ref="W28:W32"/>
    <mergeCell ref="W34:W38"/>
    <mergeCell ref="W40:W42"/>
    <mergeCell ref="V40:V42"/>
    <mergeCell ref="V34:V38"/>
    <mergeCell ref="V28:V32"/>
    <mergeCell ref="R40:R42"/>
    <mergeCell ref="R34:R38"/>
    <mergeCell ref="O28:O32"/>
    <mergeCell ref="O34:O38"/>
    <mergeCell ref="O40:O42"/>
    <mergeCell ref="V77:V81"/>
    <mergeCell ref="O55:O65"/>
    <mergeCell ref="N55:N65"/>
    <mergeCell ref="O46:O50"/>
    <mergeCell ref="N46:N50"/>
    <mergeCell ref="W46:W50"/>
    <mergeCell ref="V46:V50"/>
    <mergeCell ref="W55:W65"/>
    <mergeCell ref="N173:N180"/>
    <mergeCell ref="O173:O180"/>
    <mergeCell ref="O182:O188"/>
    <mergeCell ref="N182:N188"/>
    <mergeCell ref="O189:O203"/>
    <mergeCell ref="N189:N203"/>
    <mergeCell ref="O104:O112"/>
    <mergeCell ref="N104:N112"/>
    <mergeCell ref="O119:O121"/>
    <mergeCell ref="O123:O168"/>
    <mergeCell ref="N123:N168"/>
    <mergeCell ref="A170:N170"/>
    <mergeCell ref="A4:D4"/>
    <mergeCell ref="W182:W188"/>
    <mergeCell ref="V182:V188"/>
    <mergeCell ref="W189:W203"/>
    <mergeCell ref="V189:V203"/>
    <mergeCell ref="V82:V90"/>
    <mergeCell ref="W104:W112"/>
    <mergeCell ref="V104:V112"/>
    <mergeCell ref="W119:W121"/>
    <mergeCell ref="W123:W168"/>
    <mergeCell ref="W173:W180"/>
    <mergeCell ref="V173:V180"/>
    <mergeCell ref="W82:W90"/>
    <mergeCell ref="W91:W93"/>
    <mergeCell ref="V91:V93"/>
    <mergeCell ref="W95:W102"/>
    <mergeCell ref="V95:V102"/>
    <mergeCell ref="V119:V121"/>
    <mergeCell ref="V123:V168"/>
    <mergeCell ref="W69:W73"/>
    <mergeCell ref="V69:V73"/>
    <mergeCell ref="W74:W76"/>
    <mergeCell ref="V74:V76"/>
    <mergeCell ref="W77:W81"/>
  </mergeCells>
  <conditionalFormatting sqref="B23">
    <cfRule type="expression" dxfId="4419" priority="607">
      <formula>IF($E23=TRUE,TRUE,FALSE)</formula>
    </cfRule>
  </conditionalFormatting>
  <conditionalFormatting sqref="B21">
    <cfRule type="expression" dxfId="4418" priority="606">
      <formula>IF($E21=TRUE,TRUE,FALSE)</formula>
    </cfRule>
  </conditionalFormatting>
  <conditionalFormatting sqref="B22">
    <cfRule type="expression" dxfId="4417" priority="605">
      <formula>IF($E22=TRUE,TRUE,FALSE)</formula>
    </cfRule>
  </conditionalFormatting>
  <conditionalFormatting sqref="B24">
    <cfRule type="expression" dxfId="4416" priority="604">
      <formula>IF($E24=TRUE,TRUE,FALSE)</formula>
    </cfRule>
  </conditionalFormatting>
  <conditionalFormatting sqref="D21:D24">
    <cfRule type="expression" dxfId="4415" priority="603">
      <formula>IF($E21,TRUE)</formula>
    </cfRule>
  </conditionalFormatting>
  <conditionalFormatting sqref="B47:B50">
    <cfRule type="expression" dxfId="4414" priority="600">
      <formula>IF(AND($E47=FALSE,OR($I47&lt;&gt;"",$L47&lt;&gt;"")),TRUE,FALSE)</formula>
    </cfRule>
    <cfRule type="expression" dxfId="4413" priority="601">
      <formula>IF(AND($E47=TRUE,$I47&lt;&gt;"",$L47&lt;&gt;""),TRUE,FALSE)</formula>
    </cfRule>
    <cfRule type="expression" dxfId="4412" priority="602">
      <formula>IF(AND($E47=TRUE,OR($I47="",$L47="")),TRUE,FALSE)</formula>
    </cfRule>
  </conditionalFormatting>
  <conditionalFormatting sqref="B57:B60">
    <cfRule type="expression" dxfId="4411" priority="597">
      <formula>IF(AND($E57=FALSE,OR($I57&lt;&gt;"",$L57&lt;&gt;"")),TRUE,FALSE)</formula>
    </cfRule>
    <cfRule type="expression" dxfId="4410" priority="598">
      <formula>IF(AND($E57=TRUE,$I57&lt;&gt;"",$L57&lt;&gt;""),TRUE,FALSE)</formula>
    </cfRule>
    <cfRule type="expression" dxfId="4409" priority="599">
      <formula>IF(AND($E57=TRUE,OR($I57="",$L57="")),TRUE,FALSE)</formula>
    </cfRule>
  </conditionalFormatting>
  <conditionalFormatting sqref="B62:B65">
    <cfRule type="expression" dxfId="4408" priority="594">
      <formula>IF(AND($E62=FALSE,OR($I62&lt;&gt;"",$L62&lt;&gt;"")),TRUE,FALSE)</formula>
    </cfRule>
    <cfRule type="expression" dxfId="4407" priority="595">
      <formula>IF(AND($E62=TRUE,$I62&lt;&gt;"",$L62&lt;&gt;""),TRUE,FALSE)</formula>
    </cfRule>
    <cfRule type="expression" dxfId="4406" priority="596">
      <formula>IF(AND($E62=TRUE,OR($I62="",$L62="")),TRUE,FALSE)</formula>
    </cfRule>
  </conditionalFormatting>
  <conditionalFormatting sqref="B68">
    <cfRule type="expression" dxfId="4405" priority="591">
      <formula>IF(AND($E68=FALSE,OR($I68&lt;&gt;"",$L68&lt;&gt;"")),TRUE,FALSE)</formula>
    </cfRule>
    <cfRule type="expression" dxfId="4404" priority="592">
      <formula>IF(AND($E68=TRUE,$I68&lt;&gt;"",$L68&lt;&gt;""),TRUE,FALSE)</formula>
    </cfRule>
    <cfRule type="expression" dxfId="4403" priority="593">
      <formula>IF(AND($E68=TRUE,OR($I68="",$L68="")),TRUE,FALSE)</formula>
    </cfRule>
  </conditionalFormatting>
  <conditionalFormatting sqref="B70:B73">
    <cfRule type="expression" dxfId="4402" priority="588">
      <formula>IF(AND($E70=FALSE,OR($I70&lt;&gt;"",$L70&lt;&gt;"")),TRUE,FALSE)</formula>
    </cfRule>
    <cfRule type="expression" dxfId="4401" priority="589">
      <formula>IF(AND($E70=TRUE,$I70&lt;&gt;"",$L70&lt;&gt;""),TRUE,FALSE)</formula>
    </cfRule>
    <cfRule type="expression" dxfId="4400" priority="590">
      <formula>IF(AND($E70=TRUE,OR($I70="",$L70="")),TRUE,FALSE)</formula>
    </cfRule>
  </conditionalFormatting>
  <conditionalFormatting sqref="B75:B76">
    <cfRule type="expression" dxfId="4399" priority="585">
      <formula>IF(AND($E75=FALSE,OR($I75&lt;&gt;"",$L75&lt;&gt;"")),TRUE,FALSE)</formula>
    </cfRule>
    <cfRule type="expression" dxfId="4398" priority="586">
      <formula>IF(AND($E75=TRUE,$I75&lt;&gt;"",$L75&lt;&gt;""),TRUE,FALSE)</formula>
    </cfRule>
    <cfRule type="expression" dxfId="4397" priority="587">
      <formula>IF(AND($E75=TRUE,OR($I75="",$L75="")),TRUE,FALSE)</formula>
    </cfRule>
  </conditionalFormatting>
  <conditionalFormatting sqref="B78:B81">
    <cfRule type="expression" dxfId="4396" priority="582">
      <formula>IF(AND($E78=FALSE,OR($I78&lt;&gt;"",$L78&lt;&gt;"")),TRUE,FALSE)</formula>
    </cfRule>
    <cfRule type="expression" dxfId="4395" priority="583">
      <formula>IF(AND($E78=TRUE,$I78&lt;&gt;"",$L78&lt;&gt;""),TRUE,FALSE)</formula>
    </cfRule>
    <cfRule type="expression" dxfId="4394" priority="584">
      <formula>IF(AND($E78=TRUE,OR($I78="",$L78="")),TRUE,FALSE)</formula>
    </cfRule>
  </conditionalFormatting>
  <conditionalFormatting sqref="B83:B86">
    <cfRule type="expression" dxfId="4393" priority="579">
      <formula>IF(AND($E83=FALSE,OR($I83&lt;&gt;"",$L83&lt;&gt;"")),TRUE,FALSE)</formula>
    </cfRule>
    <cfRule type="expression" dxfId="4392" priority="580">
      <formula>IF(AND($E83=TRUE,$I83&lt;&gt;"",$L83&lt;&gt;""),TRUE,FALSE)</formula>
    </cfRule>
    <cfRule type="expression" dxfId="4391" priority="581">
      <formula>IF(AND($E83=TRUE,OR($I83="",$L83="")),TRUE,FALSE)</formula>
    </cfRule>
  </conditionalFormatting>
  <conditionalFormatting sqref="B87:B90">
    <cfRule type="expression" dxfId="4390" priority="576">
      <formula>IF(AND($E87=FALSE,OR($I87&lt;&gt;"",$L87&lt;&gt;"")),TRUE,FALSE)</formula>
    </cfRule>
    <cfRule type="expression" dxfId="4389" priority="577">
      <formula>IF(AND($E87=TRUE,$I87&lt;&gt;"",$L87&lt;&gt;""),TRUE,FALSE)</formula>
    </cfRule>
    <cfRule type="expression" dxfId="4388" priority="578">
      <formula>IF(AND($E87=TRUE,OR($I87="",$L87="")),TRUE,FALSE)</formula>
    </cfRule>
  </conditionalFormatting>
  <conditionalFormatting sqref="B92:B93">
    <cfRule type="expression" dxfId="4387" priority="573">
      <formula>IF(AND($E92=FALSE,OR($I92&lt;&gt;"",$L92&lt;&gt;"")),TRUE,FALSE)</formula>
    </cfRule>
    <cfRule type="expression" dxfId="4386" priority="574">
      <formula>IF(AND($E92=TRUE,$I92&lt;&gt;"",$L92&lt;&gt;""),TRUE,FALSE)</formula>
    </cfRule>
    <cfRule type="expression" dxfId="4385" priority="575">
      <formula>IF(AND($E92=TRUE,OR($I92="",$L92="")),TRUE,FALSE)</formula>
    </cfRule>
  </conditionalFormatting>
  <conditionalFormatting sqref="B97:B102">
    <cfRule type="expression" dxfId="4384" priority="570">
      <formula>IF(AND($E97=FALSE,OR($I97&lt;&gt;"",$L97&lt;&gt;"")),TRUE,FALSE)</formula>
    </cfRule>
    <cfRule type="expression" dxfId="4383" priority="571">
      <formula>IF(AND($E97=TRUE,$I97&lt;&gt;"",$L97&lt;&gt;""),TRUE,FALSE)</formula>
    </cfRule>
    <cfRule type="expression" dxfId="4382" priority="572">
      <formula>IF(AND($E97=TRUE,OR($I97="",$L97="")),TRUE,FALSE)</formula>
    </cfRule>
  </conditionalFormatting>
  <conditionalFormatting sqref="B106:B112">
    <cfRule type="expression" dxfId="4381" priority="567">
      <formula>IF(AND($E106=FALSE,OR($I106&lt;&gt;"",$L106&lt;&gt;"")),TRUE,FALSE)</formula>
    </cfRule>
    <cfRule type="expression" dxfId="4380" priority="568">
      <formula>IF(AND($E106=TRUE,$I106&lt;&gt;"",$L106&lt;&gt;""),TRUE,FALSE)</formula>
    </cfRule>
    <cfRule type="expression" dxfId="4379" priority="569">
      <formula>IF(AND($E106=TRUE,OR($I106="",$L106="")),TRUE,FALSE)</formula>
    </cfRule>
  </conditionalFormatting>
  <conditionalFormatting sqref="B114">
    <cfRule type="expression" dxfId="4378" priority="564">
      <formula>IF(AND($E114=FALSE,OR($I114&lt;&gt;"",$L114&lt;&gt;"")),TRUE,FALSE)</formula>
    </cfRule>
    <cfRule type="expression" dxfId="4377" priority="565">
      <formula>IF(AND($E114=TRUE,$I114&lt;&gt;"",$L114&lt;&gt;""),TRUE,FALSE)</formula>
    </cfRule>
    <cfRule type="expression" dxfId="4376" priority="566">
      <formula>IF(AND($E114=TRUE,OR($I114="",$L114="")),TRUE,FALSE)</formula>
    </cfRule>
  </conditionalFormatting>
  <conditionalFormatting sqref="B120:B122">
    <cfRule type="expression" dxfId="4375" priority="561">
      <formula>IF(AND($E120=FALSE,OR($I120&lt;&gt;"",$L120&lt;&gt;"")),TRUE,FALSE)</formula>
    </cfRule>
    <cfRule type="expression" dxfId="4374" priority="562">
      <formula>IF(AND($E120=TRUE,$I120&lt;&gt;"",$L120&lt;&gt;""),TRUE,FALSE)</formula>
    </cfRule>
    <cfRule type="expression" dxfId="4373" priority="563">
      <formula>IF(AND($E120=TRUE,OR($I120="",$L120="")),TRUE,FALSE)</formula>
    </cfRule>
  </conditionalFormatting>
  <conditionalFormatting sqref="B124:B168">
    <cfRule type="expression" dxfId="4372" priority="558">
      <formula>IF(AND($E124=FALSE,OR($I124&lt;&gt;"",$L124&lt;&gt;"")),TRUE,FALSE)</formula>
    </cfRule>
    <cfRule type="expression" dxfId="4371" priority="559">
      <formula>IF(AND($E124=TRUE,$I124&lt;&gt;"",$L124&lt;&gt;""),TRUE,FALSE)</formula>
    </cfRule>
    <cfRule type="expression" dxfId="4370" priority="560">
      <formula>IF(AND($E124=TRUE,OR($I124="",$L124="")),TRUE,FALSE)</formula>
    </cfRule>
  </conditionalFormatting>
  <conditionalFormatting sqref="B175:B179">
    <cfRule type="expression" dxfId="4369" priority="555">
      <formula>IF(AND($E175=FALSE,OR($I175&lt;&gt;"",$L175&lt;&gt;"")),TRUE,FALSE)</formula>
    </cfRule>
    <cfRule type="expression" dxfId="4368" priority="556">
      <formula>IF(AND($E175=TRUE,$I175&lt;&gt;"",$L175&lt;&gt;""),TRUE,FALSE)</formula>
    </cfRule>
    <cfRule type="expression" dxfId="4367" priority="557">
      <formula>IF(AND($E175=TRUE,OR($I175="",$L175="")),TRUE,FALSE)</formula>
    </cfRule>
  </conditionalFormatting>
  <conditionalFormatting sqref="B180">
    <cfRule type="expression" dxfId="4366" priority="552">
      <formula>IF(AND($E180=FALSE,OR($I180&lt;&gt;"",$L180&lt;&gt;"")),TRUE,FALSE)</formula>
    </cfRule>
    <cfRule type="expression" dxfId="4365" priority="553">
      <formula>IF(AND($E180=TRUE,$I180&lt;&gt;"",$L180&lt;&gt;""),TRUE,FALSE)</formula>
    </cfRule>
    <cfRule type="expression" dxfId="4364" priority="554">
      <formula>IF(AND($E180=TRUE,OR($I180="",$L180="")),TRUE,FALSE)</formula>
    </cfRule>
  </conditionalFormatting>
  <conditionalFormatting sqref="B184:B188">
    <cfRule type="expression" dxfId="4363" priority="549">
      <formula>IF(AND($E184=FALSE,OR($I184&lt;&gt;"",$L184&lt;&gt;"")),TRUE,FALSE)</formula>
    </cfRule>
    <cfRule type="expression" dxfId="4362" priority="550">
      <formula>IF(AND($E184=TRUE,$I184&lt;&gt;"",$L184&lt;&gt;""),TRUE,FALSE)</formula>
    </cfRule>
    <cfRule type="expression" dxfId="4361" priority="551">
      <formula>IF(AND($E184=TRUE,OR($I184="",$L184="")),TRUE,FALSE)</formula>
    </cfRule>
  </conditionalFormatting>
  <conditionalFormatting sqref="B190:B197">
    <cfRule type="expression" dxfId="4360" priority="546">
      <formula>IF(AND($E190=FALSE,OR($I190&lt;&gt;"",$L190&lt;&gt;"")),TRUE,FALSE)</formula>
    </cfRule>
    <cfRule type="expression" dxfId="4359" priority="547">
      <formula>IF(AND($E190=TRUE,$I190&lt;&gt;"",$L190&lt;&gt;""),TRUE,FALSE)</formula>
    </cfRule>
    <cfRule type="expression" dxfId="4358" priority="548">
      <formula>IF(AND($E190=TRUE,OR($I190="",$L190="")),TRUE,FALSE)</formula>
    </cfRule>
  </conditionalFormatting>
  <conditionalFormatting sqref="B198:B202">
    <cfRule type="expression" dxfId="4357" priority="543">
      <formula>IF(AND($E198=FALSE,OR($I198&lt;&gt;"",$L198&lt;&gt;"")),TRUE,FALSE)</formula>
    </cfRule>
    <cfRule type="expression" dxfId="4356" priority="544">
      <formula>IF(AND($E198=TRUE,$I198&lt;&gt;"",$L198&lt;&gt;""),TRUE,FALSE)</formula>
    </cfRule>
    <cfRule type="expression" dxfId="4355" priority="545">
      <formula>IF(AND($E198=TRUE,OR($I198="",$L198="")),TRUE,FALSE)</formula>
    </cfRule>
  </conditionalFormatting>
  <conditionalFormatting sqref="B203">
    <cfRule type="expression" dxfId="4354" priority="540">
      <formula>IF(AND($E203=FALSE,OR($I203&lt;&gt;"",$L203&lt;&gt;"")),TRUE,FALSE)</formula>
    </cfRule>
    <cfRule type="expression" dxfId="4353" priority="541">
      <formula>IF(AND($E203=TRUE,$I203&lt;&gt;"",$L203&lt;&gt;""),TRUE,FALSE)</formula>
    </cfRule>
    <cfRule type="expression" dxfId="4352" priority="542">
      <formula>IF(AND($E203=TRUE,OR($I203="",$L203="")),TRUE,FALSE)</formula>
    </cfRule>
  </conditionalFormatting>
  <conditionalFormatting sqref="B15">
    <cfRule type="expression" dxfId="4351" priority="538">
      <formula>IF(AND($E16,TRUE,$E17,TRUE),TRUE,FALSE)</formula>
    </cfRule>
    <cfRule type="expression" dxfId="4350" priority="539">
      <formula>IF($E15,TRUE)</formula>
    </cfRule>
  </conditionalFormatting>
  <conditionalFormatting sqref="B16:B17">
    <cfRule type="expression" dxfId="4349" priority="533">
      <formula>IF(AND($E$16=TRUE,$E$17=TRUE),TRUE,FALSE)</formula>
    </cfRule>
    <cfRule type="expression" dxfId="4348" priority="534">
      <formula>IF(AND($E16=FALSE,OR($I16&lt;&gt;"",$L16&lt;&gt;"")),TRUE,FALSE)</formula>
    </cfRule>
    <cfRule type="expression" dxfId="4347" priority="535">
      <formula>IF(AND($E16=TRUE,OR($I16="",$J16="")),TRUE,FALSE)</formula>
    </cfRule>
    <cfRule type="expression" dxfId="4346" priority="536">
      <formula>IF(AND($E16=TRUE,OR($I16&lt;&gt;"",$L16="")),TRUE,FALSE)</formula>
    </cfRule>
    <cfRule type="expression" dxfId="4345" priority="537">
      <formula>IF(AND($F$15&gt;0,$D16="",$E16=FALSE),TRUE,FALSE)</formula>
    </cfRule>
  </conditionalFormatting>
  <conditionalFormatting sqref="B54 D54">
    <cfRule type="expression" dxfId="4344" priority="510">
      <formula>IF($E54,TRUE)</formula>
    </cfRule>
  </conditionalFormatting>
  <conditionalFormatting sqref="B55 D55">
    <cfRule type="expression" dxfId="4343" priority="509">
      <formula>IF($E55,TRUE)</formula>
    </cfRule>
  </conditionalFormatting>
  <conditionalFormatting sqref="B56 D56">
    <cfRule type="expression" dxfId="4342" priority="508">
      <formula>IF($E56,TRUE)</formula>
    </cfRule>
  </conditionalFormatting>
  <conditionalFormatting sqref="B46 D46">
    <cfRule type="expression" dxfId="4341" priority="507">
      <formula>IF($E46,TRUE)</formula>
    </cfRule>
  </conditionalFormatting>
  <conditionalFormatting sqref="B9">
    <cfRule type="expression" dxfId="4340" priority="504">
      <formula>IF($E9,TRUE)</formula>
    </cfRule>
  </conditionalFormatting>
  <conditionalFormatting sqref="B19">
    <cfRule type="expression" dxfId="4339" priority="489">
      <formula>IF($E19,TRUE)</formula>
    </cfRule>
  </conditionalFormatting>
  <conditionalFormatting sqref="D29">
    <cfRule type="expression" dxfId="4338" priority="481">
      <formula>IF($D29="Compliant",TRUE)</formula>
    </cfRule>
    <cfRule type="expression" dxfId="4337" priority="482">
      <formula>IF($D29=" ",TRUE)</formula>
    </cfRule>
    <cfRule type="expression" dxfId="4336" priority="488">
      <formula>IF($D29="Not Compliant",TRUE)</formula>
    </cfRule>
  </conditionalFormatting>
  <conditionalFormatting sqref="D30">
    <cfRule type="expression" dxfId="4335" priority="473">
      <formula>IF($D30="Compliant",TRUE)</formula>
    </cfRule>
    <cfRule type="expression" dxfId="4334" priority="474">
      <formula>IF($D30=" ",TRUE)</formula>
    </cfRule>
    <cfRule type="expression" dxfId="4333" priority="480">
      <formula>IF($D30="Not Compliant",TRUE)</formula>
    </cfRule>
  </conditionalFormatting>
  <conditionalFormatting sqref="D31">
    <cfRule type="expression" dxfId="4332" priority="465">
      <formula>IF($D31="Compliant",TRUE)</formula>
    </cfRule>
    <cfRule type="expression" dxfId="4331" priority="466">
      <formula>IF($D31=" ",TRUE)</formula>
    </cfRule>
    <cfRule type="expression" dxfId="4330" priority="472">
      <formula>IF($D31="Not Compliant",TRUE)</formula>
    </cfRule>
  </conditionalFormatting>
  <conditionalFormatting sqref="B35:B38">
    <cfRule type="expression" dxfId="4329" priority="434">
      <formula>IF(AND($E35=TRUE,$C$34="Not Applicable"),TRUE,FALSE)</formula>
    </cfRule>
    <cfRule type="expression" dxfId="4328" priority="456">
      <formula>IF(AND($E35=TRUE,$F$34&gt;1),TRUE,FALSE)</formula>
    </cfRule>
    <cfRule type="expression" dxfId="4327" priority="457">
      <formula>IF(AND($E35=TRUE,$I35&lt;&gt;"",$L35&lt;&gt;""),TRUE,FALSE)</formula>
    </cfRule>
    <cfRule type="expression" dxfId="4326" priority="458">
      <formula>IF(AND($E35=TRUE,OR($I35="",$L35="")),TRUE,FALSE)</formula>
    </cfRule>
    <cfRule type="expression" dxfId="4325" priority="459">
      <formula>IF(AND($E35=FALSE,OR($G35="Not Blank",$J35="Not Blank")),TRUE,FALSE)</formula>
    </cfRule>
    <cfRule type="expression" dxfId="4324" priority="460">
      <formula>IF(AND($E35=FALSE,$F$34&gt;0),TRUE,FALSE)</formula>
    </cfRule>
  </conditionalFormatting>
  <conditionalFormatting sqref="B41:B42">
    <cfRule type="expression" dxfId="4323" priority="429">
      <formula>IF(AND($E41=TRUE,$C$40&lt;&gt;"Applicable"),TRUE,FALSE)</formula>
    </cfRule>
    <cfRule type="expression" dxfId="4322" priority="452">
      <formula>IF(AND($E41=TRUE,$I41&lt;&gt;"",$L41&lt;&gt;""),TRUE,FALSE)</formula>
    </cfRule>
    <cfRule type="expression" dxfId="4321" priority="453">
      <formula>IF(AND($E41=TRUE,OR($I41="",$L41="")),TRUE,FALSE)</formula>
    </cfRule>
    <cfRule type="expression" dxfId="4320" priority="454">
      <formula>IF(AND($E41=FALSE,OR($G41="Not Blank",$J41="Not Blank")),TRUE,FALSE)</formula>
    </cfRule>
    <cfRule type="expression" dxfId="4319" priority="455">
      <formula>IF(AND($E41=FALSE,$F$40&gt;0),TRUE,FALSE)</formula>
    </cfRule>
  </conditionalFormatting>
  <conditionalFormatting sqref="B34 D34">
    <cfRule type="expression" dxfId="4318" priority="433">
      <formula>IF(AND($C34&lt;&gt;"Applicable",$F34&gt;0),TRUE,FALSE)</formula>
    </cfRule>
    <cfRule type="expression" dxfId="4317" priority="463">
      <formula>IF($F34&gt;1,TRUE)</formula>
    </cfRule>
    <cfRule type="expression" dxfId="4316" priority="464">
      <formula>IF(AND($E34,TRUE,$F34=1),TRUE)</formula>
    </cfRule>
  </conditionalFormatting>
  <conditionalFormatting sqref="B40 D40">
    <cfRule type="expression" dxfId="4315" priority="430">
      <formula>IF(AND($C40&lt;&gt;"Applicable",$F40&gt;0),TRUE,FALSE)</formula>
    </cfRule>
    <cfRule type="expression" dxfId="4314" priority="431">
      <formula>IF($F40&gt;2,TRUE)</formula>
    </cfRule>
    <cfRule type="expression" dxfId="4313" priority="432">
      <formula>IF(AND($E40,TRUE,$F40=2),TRUE)</formula>
    </cfRule>
  </conditionalFormatting>
  <conditionalFormatting sqref="B123 D123">
    <cfRule type="expression" dxfId="4312" priority="428">
      <formula>IF($E123,TRUE)</formula>
    </cfRule>
  </conditionalFormatting>
  <conditionalFormatting sqref="B172 D172">
    <cfRule type="expression" dxfId="4311" priority="427">
      <formula>IF($E172,TRUE)</formula>
    </cfRule>
  </conditionalFormatting>
  <conditionalFormatting sqref="B173 D173">
    <cfRule type="expression" dxfId="4310" priority="426">
      <formula>IF($E173,TRUE)</formula>
    </cfRule>
  </conditionalFormatting>
  <conditionalFormatting sqref="B174 D174">
    <cfRule type="expression" dxfId="4309" priority="425">
      <formula>IF($E174,TRUE)</formula>
    </cfRule>
  </conditionalFormatting>
  <conditionalFormatting sqref="B182 D182">
    <cfRule type="expression" dxfId="4308" priority="424">
      <formula>IF($E182,TRUE)</formula>
    </cfRule>
  </conditionalFormatting>
  <conditionalFormatting sqref="B183 D183">
    <cfRule type="expression" dxfId="4307" priority="423">
      <formula>IF($E183,TRUE)</formula>
    </cfRule>
  </conditionalFormatting>
  <conditionalFormatting sqref="B189 D189">
    <cfRule type="expression" dxfId="4306" priority="422">
      <formula>IF($E189,TRUE)</formula>
    </cfRule>
  </conditionalFormatting>
  <conditionalFormatting sqref="B104 D104">
    <cfRule type="expression" dxfId="4305" priority="421">
      <formula>IF($E104,TRUE)</formula>
    </cfRule>
  </conditionalFormatting>
  <conditionalFormatting sqref="B105 D105">
    <cfRule type="expression" dxfId="4304" priority="420">
      <formula>IF($E105,TRUE)</formula>
    </cfRule>
  </conditionalFormatting>
  <conditionalFormatting sqref="B96 D96">
    <cfRule type="expression" dxfId="4303" priority="419">
      <formula>IF($E96,TRUE)</formula>
    </cfRule>
  </conditionalFormatting>
  <conditionalFormatting sqref="B95 D95">
    <cfRule type="expression" dxfId="4302" priority="418">
      <formula>IF($E95,TRUE)</formula>
    </cfRule>
  </conditionalFormatting>
  <conditionalFormatting sqref="B91 D91">
    <cfRule type="expression" dxfId="4301" priority="417">
      <formula>IF($E91,TRUE)</formula>
    </cfRule>
  </conditionalFormatting>
  <conditionalFormatting sqref="B82 D82">
    <cfRule type="expression" dxfId="4300" priority="416">
      <formula>IF($E82,TRUE)</formula>
    </cfRule>
  </conditionalFormatting>
  <conditionalFormatting sqref="B77 D77">
    <cfRule type="expression" dxfId="4299" priority="415">
      <formula>IF($E77,TRUE)</formula>
    </cfRule>
  </conditionalFormatting>
  <conditionalFormatting sqref="B74 D74">
    <cfRule type="expression" dxfId="4298" priority="414">
      <formula>IF($E74,TRUE)</formula>
    </cfRule>
  </conditionalFormatting>
  <conditionalFormatting sqref="B69 D69">
    <cfRule type="expression" dxfId="4297" priority="413">
      <formula>IF($E69,TRUE)</formula>
    </cfRule>
  </conditionalFormatting>
  <conditionalFormatting sqref="B67 D67">
    <cfRule type="expression" dxfId="4296" priority="412">
      <formula>IF($E67,TRUE)</formula>
    </cfRule>
  </conditionalFormatting>
  <conditionalFormatting sqref="B61 D61">
    <cfRule type="expression" dxfId="4295" priority="411">
      <formula>IF($E61,TRUE)</formula>
    </cfRule>
  </conditionalFormatting>
  <conditionalFormatting sqref="B119 D119">
    <cfRule type="expression" dxfId="4294" priority="409">
      <formula>IF($E119,TRUE)</formula>
    </cfRule>
  </conditionalFormatting>
  <conditionalFormatting sqref="B118 D118">
    <cfRule type="expression" dxfId="4293" priority="404">
      <formula>IF($E118,TRUE)</formula>
    </cfRule>
  </conditionalFormatting>
  <conditionalFormatting sqref="B29:B32">
    <cfRule type="expression" dxfId="4292" priority="397">
      <formula>IF(AND($E29=TRUE,$F$28&gt;1),TRUE,FALSE)</formula>
    </cfRule>
    <cfRule type="expression" dxfId="4291" priority="398">
      <formula>IF(AND($E29=TRUE,$I29&lt;&gt;"",$L29&lt;&gt;""),TRUE,FALSE)</formula>
    </cfRule>
    <cfRule type="expression" dxfId="4290" priority="399">
      <formula>IF(AND($E29=TRUE,OR($I29="",$L29="")),TRUE,FALSE)</formula>
    </cfRule>
    <cfRule type="expression" dxfId="4289" priority="400">
      <formula>IF(AND($E29=FALSE,OR($G29="Not Blank",$J29="Not Blank")),TRUE,FALSE)</formula>
    </cfRule>
    <cfRule type="expression" dxfId="4288" priority="401">
      <formula>IF(AND($E29=FALSE,$F$28&gt;0),TRUE,FALSE)</formula>
    </cfRule>
  </conditionalFormatting>
  <conditionalFormatting sqref="B28 D28">
    <cfRule type="expression" dxfId="4287" priority="402">
      <formula>IF($F28&gt;1,TRUE)</formula>
    </cfRule>
    <cfRule type="expression" dxfId="4286" priority="403">
      <formula>IF(AND($E28,TRUE,$F28=1),TRUE)</formula>
    </cfRule>
  </conditionalFormatting>
  <conditionalFormatting sqref="W21:W24">
    <cfRule type="expression" dxfId="4285" priority="386">
      <formula>IF($X21,TRUE)</formula>
    </cfRule>
  </conditionalFormatting>
  <conditionalFormatting sqref="N28 N55 N68 N182">
    <cfRule type="expression" dxfId="4284" priority="377">
      <formula>IF($N28="Compliant",TRUE)</formula>
    </cfRule>
    <cfRule type="expression" dxfId="4283" priority="378">
      <formula>IF($N28="FE with work-a-round",TRUE)</formula>
    </cfRule>
    <cfRule type="expression" dxfId="4282" priority="379">
      <formula>IF($N28="Functionally Equivalent",TRUE)</formula>
    </cfRule>
    <cfRule type="expression" dxfId="4281" priority="380">
      <formula>IF($N28="Likely to become compliant",TRUE)</formula>
    </cfRule>
    <cfRule type="expression" dxfId="4280" priority="381">
      <formula>IF($N28="Partly Compliant",TRUE)</formula>
    </cfRule>
    <cfRule type="expression" dxfId="4279" priority="382">
      <formula>IF($N28="Unknown/Missing",TRUE)</formula>
    </cfRule>
    <cfRule type="expression" dxfId="4278" priority="383">
      <formula>IF($N28="Not Required/Applicable",TRUE)</formula>
    </cfRule>
    <cfRule type="expression" dxfId="4277" priority="384">
      <formula>IF($N28="Not Compliant",TRUE)</formula>
    </cfRule>
    <cfRule type="expression" dxfId="4276" priority="385">
      <formula>IF($N28=" ",TRUE)</formula>
    </cfRule>
  </conditionalFormatting>
  <conditionalFormatting sqref="Q58:Q60">
    <cfRule type="expression" dxfId="4275" priority="305">
      <formula>IF(Q58="Compliant",TRUE)</formula>
    </cfRule>
    <cfRule type="expression" dxfId="4274" priority="306">
      <formula>IF(Q58="FE with work-a-round",TRUE)</formula>
    </cfRule>
    <cfRule type="expression" dxfId="4273" priority="307">
      <formula>IF(Q58="Functionally Equivalent",TRUE)</formula>
    </cfRule>
    <cfRule type="expression" dxfId="4272" priority="308">
      <formula>IF(Q58="Likely to become compliant",TRUE)</formula>
    </cfRule>
    <cfRule type="expression" dxfId="4271" priority="309">
      <formula>IF(Q58="Partly Compliant",TRUE)</formula>
    </cfRule>
    <cfRule type="expression" dxfId="4270" priority="310">
      <formula>IF(Q58="Unknown/Missing",TRUE)</formula>
    </cfRule>
    <cfRule type="expression" dxfId="4269" priority="311">
      <formula>IF(Q58="Not Required/Applicable",TRUE)</formula>
    </cfRule>
    <cfRule type="expression" dxfId="4268" priority="312">
      <formula>IF(Q58="Not Compliant",TRUE)</formula>
    </cfRule>
    <cfRule type="expression" dxfId="4267" priority="313">
      <formula>IF($N58=" ",TRUE)</formula>
    </cfRule>
  </conditionalFormatting>
  <conditionalFormatting sqref="Q46">
    <cfRule type="expression" dxfId="4266" priority="304">
      <formula>IF(R46=TRUE,TRUE,FALSE)</formula>
    </cfRule>
  </conditionalFormatting>
  <conditionalFormatting sqref="Q46">
    <cfRule type="expression" dxfId="4265" priority="303">
      <formula>IF(R46=FALSE,TRUE,FALSE)</formula>
    </cfRule>
  </conditionalFormatting>
  <conditionalFormatting sqref="V21:V24 Q21:Q24 N21:N24 N54 U54:V54 P54:Q54">
    <cfRule type="expression" dxfId="4264" priority="291">
      <formula>IF(O21=FALSE,TRUE,FALSE)</formula>
    </cfRule>
    <cfRule type="expression" dxfId="4263" priority="292">
      <formula>IF(O21=TRUE,TRUE,FALSE)</formula>
    </cfRule>
  </conditionalFormatting>
  <conditionalFormatting sqref="N15">
    <cfRule type="expression" dxfId="4262" priority="282">
      <formula>IF($N15="Compliant",TRUE)</formula>
    </cfRule>
    <cfRule type="expression" dxfId="4261" priority="283">
      <formula>IF($N15="FE with work-a-round",TRUE)</formula>
    </cfRule>
    <cfRule type="expression" dxfId="4260" priority="284">
      <formula>IF($N15="Functionally Equivalent",TRUE)</formula>
    </cfRule>
    <cfRule type="expression" dxfId="4259" priority="285">
      <formula>IF($N15="Likely to become compliant",TRUE)</formula>
    </cfRule>
    <cfRule type="expression" dxfId="4258" priority="286">
      <formula>IF($N15="Partly Compliant",TRUE)</formula>
    </cfRule>
    <cfRule type="expression" dxfId="4257" priority="287">
      <formula>IF($N15="Unknown/Missing",TRUE)</formula>
    </cfRule>
    <cfRule type="expression" dxfId="4256" priority="288">
      <formula>IF($N15="Not Required/Applicable",TRUE)</formula>
    </cfRule>
    <cfRule type="expression" dxfId="4255" priority="289">
      <formula>IF($N15="Not Compliant",TRUE)</formula>
    </cfRule>
    <cfRule type="expression" dxfId="4254" priority="290">
      <formula>IF($N15=" ",TRUE)</formula>
    </cfRule>
  </conditionalFormatting>
  <conditionalFormatting sqref="V15">
    <cfRule type="expression" dxfId="4253" priority="273">
      <formula>IF(V15="Compliant",TRUE)</formula>
    </cfRule>
    <cfRule type="expression" dxfId="4252" priority="274">
      <formula>IF(V15="FE with work-a-round",TRUE)</formula>
    </cfRule>
    <cfRule type="expression" dxfId="4251" priority="275">
      <formula>IF(V15="Functionally Equivalent",TRUE)</formula>
    </cfRule>
    <cfRule type="expression" dxfId="4250" priority="276">
      <formula>IF(V15="Likely to become compliant",TRUE)</formula>
    </cfRule>
    <cfRule type="expression" dxfId="4249" priority="277">
      <formula>IF(V15="Partly Compliant",TRUE)</formula>
    </cfRule>
    <cfRule type="expression" dxfId="4248" priority="278">
      <formula>IF(V15="Unknown/Missing",TRUE)</formula>
    </cfRule>
    <cfRule type="expression" dxfId="4247" priority="279">
      <formula>IF(V15="Not Required/Applicable",TRUE)</formula>
    </cfRule>
    <cfRule type="expression" dxfId="4246" priority="280">
      <formula>IF(V15="Not Compliant",TRUE)</formula>
    </cfRule>
    <cfRule type="expression" dxfId="4245" priority="281">
      <formula>IF($N15=" ",TRUE)</formula>
    </cfRule>
  </conditionalFormatting>
  <conditionalFormatting sqref="Q15">
    <cfRule type="expression" dxfId="4244" priority="264">
      <formula>IF(Q15="Compliant",TRUE)</formula>
    </cfRule>
    <cfRule type="expression" dxfId="4243" priority="265">
      <formula>IF(Q15="FE with work-a-round",TRUE)</formula>
    </cfRule>
    <cfRule type="expression" dxfId="4242" priority="266">
      <formula>IF(Q15="Functionally Equivalent",TRUE)</formula>
    </cfRule>
    <cfRule type="expression" dxfId="4241" priority="267">
      <formula>IF($Q15="Likely to become compliant",TRUE)</formula>
    </cfRule>
    <cfRule type="expression" dxfId="4240" priority="268">
      <formula>IF($Q15="Partly Compliant",TRUE)</formula>
    </cfRule>
    <cfRule type="expression" dxfId="4239" priority="269">
      <formula>IF($Q15="Unknown/Missing",TRUE)</formula>
    </cfRule>
    <cfRule type="expression" dxfId="4238" priority="270">
      <formula>IF($Q15="Not Required/Applicable",TRUE)</formula>
    </cfRule>
    <cfRule type="expression" dxfId="4237" priority="271">
      <formula>IF(Q15="Not Compliant",TRUE)</formula>
    </cfRule>
    <cfRule type="expression" dxfId="4236" priority="272">
      <formula>IF(Q15=" ",TRUE)</formula>
    </cfRule>
  </conditionalFormatting>
  <conditionalFormatting sqref="D15">
    <cfRule type="expression" dxfId="4235" priority="254">
      <formula>IF($F$10&gt;1,TRUE)</formula>
    </cfRule>
    <cfRule type="expression" dxfId="4234" priority="255">
      <formula>IF(AND($F$10=1,$E15=TRUE),TRUE)</formula>
    </cfRule>
  </conditionalFormatting>
  <conditionalFormatting sqref="V28:W28">
    <cfRule type="expression" dxfId="4233" priority="14676">
      <formula>IF(V28="Compliant",TRUE)</formula>
    </cfRule>
    <cfRule type="expression" dxfId="4232" priority="14677">
      <formula>IF(V28="FE with work-a-round",TRUE)</formula>
    </cfRule>
    <cfRule type="expression" dxfId="4231" priority="14678">
      <formula>IF(V28="Functionally Equivalent",TRUE)</formula>
    </cfRule>
    <cfRule type="expression" dxfId="4230" priority="14679">
      <formula>IF(V28="Likely to become compliant",TRUE)</formula>
    </cfRule>
    <cfRule type="expression" dxfId="4229" priority="14680">
      <formula>IF(V28="Partly Compliant",TRUE)</formula>
    </cfRule>
    <cfRule type="expression" dxfId="4228" priority="14681">
      <formula>IF(V28="Unknown/Missing",TRUE)</formula>
    </cfRule>
    <cfRule type="expression" dxfId="4227" priority="14682">
      <formula>IF(V28="Not Required/Applicable",TRUE)</formula>
    </cfRule>
    <cfRule type="expression" dxfId="4226" priority="14683">
      <formula>IF(V28="Not Compliant",TRUE)</formula>
    </cfRule>
    <cfRule type="expression" dxfId="4225" priority="14684">
      <formula>IF($N28=" ",TRUE)</formula>
    </cfRule>
  </conditionalFormatting>
  <conditionalFormatting sqref="N9">
    <cfRule type="expression" dxfId="4224" priority="245">
      <formula>IF($N9="Compliant",TRUE)</formula>
    </cfRule>
    <cfRule type="expression" dxfId="4223" priority="246">
      <formula>IF($N9="FE with work-a-round",TRUE)</formula>
    </cfRule>
    <cfRule type="expression" dxfId="4222" priority="247">
      <formula>IF($N9="Functionally Equivalent",TRUE)</formula>
    </cfRule>
    <cfRule type="expression" dxfId="4221" priority="248">
      <formula>IF($N9="Likely to become compliant",TRUE)</formula>
    </cfRule>
    <cfRule type="expression" dxfId="4220" priority="249">
      <formula>IF($N9="Partly Compliant",TRUE)</formula>
    </cfRule>
    <cfRule type="expression" dxfId="4219" priority="250">
      <formula>IF($N9="Unknown/Missing",TRUE)</formula>
    </cfRule>
    <cfRule type="expression" dxfId="4218" priority="251">
      <formula>IF($N9="Not Required/Applicable",TRUE)</formula>
    </cfRule>
    <cfRule type="expression" dxfId="4217" priority="252">
      <formula>IF($N9="Not Compliant",TRUE)</formula>
    </cfRule>
    <cfRule type="expression" dxfId="4216" priority="253">
      <formula>IF($N9=" ",TRUE)</formula>
    </cfRule>
  </conditionalFormatting>
  <conditionalFormatting sqref="D9">
    <cfRule type="expression" dxfId="4215" priority="235">
      <formula>IF($D9="Compliant",TRUE)</formula>
    </cfRule>
    <cfRule type="expression" dxfId="4214" priority="236">
      <formula>IF($D9=" ",TRUE)</formula>
    </cfRule>
    <cfRule type="expression" dxfId="4213" priority="242">
      <formula>IF($D9="Not Compliant",TRUE)</formula>
    </cfRule>
  </conditionalFormatting>
  <conditionalFormatting sqref="Q9">
    <cfRule type="expression" dxfId="4212" priority="226">
      <formula>IF(Q9="Compliant",TRUE)</formula>
    </cfRule>
    <cfRule type="expression" dxfId="4211" priority="227">
      <formula>IF(Q9="FE with work-a-round",TRUE)</formula>
    </cfRule>
    <cfRule type="expression" dxfId="4210" priority="228">
      <formula>IF(Q9="Functionally Equivalent",TRUE)</formula>
    </cfRule>
    <cfRule type="expression" dxfId="4209" priority="229">
      <formula>IF($Q9="Likely to become compliant",TRUE)</formula>
    </cfRule>
    <cfRule type="expression" dxfId="4208" priority="230">
      <formula>IF($Q9="Partly Compliant",TRUE)</formula>
    </cfRule>
    <cfRule type="expression" dxfId="4207" priority="231">
      <formula>IF($Q9="Unknown/Missing",TRUE)</formula>
    </cfRule>
    <cfRule type="expression" dxfId="4206" priority="232">
      <formula>IF($Q9="Not Required/Applicable",TRUE)</formula>
    </cfRule>
    <cfRule type="expression" dxfId="4205" priority="233">
      <formula>IF(Q9="Not Compliant",TRUE)</formula>
    </cfRule>
    <cfRule type="expression" dxfId="4204" priority="234">
      <formula>IF(Q9=" ",TRUE)</formula>
    </cfRule>
  </conditionalFormatting>
  <conditionalFormatting sqref="V9">
    <cfRule type="expression" dxfId="4203" priority="217">
      <formula>IF(V9="Compliant",TRUE)</formula>
    </cfRule>
    <cfRule type="expression" dxfId="4202" priority="218">
      <formula>IF(V9="FE with work-a-round",TRUE)</formula>
    </cfRule>
    <cfRule type="expression" dxfId="4201" priority="219">
      <formula>IF(V9="Functionally Equivalent",TRUE)</formula>
    </cfRule>
    <cfRule type="expression" dxfId="4200" priority="220">
      <formula>IF(V9="Likely to become compliant",TRUE)</formula>
    </cfRule>
    <cfRule type="expression" dxfId="4199" priority="221">
      <formula>IF(V9="Partly Compliant",TRUE)</formula>
    </cfRule>
    <cfRule type="expression" dxfId="4198" priority="222">
      <formula>IF(V9="Unknown/Missing",TRUE)</formula>
    </cfRule>
    <cfRule type="expression" dxfId="4197" priority="223">
      <formula>IF(V9="Not Required/Applicable",TRUE)</formula>
    </cfRule>
    <cfRule type="expression" dxfId="4196" priority="224">
      <formula>IF(V9="Not Compliant",TRUE)</formula>
    </cfRule>
    <cfRule type="expression" dxfId="4195" priority="225">
      <formula>IF($N9=" ",TRUE)</formula>
    </cfRule>
  </conditionalFormatting>
  <conditionalFormatting sqref="D19">
    <cfRule type="beginsWith" dxfId="4194" priority="209" operator="beginsWith" text="Likely">
      <formula>LEFT(D19,LEN("Likely"))="Likely"</formula>
    </cfRule>
    <cfRule type="beginsWith" dxfId="4193" priority="210" operator="beginsWith" text="Not Applicable">
      <formula>LEFT(D19,LEN("Not Applicable"))="Not Applicable"</formula>
    </cfRule>
    <cfRule type="beginsWith" dxfId="4192" priority="211" operator="beginsWith" text="Applicable">
      <formula>LEFT(D19,LEN("Applicable"))="Applicable"</formula>
    </cfRule>
    <cfRule type="beginsWith" dxfId="4191" priority="212" operator="beginsWith" text="Partly">
      <formula>LEFT(D19,LEN("Partly"))="Partly"</formula>
    </cfRule>
    <cfRule type="beginsWith" dxfId="4190" priority="213" operator="beginsWith" text="Missing">
      <formula>LEFT(D19,LEN("Missing"))="Missing"</formula>
    </cfRule>
    <cfRule type="beginsWith" dxfId="4189" priority="214" operator="beginsWith" text="Not">
      <formula>LEFT(D19,LEN("Not"))="Not"</formula>
    </cfRule>
    <cfRule type="beginsWith" dxfId="4188" priority="215" operator="beginsWith" text="Compliant">
      <formula>LEFT(D19,LEN("Compliant"))="Compliant"</formula>
    </cfRule>
    <cfRule type="containsText" dxfId="4187" priority="216" operator="containsText" text="Equivalent">
      <formula>NOT(ISERROR(SEARCH("Equivalent",D19)))</formula>
    </cfRule>
  </conditionalFormatting>
  <conditionalFormatting sqref="N19">
    <cfRule type="beginsWith" dxfId="4186" priority="201" operator="beginsWith" text="Likely">
      <formula>LEFT(N19,LEN("Likely"))="Likely"</formula>
    </cfRule>
    <cfRule type="beginsWith" dxfId="4185" priority="202" operator="beginsWith" text="Not Applicable">
      <formula>LEFT(N19,LEN("Not Applicable"))="Not Applicable"</formula>
    </cfRule>
    <cfRule type="beginsWith" dxfId="4184" priority="203" operator="beginsWith" text="Applicable">
      <formula>LEFT(N19,LEN("Applicable"))="Applicable"</formula>
    </cfRule>
    <cfRule type="beginsWith" dxfId="4183" priority="204" operator="beginsWith" text="Partly">
      <formula>LEFT(N19,LEN("Partly"))="Partly"</formula>
    </cfRule>
    <cfRule type="beginsWith" dxfId="4182" priority="205" operator="beginsWith" text="Missing">
      <formula>LEFT(N19,LEN("Missing"))="Missing"</formula>
    </cfRule>
    <cfRule type="beginsWith" dxfId="4181" priority="206" operator="beginsWith" text="Not">
      <formula>LEFT(N19,LEN("Not"))="Not"</formula>
    </cfRule>
    <cfRule type="beginsWith" dxfId="4180" priority="207" operator="beginsWith" text="Compliant">
      <formula>LEFT(N19,LEN("Compliant"))="Compliant"</formula>
    </cfRule>
    <cfRule type="containsText" dxfId="4179" priority="208" operator="containsText" text="Equivalent">
      <formula>NOT(ISERROR(SEARCH("Equivalent",N19)))</formula>
    </cfRule>
  </conditionalFormatting>
  <conditionalFormatting sqref="V19">
    <cfRule type="beginsWith" dxfId="4178" priority="193" operator="beginsWith" text="Likely">
      <formula>LEFT(V19,LEN("Likely"))="Likely"</formula>
    </cfRule>
    <cfRule type="beginsWith" dxfId="4177" priority="194" operator="beginsWith" text="Not Applicable">
      <formula>LEFT(V19,LEN("Not Applicable"))="Not Applicable"</formula>
    </cfRule>
    <cfRule type="beginsWith" dxfId="4176" priority="195" operator="beginsWith" text="Applicable">
      <formula>LEFT(V19,LEN("Applicable"))="Applicable"</formula>
    </cfRule>
    <cfRule type="beginsWith" dxfId="4175" priority="196" operator="beginsWith" text="Partly">
      <formula>LEFT(V19,LEN("Partly"))="Partly"</formula>
    </cfRule>
    <cfRule type="beginsWith" dxfId="4174" priority="197" operator="beginsWith" text="Missing">
      <formula>LEFT(V19,LEN("Missing"))="Missing"</formula>
    </cfRule>
    <cfRule type="beginsWith" dxfId="4173" priority="198" operator="beginsWith" text="Not">
      <formula>LEFT(V19,LEN("Not"))="Not"</formula>
    </cfRule>
    <cfRule type="beginsWith" dxfId="4172" priority="199" operator="beginsWith" text="Compliant">
      <formula>LEFT(V19,LEN("Compliant"))="Compliant"</formula>
    </cfRule>
    <cfRule type="containsText" dxfId="4171" priority="200" operator="containsText" text="Equivalent">
      <formula>NOT(ISERROR(SEARCH("Equivalent",V19)))</formula>
    </cfRule>
  </conditionalFormatting>
  <conditionalFormatting sqref="Q19">
    <cfRule type="beginsWith" dxfId="4170" priority="185" operator="beginsWith" text="Likely">
      <formula>LEFT(Q19,LEN("Likely"))="Likely"</formula>
    </cfRule>
    <cfRule type="beginsWith" dxfId="4169" priority="186" operator="beginsWith" text="Not Applicable">
      <formula>LEFT(Q19,LEN("Not Applicable"))="Not Applicable"</formula>
    </cfRule>
    <cfRule type="beginsWith" dxfId="4168" priority="187" operator="beginsWith" text="Applicable">
      <formula>LEFT(Q19,LEN("Applicable"))="Applicable"</formula>
    </cfRule>
    <cfRule type="beginsWith" dxfId="4167" priority="188" operator="beginsWith" text="Partly">
      <formula>LEFT(Q19,LEN("Partly"))="Partly"</formula>
    </cfRule>
    <cfRule type="beginsWith" dxfId="4166" priority="189" operator="beginsWith" text="Missing">
      <formula>LEFT(Q19,LEN("Missing"))="Missing"</formula>
    </cfRule>
    <cfRule type="beginsWith" dxfId="4165" priority="190" operator="beginsWith" text="Not">
      <formula>LEFT(Q19,LEN("Not"))="Not"</formula>
    </cfRule>
    <cfRule type="beginsWith" dxfId="4164" priority="191" operator="beginsWith" text="Compliant">
      <formula>LEFT(Q19,LEN("Compliant"))="Compliant"</formula>
    </cfRule>
    <cfRule type="containsText" dxfId="4163" priority="192" operator="containsText" text="Equivalent">
      <formula>NOT(ISERROR(SEARCH("Equivalent",Q19)))</formula>
    </cfRule>
  </conditionalFormatting>
  <conditionalFormatting sqref="N34">
    <cfRule type="expression" dxfId="4162" priority="176">
      <formula>IF($N34="Compliant",TRUE)</formula>
    </cfRule>
    <cfRule type="expression" dxfId="4161" priority="177">
      <formula>IF($N34="FE with work-a-round",TRUE)</formula>
    </cfRule>
    <cfRule type="expression" dxfId="4160" priority="178">
      <formula>IF($N34="Functionally Equivalent",TRUE)</formula>
    </cfRule>
    <cfRule type="expression" dxfId="4159" priority="179">
      <formula>IF($N34="Likely to become compliant",TRUE)</formula>
    </cfRule>
    <cfRule type="expression" dxfId="4158" priority="180">
      <formula>IF($N34="Partly Compliant",TRUE)</formula>
    </cfRule>
    <cfRule type="expression" dxfId="4157" priority="181">
      <formula>IF($N34="Unknown/Missing",TRUE)</formula>
    </cfRule>
    <cfRule type="expression" dxfId="4156" priority="182">
      <formula>IF($N34="Not Required/Applicable",TRUE)</formula>
    </cfRule>
    <cfRule type="expression" dxfId="4155" priority="183">
      <formula>IF($N34="Not Compliant",TRUE)</formula>
    </cfRule>
    <cfRule type="expression" dxfId="4154" priority="184">
      <formula>IF($N34=" ",TRUE)</formula>
    </cfRule>
  </conditionalFormatting>
  <conditionalFormatting sqref="N40">
    <cfRule type="expression" dxfId="4153" priority="167">
      <formula>IF($N40="Compliant",TRUE)</formula>
    </cfRule>
    <cfRule type="expression" dxfId="4152" priority="168">
      <formula>IF($N40="FE with work-a-round",TRUE)</formula>
    </cfRule>
    <cfRule type="expression" dxfId="4151" priority="169">
      <formula>IF($N40="Functionally Equivalent",TRUE)</formula>
    </cfRule>
    <cfRule type="expression" dxfId="4150" priority="170">
      <formula>IF($N40="Likely to become compliant",TRUE)</formula>
    </cfRule>
    <cfRule type="expression" dxfId="4149" priority="171">
      <formula>IF($N40="Partly Compliant",TRUE)</formula>
    </cfRule>
    <cfRule type="expression" dxfId="4148" priority="172">
      <formula>IF($N40="Unknown/Missing",TRUE)</formula>
    </cfRule>
    <cfRule type="expression" dxfId="4147" priority="173">
      <formula>IF($N40="Not Required/Applicable",TRUE)</formula>
    </cfRule>
    <cfRule type="expression" dxfId="4146" priority="174">
      <formula>IF($N40="Not Compliant",TRUE)</formula>
    </cfRule>
    <cfRule type="expression" dxfId="4145" priority="175">
      <formula>IF($N40=" ",TRUE)</formula>
    </cfRule>
  </conditionalFormatting>
  <conditionalFormatting sqref="Q47:Q50">
    <cfRule type="expression" dxfId="4144" priority="14694">
      <formula>IF(Q47="Compliant",TRUE)</formula>
    </cfRule>
    <cfRule type="expression" dxfId="4143" priority="14695">
      <formula>IF(Q47="FE with work-a-round",TRUE)</formula>
    </cfRule>
    <cfRule type="expression" dxfId="4142" priority="14696">
      <formula>IF(Q47="Functionally Equivalent",TRUE)</formula>
    </cfRule>
    <cfRule type="expression" dxfId="4141" priority="14697">
      <formula>IF($R47="Likely to become compliant",TRUE)</formula>
    </cfRule>
    <cfRule type="expression" dxfId="4140" priority="14698">
      <formula>IF($R47="Partly Compliant",TRUE)</formula>
    </cfRule>
    <cfRule type="expression" dxfId="4139" priority="14699">
      <formula>IF($R47="Unknown/Missing",TRUE)</formula>
    </cfRule>
    <cfRule type="expression" dxfId="4138" priority="14700">
      <formula>IF($R47="Not Required/Applicable",TRUE)</formula>
    </cfRule>
    <cfRule type="expression" dxfId="4137" priority="14701">
      <formula>IF(Q47="Not Compliant",TRUE)</formula>
    </cfRule>
    <cfRule type="expression" dxfId="4136" priority="14702">
      <formula>IF(Q47=" ",TRUE)</formula>
    </cfRule>
  </conditionalFormatting>
  <conditionalFormatting sqref="V46">
    <cfRule type="expression" dxfId="4135" priority="14703">
      <formula>IF(V46="Compliant",TRUE)</formula>
    </cfRule>
    <cfRule type="expression" dxfId="4134" priority="14704">
      <formula>IF(V46="FE with work-a-round",TRUE)</formula>
    </cfRule>
    <cfRule type="expression" dxfId="4133" priority="14705">
      <formula>IF(V46="Functionally Equivalent",TRUE)</formula>
    </cfRule>
    <cfRule type="expression" dxfId="4132" priority="14706">
      <formula>IF(V46="Likely to become compliant",TRUE)</formula>
    </cfRule>
    <cfRule type="expression" dxfId="4131" priority="14707">
      <formula>IF(V46="Partly Compliant",TRUE)</formula>
    </cfRule>
    <cfRule type="expression" dxfId="4130" priority="14708">
      <formula>IF(V46="Unknown/Missing",TRUE)</formula>
    </cfRule>
    <cfRule type="expression" dxfId="4129" priority="14709">
      <formula>IF(V46="Not Required/Applicable",TRUE)</formula>
    </cfRule>
    <cfRule type="expression" dxfId="4128" priority="14710">
      <formula>IF(V46="Not Compliant",TRUE)</formula>
    </cfRule>
    <cfRule type="expression" dxfId="4127" priority="14711">
      <formula>IF($O46=" ",TRUE)</formula>
    </cfRule>
  </conditionalFormatting>
  <conditionalFormatting sqref="Q29:Q32">
    <cfRule type="expression" dxfId="4126" priority="15198">
      <formula>IF(Q29="Compliant",TRUE)</formula>
    </cfRule>
    <cfRule type="expression" dxfId="4125" priority="15199">
      <formula>IF(Q29="FE with work-a-round",TRUE)</formula>
    </cfRule>
    <cfRule type="expression" dxfId="4124" priority="15200">
      <formula>IF(Q29="Functionally Equivalent",TRUE)</formula>
    </cfRule>
    <cfRule type="expression" dxfId="4123" priority="15201">
      <formula>IF(Q29="Likely to become compliant",TRUE)</formula>
    </cfRule>
    <cfRule type="expression" dxfId="4122" priority="15202">
      <formula>IF(Q29="Partly Compliant",TRUE)</formula>
    </cfRule>
    <cfRule type="expression" dxfId="4121" priority="15203">
      <formula>IF(Q29="Unknown/Missing",TRUE)</formula>
    </cfRule>
    <cfRule type="expression" dxfId="4120" priority="15204">
      <formula>IF(Q29="Not Required/Applicable",TRUE)</formula>
    </cfRule>
    <cfRule type="expression" dxfId="4119" priority="15205">
      <formula>IF(Q29="Not Compliant",TRUE)</formula>
    </cfRule>
    <cfRule type="expression" dxfId="4118" priority="15206">
      <formula>IF($N28=" ",TRUE)</formula>
    </cfRule>
  </conditionalFormatting>
  <conditionalFormatting sqref="Q34">
    <cfRule type="expression" dxfId="4117" priority="158">
      <formula>IF(Q34="Compliant",TRUE)</formula>
    </cfRule>
    <cfRule type="expression" dxfId="4116" priority="159">
      <formula>IF(Q34="FE with work-a-round",TRUE)</formula>
    </cfRule>
    <cfRule type="expression" dxfId="4115" priority="160">
      <formula>IF(Q34="Functionally Equivalent",TRUE)</formula>
    </cfRule>
    <cfRule type="expression" dxfId="4114" priority="161">
      <formula>IF(Q34="Likely to become compliant",TRUE)</formula>
    </cfRule>
    <cfRule type="expression" dxfId="4113" priority="162">
      <formula>IF(Q34="Partly Compliant",TRUE)</formula>
    </cfRule>
    <cfRule type="expression" dxfId="4112" priority="163">
      <formula>IF(Q34="Unknown/Missing",TRUE)</formula>
    </cfRule>
    <cfRule type="expression" dxfId="4111" priority="164">
      <formula>IF(Q34="Not Required/Applicable",TRUE)</formula>
    </cfRule>
    <cfRule type="expression" dxfId="4110" priority="165">
      <formula>IF(Q34="Not Compliant",TRUE)</formula>
    </cfRule>
    <cfRule type="expression" dxfId="4109" priority="166">
      <formula>IF($N33=" ",TRUE)</formula>
    </cfRule>
  </conditionalFormatting>
  <conditionalFormatting sqref="Q40">
    <cfRule type="expression" dxfId="4108" priority="149">
      <formula>IF(Q40="Compliant",TRUE)</formula>
    </cfRule>
    <cfRule type="expression" dxfId="4107" priority="150">
      <formula>IF(Q40="FE with work-a-round",TRUE)</formula>
    </cfRule>
    <cfRule type="expression" dxfId="4106" priority="151">
      <formula>IF(Q40="Functionally Equivalent",TRUE)</formula>
    </cfRule>
    <cfRule type="expression" dxfId="4105" priority="152">
      <formula>IF(Q40="Likely to become compliant",TRUE)</formula>
    </cfRule>
    <cfRule type="expression" dxfId="4104" priority="153">
      <formula>IF(Q40="Partly Compliant",TRUE)</formula>
    </cfRule>
    <cfRule type="expression" dxfId="4103" priority="154">
      <formula>IF(Q40="Unknown/Missing",TRUE)</formula>
    </cfRule>
    <cfRule type="expression" dxfId="4102" priority="155">
      <formula>IF(Q40="Not Required/Applicable",TRUE)</formula>
    </cfRule>
    <cfRule type="expression" dxfId="4101" priority="156">
      <formula>IF(Q40="Not Compliant",TRUE)</formula>
    </cfRule>
    <cfRule type="expression" dxfId="4100" priority="157">
      <formula>IF($N39=" ",TRUE)</formula>
    </cfRule>
  </conditionalFormatting>
  <conditionalFormatting sqref="V34:W34">
    <cfRule type="expression" dxfId="4099" priority="140">
      <formula>IF(V34="Compliant",TRUE)</formula>
    </cfRule>
    <cfRule type="expression" dxfId="4098" priority="141">
      <formula>IF(V34="FE with work-a-round",TRUE)</formula>
    </cfRule>
    <cfRule type="expression" dxfId="4097" priority="142">
      <formula>IF(V34="Functionally Equivalent",TRUE)</formula>
    </cfRule>
    <cfRule type="expression" dxfId="4096" priority="143">
      <formula>IF(V34="Likely to become compliant",TRUE)</formula>
    </cfRule>
    <cfRule type="expression" dxfId="4095" priority="144">
      <formula>IF(V34="Partly Compliant",TRUE)</formula>
    </cfRule>
    <cfRule type="expression" dxfId="4094" priority="145">
      <formula>IF(V34="Unknown/Missing",TRUE)</formula>
    </cfRule>
    <cfRule type="expression" dxfId="4093" priority="146">
      <formula>IF(V34="Not Required/Applicable",TRUE)</formula>
    </cfRule>
    <cfRule type="expression" dxfId="4092" priority="147">
      <formula>IF(V34="Not Compliant",TRUE)</formula>
    </cfRule>
    <cfRule type="expression" dxfId="4091" priority="148">
      <formula>IF($N34=" ",TRUE)</formula>
    </cfRule>
  </conditionalFormatting>
  <conditionalFormatting sqref="V40:W40">
    <cfRule type="expression" dxfId="4090" priority="131">
      <formula>IF(V40="Compliant",TRUE)</formula>
    </cfRule>
    <cfRule type="expression" dxfId="4089" priority="132">
      <formula>IF(V40="FE with work-a-round",TRUE)</formula>
    </cfRule>
    <cfRule type="expression" dxfId="4088" priority="133">
      <formula>IF(V40="Functionally Equivalent",TRUE)</formula>
    </cfRule>
    <cfRule type="expression" dxfId="4087" priority="134">
      <formula>IF(V40="Likely to become compliant",TRUE)</formula>
    </cfRule>
    <cfRule type="expression" dxfId="4086" priority="135">
      <formula>IF(V40="Partly Compliant",TRUE)</formula>
    </cfRule>
    <cfRule type="expression" dxfId="4085" priority="136">
      <formula>IF(V40="Unknown/Missing",TRUE)</formula>
    </cfRule>
    <cfRule type="expression" dxfId="4084" priority="137">
      <formula>IF(V40="Not Required/Applicable",TRUE)</formula>
    </cfRule>
    <cfRule type="expression" dxfId="4083" priority="138">
      <formula>IF(V40="Not Compliant",TRUE)</formula>
    </cfRule>
    <cfRule type="expression" dxfId="4082" priority="139">
      <formula>IF($N40=" ",TRUE)</formula>
    </cfRule>
  </conditionalFormatting>
  <conditionalFormatting sqref="Q28">
    <cfRule type="expression" dxfId="4081" priority="130">
      <formula>IF(R28=TRUE,TRUE,FALSE)</formula>
    </cfRule>
  </conditionalFormatting>
  <conditionalFormatting sqref="Q28">
    <cfRule type="expression" dxfId="4080" priority="129">
      <formula>IF(R28=FALSE,TRUE,FALSE)</formula>
    </cfRule>
  </conditionalFormatting>
  <conditionalFormatting sqref="Q55:Q56">
    <cfRule type="expression" dxfId="4079" priority="127">
      <formula>IF(R55=FALSE,TRUE,FALSE)</formula>
    </cfRule>
    <cfRule type="expression" dxfId="4078" priority="128">
      <formula>IF(R55=TRUE,TRUE,FALSE)</formula>
    </cfRule>
  </conditionalFormatting>
  <conditionalFormatting sqref="Q61">
    <cfRule type="expression" dxfId="4077" priority="125">
      <formula>IF(R61=FALSE,TRUE,FALSE)</formula>
    </cfRule>
    <cfRule type="expression" dxfId="4076" priority="126">
      <formula>IF(R61=TRUE,TRUE,FALSE)</formula>
    </cfRule>
  </conditionalFormatting>
  <conditionalFormatting sqref="Q67">
    <cfRule type="expression" dxfId="4075" priority="123">
      <formula>IF(R67=FALSE,TRUE,FALSE)</formula>
    </cfRule>
    <cfRule type="expression" dxfId="4074" priority="124">
      <formula>IF(R67=TRUE,TRUE,FALSE)</formula>
    </cfRule>
  </conditionalFormatting>
  <conditionalFormatting sqref="Q69">
    <cfRule type="expression" dxfId="4073" priority="121">
      <formula>IF(R69=FALSE,TRUE,FALSE)</formula>
    </cfRule>
    <cfRule type="expression" dxfId="4072" priority="122">
      <formula>IF(R69=TRUE,TRUE,FALSE)</formula>
    </cfRule>
  </conditionalFormatting>
  <conditionalFormatting sqref="Q74">
    <cfRule type="expression" dxfId="4071" priority="119">
      <formula>IF(R74=FALSE,TRUE,FALSE)</formula>
    </cfRule>
    <cfRule type="expression" dxfId="4070" priority="120">
      <formula>IF(R74=TRUE,TRUE,FALSE)</formula>
    </cfRule>
  </conditionalFormatting>
  <conditionalFormatting sqref="Q77">
    <cfRule type="expression" dxfId="4069" priority="117">
      <formula>IF(R77=FALSE,TRUE,FALSE)</formula>
    </cfRule>
    <cfRule type="expression" dxfId="4068" priority="118">
      <formula>IF(R77=TRUE,TRUE,FALSE)</formula>
    </cfRule>
  </conditionalFormatting>
  <conditionalFormatting sqref="Q82">
    <cfRule type="expression" dxfId="4067" priority="115">
      <formula>IF(R82=FALSE,TRUE,FALSE)</formula>
    </cfRule>
    <cfRule type="expression" dxfId="4066" priority="116">
      <formula>IF(R82=TRUE,TRUE,FALSE)</formula>
    </cfRule>
  </conditionalFormatting>
  <conditionalFormatting sqref="Q91">
    <cfRule type="expression" dxfId="4065" priority="113">
      <formula>IF(R91=FALSE,TRUE,FALSE)</formula>
    </cfRule>
    <cfRule type="expression" dxfId="4064" priority="114">
      <formula>IF(R91=TRUE,TRUE,FALSE)</formula>
    </cfRule>
  </conditionalFormatting>
  <conditionalFormatting sqref="Q95">
    <cfRule type="expression" dxfId="4063" priority="111">
      <formula>IF(R95=FALSE,TRUE,FALSE)</formula>
    </cfRule>
    <cfRule type="expression" dxfId="4062" priority="112">
      <formula>IF(R95=TRUE,TRUE,FALSE)</formula>
    </cfRule>
  </conditionalFormatting>
  <conditionalFormatting sqref="Q96">
    <cfRule type="expression" dxfId="4061" priority="109">
      <formula>IF(R96=FALSE,TRUE,FALSE)</formula>
    </cfRule>
    <cfRule type="expression" dxfId="4060" priority="110">
      <formula>IF(R96=TRUE,TRUE,FALSE)</formula>
    </cfRule>
  </conditionalFormatting>
  <conditionalFormatting sqref="Q104">
    <cfRule type="expression" dxfId="4059" priority="107">
      <formula>IF(R104=FALSE,TRUE,FALSE)</formula>
    </cfRule>
    <cfRule type="expression" dxfId="4058" priority="108">
      <formula>IF(R104=TRUE,TRUE,FALSE)</formula>
    </cfRule>
  </conditionalFormatting>
  <conditionalFormatting sqref="Q105">
    <cfRule type="expression" dxfId="4057" priority="105">
      <formula>IF(R105=FALSE,TRUE,FALSE)</formula>
    </cfRule>
    <cfRule type="expression" dxfId="4056" priority="106">
      <formula>IF(R105=TRUE,TRUE,FALSE)</formula>
    </cfRule>
  </conditionalFormatting>
  <conditionalFormatting sqref="Q118:Q119">
    <cfRule type="expression" dxfId="4055" priority="103">
      <formula>IF(R118=FALSE,TRUE,FALSE)</formula>
    </cfRule>
    <cfRule type="expression" dxfId="4054" priority="104">
      <formula>IF(R118=TRUE,TRUE,FALSE)</formula>
    </cfRule>
  </conditionalFormatting>
  <conditionalFormatting sqref="Q123">
    <cfRule type="expression" dxfId="4053" priority="101">
      <formula>IF(R123=FALSE,TRUE,FALSE)</formula>
    </cfRule>
    <cfRule type="expression" dxfId="4052" priority="102">
      <formula>IF(R123=TRUE,TRUE,FALSE)</formula>
    </cfRule>
  </conditionalFormatting>
  <conditionalFormatting sqref="Q172:Q174">
    <cfRule type="expression" dxfId="4051" priority="99">
      <formula>IF(R172=FALSE,TRUE,FALSE)</formula>
    </cfRule>
    <cfRule type="expression" dxfId="4050" priority="100">
      <formula>IF(R172=TRUE,TRUE,FALSE)</formula>
    </cfRule>
  </conditionalFormatting>
  <conditionalFormatting sqref="Q182:Q183">
    <cfRule type="expression" dxfId="4049" priority="97">
      <formula>IF(R182=FALSE,TRUE,FALSE)</formula>
    </cfRule>
    <cfRule type="expression" dxfId="4048" priority="98">
      <formula>IF(R182=TRUE,TRUE,FALSE)</formula>
    </cfRule>
  </conditionalFormatting>
  <conditionalFormatting sqref="Q189">
    <cfRule type="expression" dxfId="4047" priority="95">
      <formula>IF(R189=FALSE,TRUE,FALSE)</formula>
    </cfRule>
    <cfRule type="expression" dxfId="4046" priority="96">
      <formula>IF(R189=TRUE,TRUE,FALSE)</formula>
    </cfRule>
  </conditionalFormatting>
  <conditionalFormatting sqref="Q190:Q203 Q184:Q188 Q175:Q180 Q124:Q168 Q120:Q122 Q114 Q106:Q112 Q97:Q102 Q92:Q93 Q83:Q90 Q78:Q81 Q75:Q76 Q70:Q73 Q62:Q65">
    <cfRule type="expression" dxfId="4045" priority="86">
      <formula>IF(Q62="Compliant",TRUE)</formula>
    </cfRule>
    <cfRule type="expression" dxfId="4044" priority="87">
      <formula>IF(Q62="FE with work-a-round",TRUE)</formula>
    </cfRule>
    <cfRule type="expression" dxfId="4043" priority="88">
      <formula>IF(Q62="Functionally Equivalent",TRUE)</formula>
    </cfRule>
    <cfRule type="expression" dxfId="4042" priority="89">
      <formula>IF(Q62="Likely to become compliant",TRUE)</formula>
    </cfRule>
    <cfRule type="expression" dxfId="4041" priority="90">
      <formula>IF(Q62="Partly Compliant",TRUE)</formula>
    </cfRule>
    <cfRule type="expression" dxfId="4040" priority="91">
      <formula>IF(Q62="Unknown/Missing",TRUE)</formula>
    </cfRule>
    <cfRule type="expression" dxfId="4039" priority="92">
      <formula>IF(Q62="Not Required/Applicable",TRUE)</formula>
    </cfRule>
    <cfRule type="expression" dxfId="4038" priority="93">
      <formula>IF(Q62="Not Compliant",TRUE)</formula>
    </cfRule>
    <cfRule type="expression" dxfId="4037" priority="94">
      <formula>IF($N62=" ",TRUE)</formula>
    </cfRule>
  </conditionalFormatting>
  <conditionalFormatting sqref="Q57">
    <cfRule type="expression" dxfId="4036" priority="15216">
      <formula>IF(Q57="Compliant",TRUE)</formula>
    </cfRule>
    <cfRule type="expression" dxfId="4035" priority="15217">
      <formula>IF(Q57="FE with work-a-round",TRUE)</formula>
    </cfRule>
    <cfRule type="expression" dxfId="4034" priority="15218">
      <formula>IF(Q57="Functionally Equivalent",TRUE)</formula>
    </cfRule>
    <cfRule type="expression" dxfId="4033" priority="15219">
      <formula>IF(Q57="Likely to become compliant",TRUE)</formula>
    </cfRule>
    <cfRule type="expression" dxfId="4032" priority="15220">
      <formula>IF(Q57="Partly Compliant",TRUE)</formula>
    </cfRule>
    <cfRule type="expression" dxfId="4031" priority="15221">
      <formula>IF(Q57="Unknown/Missing",TRUE)</formula>
    </cfRule>
    <cfRule type="expression" dxfId="4030" priority="15222">
      <formula>IF(Q57="Not Required/Applicable",TRUE)</formula>
    </cfRule>
    <cfRule type="expression" dxfId="4029" priority="15223">
      <formula>IF(Q57="Not Compliant",TRUE)</formula>
    </cfRule>
    <cfRule type="expression" dxfId="4028" priority="15224">
      <formula>IF($N55=" ",TRUE)</formula>
    </cfRule>
  </conditionalFormatting>
  <conditionalFormatting sqref="V55">
    <cfRule type="expression" dxfId="4027" priority="68">
      <formula>IF(V55="Compliant",TRUE)</formula>
    </cfRule>
    <cfRule type="expression" dxfId="4026" priority="69">
      <formula>IF(V55="FE with work-a-round",TRUE)</formula>
    </cfRule>
    <cfRule type="expression" dxfId="4025" priority="70">
      <formula>IF(V55="Functionally Equivalent",TRUE)</formula>
    </cfRule>
    <cfRule type="expression" dxfId="4024" priority="71">
      <formula>IF(V55="Likely to become compliant",TRUE)</formula>
    </cfRule>
    <cfRule type="expression" dxfId="4023" priority="72">
      <formula>IF(V55="Partly Compliant",TRUE)</formula>
    </cfRule>
    <cfRule type="expression" dxfId="4022" priority="73">
      <formula>IF(V55="Unknown/Missing",TRUE)</formula>
    </cfRule>
    <cfRule type="expression" dxfId="4021" priority="74">
      <formula>IF(V55="Not Required/Applicable",TRUE)</formula>
    </cfRule>
    <cfRule type="expression" dxfId="4020" priority="75">
      <formula>IF(V55="Not Compliant",TRUE)</formula>
    </cfRule>
    <cfRule type="expression" dxfId="4019" priority="76">
      <formula>IF($O55=" ",TRUE)</formula>
    </cfRule>
  </conditionalFormatting>
  <conditionalFormatting sqref="N91 N82 N77 N74 N69">
    <cfRule type="expression" dxfId="4018" priority="59">
      <formula>IF($N69="Compliant",TRUE)</formula>
    </cfRule>
    <cfRule type="expression" dxfId="4017" priority="60">
      <formula>IF($N69="FE with work-a-round",TRUE)</formula>
    </cfRule>
    <cfRule type="expression" dxfId="4016" priority="61">
      <formula>IF($N69="Functionally Equivalent",TRUE)</formula>
    </cfRule>
    <cfRule type="expression" dxfId="4015" priority="62">
      <formula>IF($N69="Likely to become compliant",TRUE)</formula>
    </cfRule>
    <cfRule type="expression" dxfId="4014" priority="63">
      <formula>IF($N69="Partly Compliant",TRUE)</formula>
    </cfRule>
    <cfRule type="expression" dxfId="4013" priority="64">
      <formula>IF($N69="Unknown/Missing",TRUE)</formula>
    </cfRule>
    <cfRule type="expression" dxfId="4012" priority="65">
      <formula>IF($N69="Not Required/Applicable",TRUE)</formula>
    </cfRule>
    <cfRule type="expression" dxfId="4011" priority="66">
      <formula>IF($N69="Not Compliant",TRUE)</formula>
    </cfRule>
    <cfRule type="expression" dxfId="4010" priority="67">
      <formula>IF($N69=" ",TRUE)</formula>
    </cfRule>
  </conditionalFormatting>
  <conditionalFormatting sqref="Q68">
    <cfRule type="expression" dxfId="4009" priority="15225">
      <formula>IF(Q68="Compliant",TRUE)</formula>
    </cfRule>
    <cfRule type="expression" dxfId="4008" priority="15226">
      <formula>IF(Q68="FE with work-a-round",TRUE)</formula>
    </cfRule>
    <cfRule type="expression" dxfId="4007" priority="15227">
      <formula>IF(Q68="Functionally Equivalent",TRUE)</formula>
    </cfRule>
    <cfRule type="expression" dxfId="4006" priority="15228">
      <formula>IF(Q68="Likely to become compliant",TRUE)</formula>
    </cfRule>
    <cfRule type="expression" dxfId="4005" priority="15229">
      <formula>IF(Q68="Partly Compliant",TRUE)</formula>
    </cfRule>
    <cfRule type="expression" dxfId="4004" priority="15230">
      <formula>IF(Q68="Unknown/Missing",TRUE)</formula>
    </cfRule>
    <cfRule type="expression" dxfId="4003" priority="15231">
      <formula>IF(Q68="Not Required/Applicable",TRUE)</formula>
    </cfRule>
    <cfRule type="expression" dxfId="4002" priority="15232">
      <formula>IF(Q68="Not Compliant",TRUE)</formula>
    </cfRule>
    <cfRule type="expression" dxfId="4001" priority="15233">
      <formula>IF(#REF!=" ",TRUE)</formula>
    </cfRule>
  </conditionalFormatting>
  <conditionalFormatting sqref="N114 N104 N95">
    <cfRule type="expression" dxfId="4000" priority="50">
      <formula>IF($N95="Compliant",TRUE)</formula>
    </cfRule>
    <cfRule type="expression" dxfId="3999" priority="51">
      <formula>IF($N95="FE with work-a-round",TRUE)</formula>
    </cfRule>
    <cfRule type="expression" dxfId="3998" priority="52">
      <formula>IF($N95="Functionally Equivalent",TRUE)</formula>
    </cfRule>
    <cfRule type="expression" dxfId="3997" priority="53">
      <formula>IF($N95="Likely to become compliant",TRUE)</formula>
    </cfRule>
    <cfRule type="expression" dxfId="3996" priority="54">
      <formula>IF($N95="Partly Compliant",TRUE)</formula>
    </cfRule>
    <cfRule type="expression" dxfId="3995" priority="55">
      <formula>IF($N95="Unknown/Missing",TRUE)</formula>
    </cfRule>
    <cfRule type="expression" dxfId="3994" priority="56">
      <formula>IF($N95="Not Required/Applicable",TRUE)</formula>
    </cfRule>
    <cfRule type="expression" dxfId="3993" priority="57">
      <formula>IF($N95="Not Compliant",TRUE)</formula>
    </cfRule>
    <cfRule type="expression" dxfId="3992" priority="58">
      <formula>IF($N95=" ",TRUE)</formula>
    </cfRule>
  </conditionalFormatting>
  <conditionalFormatting sqref="N189 N173 N119 N122:N123">
    <cfRule type="expression" dxfId="3991" priority="32">
      <formula>IF($N119="Compliant",TRUE)</formula>
    </cfRule>
    <cfRule type="expression" dxfId="3990" priority="33">
      <formula>IF($N119="FE with work-a-round",TRUE)</formula>
    </cfRule>
    <cfRule type="expression" dxfId="3989" priority="34">
      <formula>IF($N119="Functionally Equivalent",TRUE)</formula>
    </cfRule>
    <cfRule type="expression" dxfId="3988" priority="35">
      <formula>IF($N119="Likely to become compliant",TRUE)</formula>
    </cfRule>
    <cfRule type="expression" dxfId="3987" priority="36">
      <formula>IF($N119="Partly Compliant",TRUE)</formula>
    </cfRule>
    <cfRule type="expression" dxfId="3986" priority="37">
      <formula>IF($N119="Unknown/Missing",TRUE)</formula>
    </cfRule>
    <cfRule type="expression" dxfId="3985" priority="38">
      <formula>IF($N119="Not Required/Applicable",TRUE)</formula>
    </cfRule>
    <cfRule type="expression" dxfId="3984" priority="39">
      <formula>IF($N119="Not Compliant",TRUE)</formula>
    </cfRule>
    <cfRule type="expression" dxfId="3983" priority="40">
      <formula>IF($N119=" ",TRUE)</formula>
    </cfRule>
  </conditionalFormatting>
  <conditionalFormatting sqref="N67">
    <cfRule type="expression" dxfId="3982" priority="30">
      <formula>IF(O67=FALSE,TRUE,FALSE)</formula>
    </cfRule>
    <cfRule type="expression" dxfId="3981" priority="31">
      <formula>IF(O67=TRUE,TRUE,FALSE)</formula>
    </cfRule>
  </conditionalFormatting>
  <conditionalFormatting sqref="N118">
    <cfRule type="expression" dxfId="3980" priority="28">
      <formula>IF(O118=FALSE,TRUE,FALSE)</formula>
    </cfRule>
    <cfRule type="expression" dxfId="3979" priority="29">
      <formula>IF(O118=TRUE,TRUE,FALSE)</formula>
    </cfRule>
  </conditionalFormatting>
  <conditionalFormatting sqref="N172">
    <cfRule type="expression" dxfId="3978" priority="26">
      <formula>IF(O172=FALSE,TRUE,FALSE)</formula>
    </cfRule>
    <cfRule type="expression" dxfId="3977" priority="27">
      <formula>IF(O172=TRUE,TRUE,FALSE)</formula>
    </cfRule>
  </conditionalFormatting>
  <conditionalFormatting sqref="V189 V182 V173 V119 V114 V104 V95 V91 V82 V77 V74 V68:V69 V122:V123">
    <cfRule type="expression" dxfId="3976" priority="17">
      <formula>IF(V68="Compliant",TRUE)</formula>
    </cfRule>
    <cfRule type="expression" dxfId="3975" priority="18">
      <formula>IF(V68="FE with work-a-round",TRUE)</formula>
    </cfRule>
    <cfRule type="expression" dxfId="3974" priority="19">
      <formula>IF(V68="Functionally Equivalent",TRUE)</formula>
    </cfRule>
    <cfRule type="expression" dxfId="3973" priority="20">
      <formula>IF(V68="Likely to become compliant",TRUE)</formula>
    </cfRule>
    <cfRule type="expression" dxfId="3972" priority="21">
      <formula>IF(V68="Partly Compliant",TRUE)</formula>
    </cfRule>
    <cfRule type="expression" dxfId="3971" priority="22">
      <formula>IF(V68="Unknown/Missing",TRUE)</formula>
    </cfRule>
    <cfRule type="expression" dxfId="3970" priority="23">
      <formula>IF(V68="Not Required/Applicable",TRUE)</formula>
    </cfRule>
    <cfRule type="expression" dxfId="3969" priority="24">
      <formula>IF(V68="Not Compliant",TRUE)</formula>
    </cfRule>
    <cfRule type="expression" dxfId="3968" priority="25">
      <formula>IF($O68=" ",TRUE)</formula>
    </cfRule>
  </conditionalFormatting>
  <conditionalFormatting sqref="V172 V118 V67">
    <cfRule type="expression" dxfId="3967" priority="15">
      <formula>IF(W67=FALSE,TRUE,FALSE)</formula>
    </cfRule>
    <cfRule type="expression" dxfId="3966" priority="16">
      <formula>IF(W67=TRUE,TRUE,FALSE)</formula>
    </cfRule>
  </conditionalFormatting>
  <conditionalFormatting sqref="N46">
    <cfRule type="expression" dxfId="3965" priority="6">
      <formula>IF($N46="Compliant",TRUE)</formula>
    </cfRule>
    <cfRule type="expression" dxfId="3964" priority="7">
      <formula>IF($N46="FE with work-a-round",TRUE)</formula>
    </cfRule>
    <cfRule type="expression" dxfId="3963" priority="8">
      <formula>IF($N46="Functionally Equivalent",TRUE)</formula>
    </cfRule>
    <cfRule type="expression" dxfId="3962" priority="9">
      <formula>IF($N46="Likely to become compliant",TRUE)</formula>
    </cfRule>
    <cfRule type="expression" dxfId="3961" priority="10">
      <formula>IF($N46="Partly Compliant",TRUE)</formula>
    </cfRule>
    <cfRule type="expression" dxfId="3960" priority="11">
      <formula>IF($N46="Unknown/Missing",TRUE)</formula>
    </cfRule>
    <cfRule type="expression" dxfId="3959" priority="12">
      <formula>IF($N46="Not Required/Applicable",TRUE)</formula>
    </cfRule>
    <cfRule type="expression" dxfId="3958" priority="13">
      <formula>IF($N46="Not Compliant",TRUE)</formula>
    </cfRule>
    <cfRule type="expression" dxfId="3957" priority="14">
      <formula>IF($N46=" ",TRUE)</formula>
    </cfRule>
  </conditionalFormatting>
  <conditionalFormatting sqref="D32">
    <cfRule type="expression" dxfId="3956" priority="3">
      <formula>IF($E32=TRUE,TRUE)</formula>
    </cfRule>
  </conditionalFormatting>
  <conditionalFormatting sqref="D16:D17 D29:D32 D35:D38 D41:D42 D47:D50 D57:D60 D62:D65 D68 D70:D73 D75:D76 D78:D81 D83:D90 D92:D93 D97:D102 D106:D112 D114 D120:D122 D124:D168 D175:D180 D184:D188 D190:D203">
    <cfRule type="expression" dxfId="3955" priority="256">
      <formula>IF($D16="Compliant",TRUE)</formula>
    </cfRule>
    <cfRule type="expression" dxfId="3954" priority="257">
      <formula>IF($D16=" ",TRUE)</formula>
    </cfRule>
    <cfRule type="expression" dxfId="3953" priority="263">
      <formula>IF($D16="Not Compliant",TRUE)</formula>
    </cfRule>
  </conditionalFormatting>
  <dataValidations count="3">
    <dataValidation type="list" allowBlank="1" showInputMessage="1" showErrorMessage="1" sqref="M21 M172 M196:M197 T269:T278 M199:M207 N115:O115">
      <formula1>Initial_Compliance</formula1>
    </dataValidation>
    <dataValidation type="list" allowBlank="1" showInputMessage="1" showErrorMessage="1" sqref="R269:R296">
      <formula1>MAO_Compliance_Submission</formula1>
    </dataValidation>
    <dataValidation type="list" allowBlank="1" showInputMessage="1" showErrorMessage="1" sqref="T279:T296">
      <formula1>Final_Compliance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83" id="{03090528-9CF4-4D21-B003-A5932EB8E30A}">
            <xm:f>ISNUMBER(SEARCH($D29,Dropdowns!$D$18))</xm:f>
            <x14:dxf>
              <fill>
                <patternFill>
                  <bgColor rgb="FFFFFF00"/>
                </patternFill>
              </fill>
            </x14:dxf>
          </x14:cfRule>
          <x14:cfRule type="expression" priority="484" id="{B3B8C7CC-C9A1-45F6-9BC2-257F47D21CB8}">
            <xm:f>ISNUMBER(SEARCH($D29,Dropdowns!$D$19))</xm:f>
            <x14:dxf>
              <fill>
                <patternFill>
                  <bgColor theme="6" tint="0.39994506668294322"/>
                </patternFill>
              </fill>
            </x14:dxf>
          </x14:cfRule>
          <x14:cfRule type="expression" priority="485" id="{44611B2A-2F73-4516-B099-AABB797E166E}">
            <xm:f>ISNUMBER(SEARCH($D29,Dropdowns!$D$20))</xm:f>
            <x14:dxf>
              <fill>
                <patternFill>
                  <bgColor theme="6" tint="0.39994506668294322"/>
                </patternFill>
              </fill>
            </x14:dxf>
          </x14:cfRule>
          <x14:cfRule type="expression" priority="486" id="{49B06F7B-A2B4-4CD0-8A72-1AD80B2801B5}">
            <xm:f>ISNUMBER(SEARCH($D29,Dropdowns!$D$21))</xm:f>
            <x14:dxf>
              <fill>
                <patternFill>
                  <bgColor rgb="FFFFFF00"/>
                </patternFill>
              </fill>
            </x14:dxf>
          </x14:cfRule>
          <x14:cfRule type="expression" priority="487" id="{0523450F-25C1-4888-8E2A-88C2589A130F}">
            <xm:f>ISNUMBER(SEARCH($D29,Dropdowns!$D$23))</xm:f>
            <x14:dxf>
              <fill>
                <patternFill>
                  <bgColor rgb="FFFFFF00"/>
                </patternFill>
              </fill>
            </x14:dxf>
          </x14:cfRule>
          <xm:sqref>D29</xm:sqref>
        </x14:conditionalFormatting>
        <x14:conditionalFormatting xmlns:xm="http://schemas.microsoft.com/office/excel/2006/main">
          <x14:cfRule type="expression" priority="475" id="{93CEE434-05EC-4D39-AF4C-6A7C03CE571D}">
            <xm:f>ISNUMBER(SEARCH($D30,Dropdowns!$D$18))</xm:f>
            <x14:dxf>
              <fill>
                <patternFill>
                  <bgColor rgb="FFFFFF00"/>
                </patternFill>
              </fill>
            </x14:dxf>
          </x14:cfRule>
          <x14:cfRule type="expression" priority="476" id="{4E32A52F-2C08-4CA6-BE9A-7E39549DA322}">
            <xm:f>ISNUMBER(SEARCH($D30,Dropdowns!$D$19))</xm:f>
            <x14:dxf>
              <fill>
                <patternFill>
                  <bgColor theme="6" tint="0.39994506668294322"/>
                </patternFill>
              </fill>
            </x14:dxf>
          </x14:cfRule>
          <x14:cfRule type="expression" priority="477" id="{53E0C9C6-F295-46F5-A555-8EF6B097B6E3}">
            <xm:f>ISNUMBER(SEARCH($D30,Dropdowns!$D$20))</xm:f>
            <x14:dxf>
              <fill>
                <patternFill>
                  <bgColor theme="6" tint="0.39994506668294322"/>
                </patternFill>
              </fill>
            </x14:dxf>
          </x14:cfRule>
          <x14:cfRule type="expression" priority="478" id="{8572E97C-54F5-4941-B509-2CC8193DE9CC}">
            <xm:f>ISNUMBER(SEARCH($D30,Dropdowns!$D$21))</xm:f>
            <x14:dxf>
              <fill>
                <patternFill>
                  <bgColor rgb="FFFFFF00"/>
                </patternFill>
              </fill>
            </x14:dxf>
          </x14:cfRule>
          <x14:cfRule type="expression" priority="479" id="{5046A036-0533-418A-BD00-123CA9EFCCBB}">
            <xm:f>ISNUMBER(SEARCH($D30,Dropdowns!$D$23))</xm:f>
            <x14:dxf>
              <fill>
                <patternFill>
                  <bgColor rgb="FFFFFF00"/>
                </patternFill>
              </fill>
            </x14:dxf>
          </x14:cfRule>
          <xm:sqref>D30</xm:sqref>
        </x14:conditionalFormatting>
        <x14:conditionalFormatting xmlns:xm="http://schemas.microsoft.com/office/excel/2006/main">
          <x14:cfRule type="expression" priority="467" id="{3E088958-69C4-4459-8481-B96E02D7070B}">
            <xm:f>ISNUMBER(SEARCH($D31,Dropdowns!$D$18))</xm:f>
            <x14:dxf>
              <fill>
                <patternFill>
                  <bgColor rgb="FFFFFF00"/>
                </patternFill>
              </fill>
            </x14:dxf>
          </x14:cfRule>
          <x14:cfRule type="expression" priority="468" id="{B0A66A58-E93F-46F9-A832-FDFFBFE1C89E}">
            <xm:f>ISNUMBER(SEARCH($D31,Dropdowns!$D$19))</xm:f>
            <x14:dxf>
              <fill>
                <patternFill>
                  <bgColor theme="6" tint="0.39994506668294322"/>
                </patternFill>
              </fill>
            </x14:dxf>
          </x14:cfRule>
          <x14:cfRule type="expression" priority="469" id="{68332296-7237-406B-AEF1-5ABAD9257C34}">
            <xm:f>ISNUMBER(SEARCH($D31,Dropdowns!$D$20))</xm:f>
            <x14:dxf>
              <fill>
                <patternFill>
                  <bgColor theme="6" tint="0.39994506668294322"/>
                </patternFill>
              </fill>
            </x14:dxf>
          </x14:cfRule>
          <x14:cfRule type="expression" priority="470" id="{C0D001C0-A2F9-41BC-B1C5-EB4CD82946D6}">
            <xm:f>ISNUMBER(SEARCH($D31,Dropdowns!$D$21))</xm:f>
            <x14:dxf>
              <fill>
                <patternFill>
                  <bgColor rgb="FFFFFF00"/>
                </patternFill>
              </fill>
            </x14:dxf>
          </x14:cfRule>
          <x14:cfRule type="expression" priority="471" id="{544D9441-A24B-4202-8871-F27FFAF3B7BE}">
            <xm:f>ISNUMBER(SEARCH($D31,Dropdowns!$D$23))</xm:f>
            <x14:dxf>
              <fill>
                <patternFill>
                  <bgColor rgb="FFFFFF00"/>
                </patternFill>
              </fill>
            </x14:dxf>
          </x14:cfRule>
          <xm:sqref>D31</xm:sqref>
        </x14:conditionalFormatting>
        <x14:conditionalFormatting xmlns:xm="http://schemas.microsoft.com/office/excel/2006/main">
          <x14:cfRule type="expression" priority="237" id="{D5401334-BC35-47A5-AE82-39AE4E7B0C1E}">
            <xm:f>ISNUMBER(SEARCH($D9,Dropdowns!$D$18))</xm:f>
            <x14:dxf>
              <fill>
                <patternFill>
                  <bgColor rgb="FFFFFF00"/>
                </patternFill>
              </fill>
            </x14:dxf>
          </x14:cfRule>
          <x14:cfRule type="expression" priority="238" id="{33857523-1858-4440-9162-71025B4956C2}">
            <xm:f>ISNUMBER(SEARCH($D9,Dropdowns!$D$19))</xm:f>
            <x14:dxf>
              <fill>
                <patternFill>
                  <bgColor theme="6" tint="0.39994506668294322"/>
                </patternFill>
              </fill>
            </x14:dxf>
          </x14:cfRule>
          <x14:cfRule type="expression" priority="239" id="{6C60A839-CF20-4581-84D8-17A2FE584B45}">
            <xm:f>ISNUMBER(SEARCH($D9,Dropdowns!$D$20))</xm:f>
            <x14:dxf>
              <fill>
                <patternFill>
                  <bgColor theme="6" tint="0.39994506668294322"/>
                </patternFill>
              </fill>
            </x14:dxf>
          </x14:cfRule>
          <x14:cfRule type="expression" priority="240" id="{63B892A9-58FC-4E69-9488-C2F94FA05D99}">
            <xm:f>ISNUMBER(SEARCH($D9,Dropdowns!$D$21))</xm:f>
            <x14:dxf>
              <fill>
                <patternFill>
                  <bgColor rgb="FFFFFF00"/>
                </patternFill>
              </fill>
            </x14:dxf>
          </x14:cfRule>
          <x14:cfRule type="expression" priority="241" id="{4CFEA270-BAE6-494D-A2CC-48F416F76639}">
            <xm:f>ISNUMBER(SEARCH($D9,Dropdowns!$D$23))</xm:f>
            <x14:dxf>
              <fill>
                <patternFill>
                  <bgColor rgb="FFFFFF00"/>
                </patternFill>
              </fill>
            </x14:dxf>
          </x14:cfRule>
          <xm:sqref>D9</xm:sqref>
        </x14:conditionalFormatting>
        <x14:conditionalFormatting xmlns:xm="http://schemas.microsoft.com/office/excel/2006/main">
          <x14:cfRule type="expression" priority="258" id="{EAF91EF5-DEE3-4E29-AEFC-FAC85B456F37}">
            <xm:f>ISNUMBER(SEARCH($D16,Dropdowns!$D$18))</xm:f>
            <x14:dxf>
              <fill>
                <patternFill>
                  <bgColor rgb="FFFFFF00"/>
                </patternFill>
              </fill>
            </x14:dxf>
          </x14:cfRule>
          <x14:cfRule type="expression" priority="259" id="{0F01DB9C-9274-45B9-9A0F-983B1CAA06AB}">
            <xm:f>ISNUMBER(SEARCH($D16,Dropdowns!$D$19))</xm:f>
            <x14:dxf>
              <fill>
                <patternFill>
                  <bgColor theme="6" tint="0.39994506668294322"/>
                </patternFill>
              </fill>
            </x14:dxf>
          </x14:cfRule>
          <x14:cfRule type="expression" priority="260" id="{E336D2ED-468D-4BF7-B9AB-D1A5BAFBF274}">
            <xm:f>ISNUMBER(SEARCH($D16,Dropdowns!$D$20))</xm:f>
            <x14:dxf>
              <fill>
                <patternFill>
                  <bgColor theme="6" tint="0.39994506668294322"/>
                </patternFill>
              </fill>
            </x14:dxf>
          </x14:cfRule>
          <x14:cfRule type="expression" priority="261" id="{B3C23643-34E2-4A85-BAFC-3DE03B7B8749}">
            <xm:f>ISNUMBER(SEARCH($D16,Dropdowns!$D$21))</xm:f>
            <x14:dxf>
              <fill>
                <patternFill>
                  <bgColor rgb="FFFFFF00"/>
                </patternFill>
              </fill>
            </x14:dxf>
          </x14:cfRule>
          <x14:cfRule type="expression" priority="262" id="{BFBBEF45-7131-4B70-98D1-ED6677B7DA12}">
            <xm:f>ISNUMBER(SEARCH($D16,Dropdowns!$D$23))</xm:f>
            <x14:dxf>
              <fill>
                <patternFill>
                  <bgColor rgb="FFFFFF00"/>
                </patternFill>
              </fill>
            </x14:dxf>
          </x14:cfRule>
          <xm:sqref>D16:D17 D29:D32 D35:D38 D41:D42 D47:D50 D57:D60 D62:D65 D68 D70:D73 D75:D76 D78:D81 D83:D90 D92:D93 D97:D102 D106:D112 D114 D120:D122 D124:D168 D175:D180 D184:D188 D190:D203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Dropdowns!$G$11:$G$16</xm:f>
          </x14:formula1>
          <xm:sqref>V114 V95 V28:W28 V55 V91 V104 V169:W169 V171:W171 V46 V15 V9 V34:W34 V40:W40 V182 V189 V122:V123 V68:V69 V173 V74 V77 V119 V117:W117 V115:W115 V82</xm:sqref>
        </x14:dataValidation>
        <x14:dataValidation type="list" allowBlank="1" showInputMessage="1" showErrorMessage="1">
          <x14:formula1>
            <xm:f>Dropdowns!$F$9:$F$13</xm:f>
          </x14:formula1>
          <xm:sqref>M70:M73 M75:M76 M78:M81 M92:M93 M83:M90 M97:M102 M106:M112 M68:N68 M55:M56 M58:M65</xm:sqref>
        </x14:dataValidation>
        <x14:dataValidation type="list" allowBlank="1" showInputMessage="1" showErrorMessage="1">
          <x14:formula1>
            <xm:f>Dropdowns!$F$9:$F$12</xm:f>
          </x14:formula1>
          <xm:sqref>M104:M105 M67 M69 M74 M77 M82 M91 M95:M96 M114 M28 N171:O171 N169:O169 N117:O117</xm:sqref>
        </x14:dataValidation>
        <x14:dataValidation type="list" allowBlank="1" showInputMessage="1" showErrorMessage="1">
          <x14:formula1>
            <xm:f>Dropdowns!$C$11:$C$13</xm:f>
          </x14:formula1>
          <xm:sqref>V20:W20 M23:M24 C40 C34 M20 D19 N19 Q19 V19</xm:sqref>
        </x14:dataValidation>
        <x14:dataValidation type="list" allowBlank="1" showInputMessage="1" showErrorMessage="1">
          <x14:formula1>
            <xm:f>Dropdowns!$D$32:$D$36</xm:f>
          </x14:formula1>
          <xm:sqref>M173:M180</xm:sqref>
        </x14:dataValidation>
        <x14:dataValidation type="list" allowBlank="1" showInputMessage="1" showErrorMessage="1">
          <x14:formula1>
            <xm:f>Dropdowns!$D$32:$D$37</xm:f>
          </x14:formula1>
          <xm:sqref>M183:M195</xm:sqref>
        </x14:dataValidation>
        <x14:dataValidation type="list" allowBlank="1" showInputMessage="1" showErrorMessage="1">
          <x14:formula1>
            <xm:f>Dropdowns!$C$16:$C$19</xm:f>
          </x14:formula1>
          <xm:sqref>V45:W45 U28</xm:sqref>
        </x14:dataValidation>
        <x14:dataValidation type="list" allowBlank="1" showInputMessage="1" showErrorMessage="1">
          <x14:formula1>
            <xm:f>Dropdowns!$D$16:$D$23</xm:f>
          </x14:formula1>
          <xm:sqref>D41:D42 D114 D14 D57:D60 D62:D65 D68 D70:D73 D78:D81 D75:D76 D83:D90 D92:D93 D97:D102 D106:D112 D120:D122 D124:D168 D175:D180 D184:D188 D190:D203 D35:D38 Q57:Q60 D16:D17 D29:D31 D47:D50 Q29:Q32 D9 Q34 Q40 Q62:Q65 Q68 Q70:Q73 Q75:Q76 Q78:Q81 Q83:Q90 Q92:Q93 Q97:Q102 Q106:Q112 Q114 Q120:Q122 Q124:Q168 Q175:Q180 Q184:Q188 Q190:Q203</xm:sqref>
        </x14:dataValidation>
        <x14:dataValidation type="list" allowBlank="1" showInputMessage="1" showErrorMessage="1">
          <x14:formula1>
            <xm:f>Dropdowns!$F$2:$F$8</xm:f>
          </x14:formula1>
          <xm:sqref>N28 N46 N15 N9 N34 N40 N119:N168 N68:N93 N104:N112 N114 N95:N102 N173:N180 N182:N203 N55</xm:sqref>
        </x14:dataValidation>
        <x14:dataValidation type="list" allowBlank="1" showInputMessage="1" showErrorMessage="1">
          <x14:formula1>
            <xm:f>Dropdowns!$E$11:$E$15</xm:f>
          </x14:formula1>
          <xm:sqref>Q47:Q50 Q15 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G158"/>
  <sheetViews>
    <sheetView topLeftCell="B1" zoomScale="75" zoomScaleNormal="75" workbookViewId="0">
      <pane ySplit="5" topLeftCell="A6" activePane="bottomLeft" state="frozen"/>
      <selection activeCell="T10" sqref="T10"/>
      <selection pane="bottomLeft" activeCell="I8" sqref="I8"/>
    </sheetView>
  </sheetViews>
  <sheetFormatPr defaultColWidth="8.796875" defaultRowHeight="13" x14ac:dyDescent="0.3"/>
  <cols>
    <col min="1" max="1" width="10.296875" style="1384" hidden="1" customWidth="1"/>
    <col min="2" max="2" width="34" style="1384" customWidth="1"/>
    <col min="3" max="3" width="61" style="1384" customWidth="1"/>
    <col min="4" max="4" width="32.69921875" style="1384" customWidth="1"/>
    <col min="5" max="5" width="10.796875" style="1384" hidden="1" customWidth="1"/>
    <col min="6" max="6" width="11.796875" style="1384" hidden="1" customWidth="1"/>
    <col min="7" max="7" width="12.296875" style="1384" hidden="1" customWidth="1"/>
    <col min="8" max="8" width="12.19921875" style="1384" hidden="1" customWidth="1"/>
    <col min="9" max="9" width="61.3984375" style="1384" customWidth="1"/>
    <col min="10" max="10" width="11.69921875" style="1384" hidden="1" customWidth="1"/>
    <col min="11" max="11" width="11.19921875" style="1384" hidden="1" customWidth="1"/>
    <col min="12" max="13" width="34.296875" style="1384" customWidth="1"/>
    <col min="14" max="14" width="36.19921875" style="1384" customWidth="1"/>
    <col min="15" max="15" width="14.69921875" style="1384" hidden="1" customWidth="1"/>
    <col min="16" max="16" width="50.296875" style="1384" customWidth="1"/>
    <col min="17" max="17" width="46" style="1384" customWidth="1"/>
    <col min="18" max="18" width="15.19921875" style="1384" hidden="1" customWidth="1"/>
    <col min="19" max="19" width="59.3984375" style="1384" customWidth="1"/>
    <col min="20" max="20" width="38.69921875" style="1384" customWidth="1"/>
    <col min="21" max="21" width="41" style="1384" customWidth="1"/>
    <col min="22" max="22" width="33.69921875" style="1384" customWidth="1"/>
    <col min="23" max="23" width="15" style="1384" hidden="1" customWidth="1"/>
    <col min="24" max="24" width="47.69921875" style="1384" customWidth="1"/>
    <col min="25" max="26" width="35.19921875" style="1384" customWidth="1"/>
    <col min="27" max="16384" width="8.796875" style="1384"/>
  </cols>
  <sheetData>
    <row r="1" spans="1:26" s="3694" customFormat="1" ht="68.25" customHeight="1" x14ac:dyDescent="0.3">
      <c r="B1" s="4460"/>
      <c r="C1" s="4460"/>
      <c r="D1" s="4460"/>
    </row>
    <row r="2" spans="1:26" s="3694" customFormat="1" ht="93.75" customHeight="1" x14ac:dyDescent="0.3">
      <c r="B2" s="4461" t="s">
        <v>2280</v>
      </c>
      <c r="C2" s="4462"/>
      <c r="D2" s="4462"/>
    </row>
    <row r="3" spans="1:26" s="3694" customFormat="1" x14ac:dyDescent="0.3">
      <c r="B3" s="4746"/>
      <c r="C3" s="4746"/>
      <c r="D3" s="4746"/>
    </row>
    <row r="4" spans="1:26" s="3758" customFormat="1" ht="48.75" customHeight="1" thickBot="1" x14ac:dyDescent="0.35">
      <c r="A4" s="4748" t="s">
        <v>1860</v>
      </c>
      <c r="B4" s="4749"/>
      <c r="C4" s="4749"/>
      <c r="D4" s="4749"/>
      <c r="E4" s="3756"/>
      <c r="F4" s="3756"/>
      <c r="G4" s="3756"/>
      <c r="H4" s="3756"/>
      <c r="I4" s="3756"/>
      <c r="J4" s="3756"/>
      <c r="K4" s="3756"/>
      <c r="L4" s="3756"/>
      <c r="M4" s="3756"/>
      <c r="N4" s="3757"/>
      <c r="O4" s="3757"/>
      <c r="P4" s="3757"/>
      <c r="Q4" s="3757"/>
      <c r="R4" s="3757"/>
      <c r="S4" s="3757"/>
    </row>
    <row r="5" spans="1:26" s="3650" customFormat="1" ht="38" thickTop="1" thickBot="1" x14ac:dyDescent="0.35">
      <c r="A5" s="3759"/>
      <c r="B5" s="3759" t="s">
        <v>1872</v>
      </c>
      <c r="C5" s="3759" t="s">
        <v>1873</v>
      </c>
      <c r="D5" s="3759" t="s">
        <v>1236</v>
      </c>
      <c r="E5" s="3759"/>
      <c r="F5" s="3759"/>
      <c r="G5" s="3760"/>
      <c r="H5" s="3759"/>
      <c r="I5" s="3759" t="s">
        <v>458</v>
      </c>
      <c r="J5" s="3760"/>
      <c r="K5" s="3760"/>
      <c r="L5" s="3759" t="s">
        <v>408</v>
      </c>
      <c r="M5" s="3759" t="s">
        <v>466</v>
      </c>
      <c r="N5" s="3760" t="s">
        <v>465</v>
      </c>
      <c r="O5" s="3760"/>
      <c r="P5" s="3759" t="s">
        <v>1221</v>
      </c>
      <c r="Q5" s="3759" t="s">
        <v>1212</v>
      </c>
      <c r="R5" s="3759"/>
      <c r="S5" s="3759" t="s">
        <v>396</v>
      </c>
      <c r="T5" s="3759" t="s">
        <v>409</v>
      </c>
      <c r="U5" s="3759" t="s">
        <v>1211</v>
      </c>
      <c r="V5" s="3759" t="s">
        <v>1824</v>
      </c>
      <c r="W5" s="3761"/>
      <c r="X5" s="3759" t="s">
        <v>10</v>
      </c>
      <c r="Y5" s="3759" t="s">
        <v>11</v>
      </c>
      <c r="Z5" s="3759" t="s">
        <v>12</v>
      </c>
    </row>
    <row r="6" spans="1:26" s="3640" customFormat="1" ht="19" thickTop="1" x14ac:dyDescent="0.3">
      <c r="A6" s="4515" t="s">
        <v>1242</v>
      </c>
      <c r="B6" s="4516"/>
      <c r="C6" s="4516"/>
      <c r="D6" s="4740"/>
      <c r="E6" s="4740"/>
      <c r="F6" s="4740"/>
      <c r="G6" s="4740"/>
      <c r="H6" s="4740"/>
      <c r="I6" s="4740"/>
      <c r="J6" s="4740"/>
      <c r="K6" s="4740"/>
      <c r="L6" s="4740"/>
      <c r="M6" s="4740"/>
      <c r="N6" s="4740"/>
      <c r="O6" s="4740"/>
      <c r="P6" s="4740"/>
      <c r="Q6" s="4740"/>
      <c r="R6" s="4740"/>
      <c r="S6" s="4740"/>
      <c r="T6" s="4740"/>
      <c r="U6" s="4740"/>
      <c r="V6" s="4740"/>
      <c r="W6" s="4740"/>
      <c r="X6" s="4740"/>
      <c r="Y6" s="4740"/>
      <c r="Z6" s="3762"/>
    </row>
    <row r="7" spans="1:26" s="3640" customFormat="1" ht="19" thickBot="1" x14ac:dyDescent="0.35">
      <c r="A7" s="3763"/>
      <c r="B7" s="3752"/>
      <c r="C7" s="3763"/>
      <c r="D7" s="3642"/>
      <c r="E7" s="3642"/>
      <c r="F7" s="3642"/>
      <c r="G7" s="3642"/>
      <c r="H7" s="3642"/>
      <c r="I7" s="3642"/>
      <c r="J7" s="3642"/>
      <c r="K7" s="3642"/>
      <c r="L7" s="3642"/>
      <c r="M7" s="3642"/>
      <c r="N7" s="3642"/>
      <c r="O7" s="3642"/>
      <c r="P7" s="3642"/>
      <c r="Q7" s="3642"/>
      <c r="R7" s="3639"/>
      <c r="S7" s="3639"/>
      <c r="T7" s="3639"/>
      <c r="U7" s="3639"/>
      <c r="V7" s="3660"/>
      <c r="W7" s="3660"/>
      <c r="X7" s="3660"/>
      <c r="Y7" s="3755"/>
      <c r="Z7" s="3660"/>
    </row>
    <row r="8" spans="1:26" s="1414" customFormat="1" ht="44.5" thickTop="1" thickBot="1" x14ac:dyDescent="0.35">
      <c r="A8" s="37" t="s">
        <v>411</v>
      </c>
      <c r="B8" s="4193" t="s">
        <v>398</v>
      </c>
      <c r="C8" s="1809" t="s">
        <v>1971</v>
      </c>
      <c r="D8" s="102" t="s">
        <v>3</v>
      </c>
      <c r="E8" s="231" t="b">
        <f>IF(D8="Compliant",TRUE,FALSE)</f>
        <v>0</v>
      </c>
      <c r="F8" s="2675"/>
      <c r="G8" s="2675"/>
      <c r="H8" s="2675"/>
      <c r="I8" s="2675"/>
      <c r="J8" s="2675"/>
      <c r="K8" s="2675"/>
      <c r="L8" s="2675"/>
      <c r="M8" s="133"/>
      <c r="N8" s="1134" t="s">
        <v>3</v>
      </c>
      <c r="O8" s="816" t="b">
        <f>IF(OR(N8="Compliant",N8="FE with work-a-round",N8="Functionally Equivalent"),TRUE,FALSE)</f>
        <v>0</v>
      </c>
      <c r="P8" s="1009"/>
      <c r="Q8" s="1188" t="s">
        <v>3</v>
      </c>
      <c r="R8" s="816" t="b">
        <f>IF(OR(Q8="Compliant",Q8="FE with work-a-round",Q8="Functionally Equivalent"),TRUE,FALSE)</f>
        <v>0</v>
      </c>
      <c r="S8" s="336"/>
      <c r="T8" s="336"/>
      <c r="U8" s="640"/>
      <c r="V8" s="1188" t="s">
        <v>3</v>
      </c>
      <c r="W8" s="460" t="b">
        <f>IF(OR(V8="Compliant",V8="FE with work-a-round",V8="Functionally Equivalent",V8="Not Required/Applicable"),TRUE,FALSE)</f>
        <v>0</v>
      </c>
      <c r="X8" s="821"/>
      <c r="Y8" s="336"/>
      <c r="Z8" s="337"/>
    </row>
    <row r="9" spans="1:26" s="1414" customFormat="1" ht="44.5" thickTop="1" thickBot="1" x14ac:dyDescent="0.35">
      <c r="A9" s="37" t="s">
        <v>590</v>
      </c>
      <c r="B9" s="4194" t="s">
        <v>626</v>
      </c>
      <c r="C9" s="1697" t="s">
        <v>539</v>
      </c>
      <c r="D9" s="2998" t="s">
        <v>565</v>
      </c>
      <c r="E9" s="1922" t="b">
        <f>IF(OR(E10=TRUE,E11=TRUE),TRUE,FALSE)</f>
        <v>0</v>
      </c>
      <c r="F9" s="1647">
        <f>COUNTIF(E10:E11,TRUE)</f>
        <v>0</v>
      </c>
      <c r="G9" s="1647">
        <f>COUNTIFS(E10:E11,TRUE,G10:G11,"Not Blank")</f>
        <v>0</v>
      </c>
      <c r="H9" s="1647">
        <f>COUNTIFS(E10:E11,FALSE,G10:G11,"Not Blank")</f>
        <v>0</v>
      </c>
      <c r="I9" s="1497" t="str">
        <f xml:space="preserve">
IF(F9&gt;1,"Too Many Entries - Check Red Lines",
IF(G9&lt;F9,"Valid Entry required below - Check Amber Line/s",
IF(AND(E8=FALSE,G9=0,H9=0),"Nothing Entered below Yet",
IF(G9&lt;F9,"Valid Entry required below - Check Amber Line/s",
IF(AND(G9=0,H9&gt;0),"**Non-Valid Entry/ies below - Check Yellow Line/s",
IF(AND(G9&gt;0,H9&gt;0),"**Valid and Non-Valid Entries made below - Check Yellow Line/s",
IF(AND(E8=FALSE,F9&lt;1),"Not all requirements addressed below - Check Pink Line/s",
IF(AND(E8=FALSE,G9&lt;1,G9&gt;0,H9=0),"More entries to come",
IF(AND(E8,TRUE,G9=1,H9=0),"Valid Entries made below"
)))))))))</f>
        <v>Nothing Entered below Yet</v>
      </c>
      <c r="J9" s="1647">
        <f>COUNTIFS(E10:E11,TRUE,J10:J11,"Not Blank")</f>
        <v>0</v>
      </c>
      <c r="K9" s="1647">
        <f>COUNTIFS(E10:E11,FALSE,J10:J11,"Not Blank")</f>
        <v>0</v>
      </c>
      <c r="L9" s="1648" t="str">
        <f xml:space="preserve">
IF(J9&gt;1,"Too Many Entries - Check Red Lines",
IF(J9&lt;F9,"Valid Entry required below - Check Amber Line/s",
IF(AND(E8=FALSE,J9=0,K9=0),"Nothing Entered below Yet",
IF(AND(J9=0,K9&gt;0),"**Non-Valid Entry/ies below - Check Yellow Line/s",
IF(AND(J9&gt;0,K9&gt;0),"**Valid and Non-Valid Entries made below - Check Yellow Line/s",
IF(AND(E8=FALSE,J9&lt;1),"Not all requirements addressed below - Check Pink Line/s",
IF(AND(E8=FALSE,J9&lt;1,J9&gt;0,K9=0),"More entries to come",
IF(AND(E8,TRUE,J9=1,K9=0),"Valid Entries made below"
))))))))</f>
        <v>Nothing Entered below Yet</v>
      </c>
      <c r="M9" s="134"/>
      <c r="N9" s="4446" t="s">
        <v>3</v>
      </c>
      <c r="O9" s="4526" t="b">
        <f>IF(OR(N9="Compliant",N9="FE with work-a-round",N9="Functionally Equivalent"),TRUE,FALSE)</f>
        <v>0</v>
      </c>
      <c r="P9" s="337"/>
      <c r="Q9" s="4446" t="s">
        <v>3</v>
      </c>
      <c r="R9" s="4477" t="b">
        <f>IF(OR(Q9="Compliant",Q9="FE with work-a-round",Q9="Functionally Equivalent"),TRUE,FALSE)</f>
        <v>0</v>
      </c>
      <c r="S9" s="186"/>
      <c r="T9" s="186"/>
      <c r="U9" s="459"/>
      <c r="V9" s="4446" t="s">
        <v>3</v>
      </c>
      <c r="W9" s="4469" t="b">
        <f>IF(OR(V9="Compliant",V9="FE with work-a-round",V9="Functionally Equivalent",V9="Not Required/Applicable"),TRUE,FALSE)</f>
        <v>0</v>
      </c>
      <c r="X9" s="406"/>
      <c r="Y9" s="186"/>
      <c r="Z9" s="306"/>
    </row>
    <row r="10" spans="1:26" s="1414" customFormat="1" ht="29.5" thickTop="1" x14ac:dyDescent="0.3">
      <c r="A10" s="37"/>
      <c r="B10" s="4195"/>
      <c r="C10" s="1806" t="s">
        <v>540</v>
      </c>
      <c r="D10" s="1035" t="s">
        <v>3</v>
      </c>
      <c r="E10" s="67" t="b">
        <f>IF(D10="Compliant",TRUE,FALSE)</f>
        <v>0</v>
      </c>
      <c r="F10" s="44"/>
      <c r="G10" s="44" t="str">
        <f>IF(I10&lt;&gt;"", "Not Blank", "")</f>
        <v/>
      </c>
      <c r="H10" s="44"/>
      <c r="I10" s="42"/>
      <c r="J10" s="44" t="str">
        <f>IF(L10&lt;&gt;"", "Not Blank", "")</f>
        <v/>
      </c>
      <c r="K10" s="44"/>
      <c r="L10" s="111"/>
      <c r="M10" s="144"/>
      <c r="N10" s="4447"/>
      <c r="O10" s="4527"/>
      <c r="P10" s="1755"/>
      <c r="Q10" s="4447"/>
      <c r="R10" s="4450"/>
      <c r="S10" s="261"/>
      <c r="T10" s="261"/>
      <c r="U10" s="589"/>
      <c r="V10" s="4447"/>
      <c r="W10" s="4435"/>
      <c r="X10" s="471"/>
      <c r="Y10" s="261"/>
      <c r="Z10" s="575"/>
    </row>
    <row r="11" spans="1:26" s="1414" customFormat="1" ht="29.5" thickBot="1" x14ac:dyDescent="0.35">
      <c r="A11" s="37"/>
      <c r="B11" s="4191"/>
      <c r="C11" s="1800" t="s">
        <v>541</v>
      </c>
      <c r="D11" s="700" t="s">
        <v>3</v>
      </c>
      <c r="E11" s="161" t="b">
        <f>IF(D11="Compliant",TRUE,FALSE)</f>
        <v>0</v>
      </c>
      <c r="F11" s="124"/>
      <c r="G11" s="124" t="str">
        <f>IF(I11&lt;&gt;"", "Not Blank", "")</f>
        <v/>
      </c>
      <c r="H11" s="124"/>
      <c r="I11" s="124"/>
      <c r="J11" s="124" t="str">
        <f>IF(L11&lt;&gt;"", "Not Blank", "")</f>
        <v/>
      </c>
      <c r="K11" s="124"/>
      <c r="L11" s="124"/>
      <c r="M11" s="246"/>
      <c r="N11" s="4448"/>
      <c r="O11" s="4528"/>
      <c r="P11" s="1749"/>
      <c r="Q11" s="4448"/>
      <c r="R11" s="4478"/>
      <c r="S11" s="1555"/>
      <c r="T11" s="1555"/>
      <c r="U11" s="1164"/>
      <c r="V11" s="4448"/>
      <c r="W11" s="4470"/>
      <c r="X11" s="1224"/>
      <c r="Y11" s="1555"/>
      <c r="Z11" s="1556"/>
    </row>
    <row r="12" spans="1:26" s="3745" customFormat="1" ht="15.5" thickTop="1" thickBot="1" x14ac:dyDescent="0.35">
      <c r="A12" s="3668"/>
      <c r="B12" s="3668"/>
      <c r="C12" s="3634"/>
      <c r="D12" s="3634"/>
      <c r="E12" s="3634"/>
      <c r="F12" s="3634"/>
      <c r="G12" s="3634"/>
      <c r="H12" s="3634"/>
      <c r="I12" s="3634"/>
      <c r="J12" s="3634"/>
      <c r="K12" s="3634"/>
      <c r="L12" s="3634"/>
      <c r="M12" s="3634"/>
      <c r="N12" s="3634"/>
      <c r="O12" s="3634"/>
      <c r="P12" s="3635"/>
      <c r="Q12" s="3635"/>
      <c r="R12" s="3635"/>
      <c r="S12" s="3635"/>
      <c r="T12" s="3635"/>
      <c r="U12" s="3635"/>
      <c r="V12" s="3750"/>
      <c r="W12" s="3635"/>
      <c r="X12" s="3635"/>
      <c r="Y12" s="3635"/>
      <c r="Z12" s="3635"/>
    </row>
    <row r="13" spans="1:26" s="1414" customFormat="1" ht="59" thickTop="1" thickBot="1" x14ac:dyDescent="0.35">
      <c r="A13" s="37" t="s">
        <v>412</v>
      </c>
      <c r="B13" s="4196" t="s">
        <v>400</v>
      </c>
      <c r="C13" s="1849" t="s">
        <v>1954</v>
      </c>
      <c r="D13" s="2211" t="s">
        <v>393</v>
      </c>
      <c r="E13" s="464" t="b">
        <f>IF(D13="Applicable",TRUE,FALSE)</f>
        <v>0</v>
      </c>
      <c r="F13" s="396"/>
      <c r="G13" s="133"/>
      <c r="H13" s="396"/>
      <c r="I13" s="133"/>
      <c r="J13" s="133"/>
      <c r="K13" s="133"/>
      <c r="L13" s="396"/>
      <c r="M13" s="1051"/>
      <c r="N13" s="463"/>
      <c r="O13" s="464" t="b">
        <f>IF(N13="Applicable",TRUE,FALSE)</f>
        <v>0</v>
      </c>
      <c r="P13" s="337"/>
      <c r="Q13" s="463"/>
      <c r="R13" s="464" t="b">
        <f>IF(Q13="Applicable",TRUE,FALSE)</f>
        <v>0</v>
      </c>
      <c r="S13" s="336"/>
      <c r="T13" s="336"/>
      <c r="U13" s="640"/>
      <c r="V13" s="463"/>
      <c r="W13" s="335" t="b">
        <f>IF(V13="Applicable",TRUE,FALSE)</f>
        <v>0</v>
      </c>
      <c r="X13" s="336"/>
      <c r="Y13" s="336"/>
      <c r="Z13" s="337"/>
    </row>
    <row r="14" spans="1:26" s="3745" customFormat="1" ht="15.5" thickTop="1" thickBot="1" x14ac:dyDescent="0.35">
      <c r="A14" s="3634"/>
      <c r="B14" s="3634"/>
      <c r="C14" s="3634"/>
      <c r="D14" s="3634"/>
      <c r="E14" s="3634"/>
      <c r="F14" s="3634"/>
      <c r="G14" s="3634"/>
      <c r="H14" s="3634"/>
      <c r="I14" s="3634"/>
      <c r="J14" s="3634"/>
      <c r="K14" s="3634"/>
      <c r="L14" s="3634"/>
      <c r="M14" s="3634"/>
      <c r="N14" s="3634"/>
      <c r="O14" s="3634"/>
      <c r="P14" s="3635"/>
      <c r="Q14" s="3635"/>
      <c r="R14" s="3635"/>
      <c r="S14" s="3635"/>
      <c r="T14" s="3635"/>
      <c r="U14" s="3635"/>
      <c r="V14" s="3692"/>
      <c r="W14" s="3635"/>
      <c r="X14" s="3635"/>
      <c r="Y14" s="3635"/>
      <c r="Z14" s="3635"/>
    </row>
    <row r="15" spans="1:26" s="1414" customFormat="1" ht="44.5" thickTop="1" thickBot="1" x14ac:dyDescent="0.35">
      <c r="A15" s="106" t="s">
        <v>544</v>
      </c>
      <c r="B15" s="4197" t="s">
        <v>545</v>
      </c>
      <c r="C15" s="1809" t="s">
        <v>547</v>
      </c>
      <c r="D15" s="580" t="s">
        <v>3</v>
      </c>
      <c r="E15" s="231" t="b">
        <f>IF(D15="Compliant",TRUE,FALSE)</f>
        <v>0</v>
      </c>
      <c r="F15" s="133">
        <f>COUNTIF(E15,TRUE)</f>
        <v>0</v>
      </c>
      <c r="G15" s="133" t="str">
        <f>IF(I15&lt;&gt;"", "Not Blank", "")</f>
        <v/>
      </c>
      <c r="H15" s="133"/>
      <c r="I15" s="133"/>
      <c r="J15" s="133" t="str">
        <f>IF(L15&lt;&gt;"", "Not Blank", "")</f>
        <v/>
      </c>
      <c r="K15" s="133"/>
      <c r="L15" s="133"/>
      <c r="M15" s="579"/>
      <c r="N15" s="4446" t="s">
        <v>3</v>
      </c>
      <c r="O15" s="892" t="b">
        <f>IF(OR(N15="Compliant",N15="FE with work-a-round",N15="Functionally Equivalent"),TRUE,FALSE)</f>
        <v>0</v>
      </c>
      <c r="P15" s="640"/>
      <c r="Q15" s="4446" t="s">
        <v>3</v>
      </c>
      <c r="R15" s="892" t="b">
        <f>IF(OR(Q15="Compliant",Q15="FE with work-a-round",Q15="Functionally Equivalent"),TRUE,FALSE)</f>
        <v>0</v>
      </c>
      <c r="S15" s="336"/>
      <c r="T15" s="336"/>
      <c r="U15" s="640"/>
      <c r="V15" s="4446" t="s">
        <v>3</v>
      </c>
      <c r="W15" s="2596" t="b">
        <f>IF(OR(V15="Compliant",V15="FE with work-a-round",V15="Functionally Equivalent",V15="Not Required/Applicable"),TRUE,FALSE)</f>
        <v>0</v>
      </c>
      <c r="X15" s="821"/>
      <c r="Y15" s="336"/>
      <c r="Z15" s="337"/>
    </row>
    <row r="16" spans="1:26" s="1414" customFormat="1" ht="59" thickTop="1" thickBot="1" x14ac:dyDescent="0.35">
      <c r="A16" s="93" t="s">
        <v>520</v>
      </c>
      <c r="B16" s="4197" t="s">
        <v>546</v>
      </c>
      <c r="C16" s="1809" t="s">
        <v>548</v>
      </c>
      <c r="D16" s="580" t="s">
        <v>3</v>
      </c>
      <c r="E16" s="231" t="b">
        <f>IF(D16="Compliant",TRUE,FALSE)</f>
        <v>0</v>
      </c>
      <c r="F16" s="133">
        <f>COUNTIF(E16,TRUE)</f>
        <v>0</v>
      </c>
      <c r="G16" s="133" t="str">
        <f>IF(I16&lt;&gt;"", "Not Blank", "")</f>
        <v/>
      </c>
      <c r="H16" s="133"/>
      <c r="I16" s="133"/>
      <c r="J16" s="133" t="str">
        <f>IF(L16&lt;&gt;"", "Not Blank", "")</f>
        <v/>
      </c>
      <c r="K16" s="133"/>
      <c r="L16" s="133"/>
      <c r="M16" s="579"/>
      <c r="N16" s="4448"/>
      <c r="O16" s="231"/>
      <c r="P16" s="640"/>
      <c r="Q16" s="4747"/>
      <c r="R16" s="464"/>
      <c r="S16" s="336"/>
      <c r="T16" s="336"/>
      <c r="U16" s="640"/>
      <c r="V16" s="4448"/>
      <c r="W16" s="464"/>
      <c r="X16" s="336"/>
      <c r="Y16" s="336"/>
      <c r="Z16" s="337"/>
    </row>
    <row r="17" spans="1:27" s="3745" customFormat="1" ht="15.5" thickTop="1" thickBot="1" x14ac:dyDescent="0.35">
      <c r="A17" s="3764"/>
      <c r="B17" s="3764"/>
      <c r="C17" s="3764"/>
      <c r="D17" s="3764"/>
      <c r="E17" s="3764"/>
      <c r="F17" s="3764"/>
      <c r="G17" s="3764"/>
      <c r="H17" s="3764"/>
      <c r="I17" s="3764"/>
      <c r="J17" s="3764"/>
      <c r="K17" s="3764"/>
      <c r="L17" s="3764"/>
      <c r="M17" s="3764"/>
      <c r="N17" s="3638"/>
      <c r="O17" s="3764"/>
      <c r="P17" s="3750"/>
      <c r="Q17" s="3701"/>
      <c r="R17" s="3701"/>
      <c r="S17" s="3701"/>
      <c r="T17" s="3701"/>
      <c r="U17" s="3701"/>
      <c r="V17" s="3701"/>
      <c r="W17" s="3635"/>
      <c r="X17" s="3635"/>
      <c r="Y17" s="3635"/>
      <c r="Z17" s="3635"/>
    </row>
    <row r="18" spans="1:27" s="1414" customFormat="1" ht="44.5" thickTop="1" thickBot="1" x14ac:dyDescent="0.35">
      <c r="A18" s="35"/>
      <c r="B18" s="4193" t="s">
        <v>824</v>
      </c>
      <c r="C18" s="2996" t="s">
        <v>475</v>
      </c>
      <c r="D18" s="2999" t="s">
        <v>1233</v>
      </c>
      <c r="E18" s="138" t="b">
        <f>OR(E30,E13)</f>
        <v>0</v>
      </c>
      <c r="F18" s="111"/>
      <c r="G18" s="1753"/>
      <c r="H18" s="1753"/>
      <c r="I18" s="2675"/>
      <c r="J18" s="2675"/>
      <c r="K18" s="2675"/>
      <c r="L18" s="2675"/>
      <c r="M18" s="2676"/>
      <c r="N18" s="3972" t="s">
        <v>1233</v>
      </c>
      <c r="O18" s="102" t="b">
        <f>O25</f>
        <v>0</v>
      </c>
      <c r="P18" s="2967"/>
      <c r="Q18" s="4167" t="s">
        <v>1233</v>
      </c>
      <c r="R18" s="729" t="b">
        <f>R25</f>
        <v>0</v>
      </c>
      <c r="S18" s="406"/>
      <c r="T18" s="406"/>
      <c r="U18" s="1211"/>
      <c r="V18" s="4183" t="s">
        <v>1233</v>
      </c>
      <c r="W18" s="119" t="b">
        <f>W25</f>
        <v>0</v>
      </c>
      <c r="X18" s="111"/>
      <c r="Y18" s="186"/>
      <c r="Z18" s="306"/>
    </row>
    <row r="19" spans="1:27" s="1414" customFormat="1" ht="44.5" thickTop="1" thickBot="1" x14ac:dyDescent="0.35">
      <c r="A19" s="2348" t="s">
        <v>522</v>
      </c>
      <c r="B19" s="4193" t="s">
        <v>825</v>
      </c>
      <c r="C19" s="2996" t="s">
        <v>474</v>
      </c>
      <c r="D19" s="2999" t="s">
        <v>1233</v>
      </c>
      <c r="E19" s="67" t="b">
        <f>OR(E38,E13)</f>
        <v>0</v>
      </c>
      <c r="F19" s="44"/>
      <c r="G19" s="1754"/>
      <c r="H19" s="1754"/>
      <c r="I19" s="2968"/>
      <c r="J19" s="2969"/>
      <c r="K19" s="2969"/>
      <c r="L19" s="2968"/>
      <c r="M19" s="2970"/>
      <c r="N19" s="3972" t="s">
        <v>1233</v>
      </c>
      <c r="O19" s="102" t="b">
        <f>O38</f>
        <v>0</v>
      </c>
      <c r="P19" s="2967"/>
      <c r="Q19" s="4167" t="s">
        <v>1233</v>
      </c>
      <c r="R19" s="730" t="b">
        <f>R38</f>
        <v>0</v>
      </c>
      <c r="S19" s="471"/>
      <c r="T19" s="471"/>
      <c r="U19" s="1218"/>
      <c r="V19" s="4184" t="s">
        <v>1233</v>
      </c>
      <c r="W19" s="121" t="b">
        <f>W38</f>
        <v>0</v>
      </c>
      <c r="X19" s="44"/>
      <c r="Y19" s="261"/>
      <c r="Z19" s="575"/>
    </row>
    <row r="20" spans="1:27" s="1414" customFormat="1" ht="44.5" thickTop="1" thickBot="1" x14ac:dyDescent="0.35">
      <c r="A20" s="28"/>
      <c r="B20" s="4198" t="s">
        <v>826</v>
      </c>
      <c r="C20" s="2996" t="s">
        <v>822</v>
      </c>
      <c r="D20" s="3000" t="s">
        <v>1233</v>
      </c>
      <c r="E20" s="67" t="b">
        <f>E46</f>
        <v>0</v>
      </c>
      <c r="F20" s="44"/>
      <c r="G20" s="44"/>
      <c r="H20" s="44"/>
      <c r="I20" s="842"/>
      <c r="J20" s="44"/>
      <c r="K20" s="44"/>
      <c r="L20" s="133"/>
      <c r="M20" s="134"/>
      <c r="N20" s="3972" t="s">
        <v>1233</v>
      </c>
      <c r="O20" s="1013" t="b">
        <f>O46</f>
        <v>0</v>
      </c>
      <c r="P20" s="2854"/>
      <c r="Q20" s="4167" t="s">
        <v>1233</v>
      </c>
      <c r="R20" s="730" t="b">
        <f>R46</f>
        <v>0</v>
      </c>
      <c r="S20" s="471"/>
      <c r="T20" s="471"/>
      <c r="U20" s="1218"/>
      <c r="V20" s="4184" t="s">
        <v>1233</v>
      </c>
      <c r="W20" s="121" t="b">
        <f>W46</f>
        <v>0</v>
      </c>
      <c r="X20" s="44"/>
      <c r="Y20" s="261"/>
      <c r="Z20" s="575"/>
      <c r="AA20" s="204"/>
    </row>
    <row r="21" spans="1:27" s="1414" customFormat="1" ht="44.5" thickTop="1" thickBot="1" x14ac:dyDescent="0.35">
      <c r="A21" s="88"/>
      <c r="B21" s="4193" t="s">
        <v>827</v>
      </c>
      <c r="C21" s="2997" t="s">
        <v>823</v>
      </c>
      <c r="D21" s="3001" t="s">
        <v>1233</v>
      </c>
      <c r="E21" s="1053" t="b">
        <f>E86</f>
        <v>0</v>
      </c>
      <c r="F21" s="124"/>
      <c r="G21" s="124"/>
      <c r="H21" s="124"/>
      <c r="I21" s="133"/>
      <c r="J21" s="124"/>
      <c r="K21" s="124"/>
      <c r="L21" s="133"/>
      <c r="M21" s="135"/>
      <c r="N21" s="4092" t="s">
        <v>1233</v>
      </c>
      <c r="O21" s="230" t="b">
        <f>O86</f>
        <v>0</v>
      </c>
      <c r="P21" s="2437"/>
      <c r="Q21" s="4168" t="s">
        <v>1233</v>
      </c>
      <c r="R21" s="731" t="b">
        <f>R86</f>
        <v>0</v>
      </c>
      <c r="S21" s="1224"/>
      <c r="T21" s="1224"/>
      <c r="U21" s="1225"/>
      <c r="V21" s="4185" t="s">
        <v>1233</v>
      </c>
      <c r="W21" s="123" t="b">
        <f>W86</f>
        <v>0</v>
      </c>
      <c r="X21" s="124"/>
      <c r="Y21" s="1555"/>
      <c r="Z21" s="1556"/>
      <c r="AA21" s="204"/>
    </row>
    <row r="22" spans="1:27" s="3640" customFormat="1" ht="15" thickTop="1" x14ac:dyDescent="0.3">
      <c r="A22" s="3636"/>
      <c r="B22" s="3634"/>
      <c r="C22" s="3634"/>
      <c r="D22" s="3634"/>
      <c r="E22" s="3636"/>
      <c r="F22" s="3636"/>
      <c r="G22" s="3636"/>
      <c r="H22" s="3636"/>
      <c r="I22" s="3636"/>
      <c r="J22" s="3636"/>
      <c r="K22" s="3636"/>
      <c r="L22" s="3636"/>
      <c r="M22" s="3636"/>
      <c r="N22" s="3694"/>
      <c r="O22" s="3694"/>
      <c r="P22" s="3639"/>
      <c r="Q22" s="3639"/>
      <c r="R22" s="3639"/>
      <c r="S22" s="3639"/>
      <c r="T22" s="3639"/>
      <c r="U22" s="3639"/>
      <c r="V22" s="3639"/>
      <c r="W22" s="3639"/>
      <c r="X22" s="3639"/>
      <c r="Y22" s="3639"/>
      <c r="Z22" s="3639"/>
    </row>
    <row r="23" spans="1:27" s="3767" customFormat="1" ht="15.5" x14ac:dyDescent="0.3">
      <c r="A23" s="3691"/>
      <c r="B23" s="4741" t="s">
        <v>469</v>
      </c>
      <c r="C23" s="4741"/>
      <c r="D23" s="4741"/>
      <c r="E23" s="3765"/>
      <c r="F23" s="3765"/>
      <c r="G23" s="3765"/>
      <c r="H23" s="3765"/>
      <c r="I23" s="3765"/>
      <c r="J23" s="3765"/>
      <c r="K23" s="3765"/>
      <c r="L23" s="3765"/>
      <c r="M23" s="3765"/>
      <c r="N23" s="3766"/>
      <c r="O23" s="3766"/>
      <c r="P23" s="3765"/>
      <c r="Q23" s="3765"/>
      <c r="R23" s="3765"/>
      <c r="S23" s="3765"/>
      <c r="T23" s="3765"/>
      <c r="U23" s="3765"/>
      <c r="V23" s="3765"/>
      <c r="W23" s="3765"/>
      <c r="X23" s="3765"/>
      <c r="Y23" s="3765"/>
      <c r="Z23" s="3765"/>
    </row>
    <row r="24" spans="1:27" s="3745" customFormat="1" ht="15" thickBot="1" x14ac:dyDescent="0.35">
      <c r="A24" s="3634"/>
      <c r="B24" s="3634"/>
      <c r="C24" s="3634"/>
      <c r="D24" s="3635"/>
      <c r="E24" s="3634"/>
      <c r="F24" s="3634"/>
      <c r="G24" s="3634"/>
      <c r="H24" s="3634"/>
      <c r="I24" s="3634"/>
      <c r="J24" s="3634"/>
      <c r="K24" s="3634"/>
      <c r="L24" s="3634"/>
      <c r="M24" s="3634"/>
      <c r="N24" s="3634"/>
      <c r="O24" s="3634"/>
      <c r="P24" s="3634"/>
      <c r="Q24" s="3635"/>
      <c r="R24" s="3635"/>
      <c r="S24" s="3635"/>
      <c r="T24" s="3635"/>
      <c r="U24" s="3635"/>
      <c r="V24" s="3635"/>
      <c r="W24" s="3635"/>
      <c r="X24" s="3635"/>
      <c r="Y24" s="3635"/>
      <c r="Z24" s="3635"/>
      <c r="AA24" s="3635"/>
    </row>
    <row r="25" spans="1:27" s="1414" customFormat="1" ht="29.5" thickTop="1" x14ac:dyDescent="0.3">
      <c r="A25" s="1751" t="s">
        <v>523</v>
      </c>
      <c r="B25" s="1495"/>
      <c r="C25" s="1708" t="s">
        <v>543</v>
      </c>
      <c r="D25" s="593"/>
      <c r="E25" s="338" t="b">
        <f>IF(D25="Applicable",TRUE,FALSE)</f>
        <v>0</v>
      </c>
      <c r="F25" s="111">
        <f>COUNTIF(E25,TRUE)</f>
        <v>0</v>
      </c>
      <c r="G25" s="1750" t="str">
        <f>IF(I25&lt;&gt;"", "Not Blank", "")</f>
        <v/>
      </c>
      <c r="H25" s="1396"/>
      <c r="I25" s="1396"/>
      <c r="J25" s="1753" t="str">
        <f>IF(L25&lt;&gt;"", "Not Blank", "")</f>
        <v/>
      </c>
      <c r="K25" s="1396"/>
      <c r="L25" s="1396"/>
      <c r="M25" s="1533"/>
      <c r="N25" s="318"/>
      <c r="O25" s="338" t="b">
        <f>IF(N25="Applicable",TRUE,FALSE)</f>
        <v>0</v>
      </c>
      <c r="P25" s="459"/>
      <c r="Q25" s="1917"/>
      <c r="R25" s="307" t="b">
        <f>IF(Q25="Applicable",TRUE,FALSE)</f>
        <v>0</v>
      </c>
      <c r="S25" s="186"/>
      <c r="T25" s="186"/>
      <c r="U25" s="459"/>
      <c r="V25" s="318"/>
      <c r="W25" s="307" t="b">
        <f>IF(V25="Applicable",TRUE,FALSE)</f>
        <v>0</v>
      </c>
      <c r="X25" s="186"/>
      <c r="Y25" s="186"/>
      <c r="Z25" s="306"/>
    </row>
    <row r="26" spans="1:27" s="1414" customFormat="1" ht="73" thickBot="1" x14ac:dyDescent="0.35">
      <c r="A26" s="1751" t="s">
        <v>542</v>
      </c>
      <c r="B26" s="1505"/>
      <c r="C26" s="1800" t="s">
        <v>2077</v>
      </c>
      <c r="D26" s="700" t="s">
        <v>3</v>
      </c>
      <c r="E26" s="161" t="b">
        <f>IF(D26="Compliant",TRUE,FALSE)</f>
        <v>0</v>
      </c>
      <c r="F26" s="124">
        <f>COUNTIF(E26,TRUE)</f>
        <v>0</v>
      </c>
      <c r="G26" s="124" t="str">
        <f>IF(I26&lt;&gt;"", "Not Blank", "")</f>
        <v/>
      </c>
      <c r="H26" s="258"/>
      <c r="I26" s="1224"/>
      <c r="J26" s="1555" t="str">
        <f>IF(L26&lt;&gt;"", "Not Blank", "")</f>
        <v/>
      </c>
      <c r="K26" s="1224"/>
      <c r="L26" s="1224"/>
      <c r="M26" s="1225"/>
      <c r="N26" s="1017" t="s">
        <v>3</v>
      </c>
      <c r="O26" s="851" t="b">
        <f>IF(OR(N26="Compliant",N26="FE with work-a-round",N26="Functionally Equivalent"),TRUE,FALSE)</f>
        <v>0</v>
      </c>
      <c r="P26" s="1164"/>
      <c r="Q26" s="1918" t="s">
        <v>3</v>
      </c>
      <c r="R26" s="812" t="b">
        <f>IF(OR(Q26="Compliant",Q26="FE with work-a-round",Q26="Functionally Equivalent"),TRUE,FALSE)</f>
        <v>0</v>
      </c>
      <c r="S26" s="1555"/>
      <c r="T26" s="1555"/>
      <c r="U26" s="1164"/>
      <c r="V26" s="1017" t="s">
        <v>3</v>
      </c>
      <c r="W26" s="922" t="b">
        <f>IF(OR(V26="Compliant",V26="FE with work-a-round",V26="Functionally Equivalent",V26="Not Required/Applicable"),TRUE,FALSE)</f>
        <v>0</v>
      </c>
      <c r="X26" s="1555"/>
      <c r="Y26" s="1555"/>
      <c r="Z26" s="1556"/>
    </row>
    <row r="27" spans="1:27" s="3640" customFormat="1" ht="15" thickTop="1" x14ac:dyDescent="0.3">
      <c r="A27" s="3636"/>
      <c r="B27" s="3634"/>
      <c r="C27" s="3634"/>
      <c r="D27" s="3639"/>
      <c r="E27" s="3636"/>
      <c r="F27" s="3636"/>
      <c r="G27" s="3641"/>
      <c r="H27" s="3636"/>
      <c r="I27" s="3636"/>
      <c r="J27" s="3641"/>
      <c r="K27" s="3641"/>
      <c r="L27" s="3636"/>
      <c r="M27" s="3636"/>
      <c r="N27" s="3641"/>
      <c r="O27" s="3641"/>
      <c r="P27" s="3636"/>
      <c r="Q27" s="3639"/>
      <c r="R27" s="3639"/>
      <c r="S27" s="3639"/>
      <c r="T27" s="3639"/>
      <c r="U27" s="3639"/>
      <c r="V27" s="3639"/>
      <c r="W27" s="3639"/>
      <c r="X27" s="3639"/>
      <c r="Y27" s="3639"/>
      <c r="Z27" s="3639"/>
      <c r="AA27" s="3639"/>
    </row>
    <row r="28" spans="1:27" s="3640" customFormat="1" ht="18.5" x14ac:dyDescent="0.3">
      <c r="A28" s="4482" t="s">
        <v>1135</v>
      </c>
      <c r="B28" s="4483"/>
      <c r="C28" s="4483"/>
      <c r="D28" s="4483"/>
      <c r="E28" s="4483"/>
      <c r="F28" s="4483"/>
      <c r="G28" s="4483"/>
      <c r="H28" s="4483"/>
      <c r="I28" s="4483"/>
      <c r="J28" s="4483"/>
      <c r="K28" s="4483"/>
      <c r="L28" s="4483"/>
      <c r="M28" s="4483"/>
      <c r="N28" s="4483"/>
      <c r="O28" s="3669"/>
      <c r="P28" s="3670"/>
      <c r="Q28" s="3670"/>
      <c r="R28" s="3670"/>
      <c r="S28" s="3671"/>
      <c r="T28" s="3672"/>
      <c r="U28" s="3672"/>
      <c r="V28" s="3673"/>
      <c r="W28" s="3674"/>
      <c r="X28" s="3674"/>
      <c r="Y28" s="3675"/>
      <c r="Z28" s="3676"/>
    </row>
    <row r="29" spans="1:27" s="3694" customFormat="1" ht="14.5" thickBot="1" x14ac:dyDescent="0.35">
      <c r="C29" s="3768"/>
      <c r="D29" s="3734"/>
      <c r="E29" s="3737"/>
      <c r="F29" s="3737"/>
      <c r="G29" s="3736"/>
      <c r="H29" s="3737"/>
      <c r="I29" s="3731"/>
      <c r="J29" s="3736"/>
      <c r="K29" s="3736"/>
      <c r="L29" s="3734"/>
      <c r="M29" s="3734"/>
      <c r="N29" s="3736"/>
      <c r="O29" s="3736"/>
      <c r="P29" s="3734"/>
      <c r="Q29" s="3734"/>
    </row>
    <row r="30" spans="1:27" s="1429" customFormat="1" ht="30" thickTop="1" thickBot="1" x14ac:dyDescent="0.35">
      <c r="A30" s="679"/>
      <c r="B30" s="1509" t="s">
        <v>415</v>
      </c>
      <c r="C30" s="1946" t="s">
        <v>1716</v>
      </c>
      <c r="D30" s="1947" t="s">
        <v>565</v>
      </c>
      <c r="E30" s="1924" t="b">
        <f>IF(OR(E31=TRUE,E32=TRUE,E34=TRUE),TRUE,FALSE)</f>
        <v>0</v>
      </c>
      <c r="F30" s="1677">
        <f>COUNTIF(E31:E34,TRUE)</f>
        <v>0</v>
      </c>
      <c r="G30" s="1677">
        <f>COUNTIFS(E31:E34,TRUE,G31:G34,"Not Blank")</f>
        <v>0</v>
      </c>
      <c r="H30" s="1677">
        <f>COUNTIFS(E31:E34,FALSE,G31:G34,"Not Blank")</f>
        <v>0</v>
      </c>
      <c r="I30" s="1642" t="str">
        <f xml:space="preserve">
IF(F30&gt;1,"More than 1 not required - Check Yellow Lines",
IF(G30&lt;F30,"Valid Entry required below - Check Amber Line/s",
IF(AND(E30=FALSE,G30=0,H30=0),"Nothing Entered below Yet",
IF(G30&lt;F30,"Valid Entry required below - Check Amber Line/s",
IF(AND(G30=0,H30&gt;0),"**Non-Valid Entry/ies below - Check Yellow Line/s",
IF(AND(G30&gt;0,H30&gt;0),"**Valid and Non-Valid Entries made below - Check Yellow Line/s",
IF(AND(E30=FALSE,F30&lt;1),"Not all requirements addressed below - Check Pink Line/s",
IF(AND(E30=FALSE,G30&lt;1,G30&gt;0,H30=0),"More entries to come",
IF(AND(E30,TRUE,G30=1,H30=0),"Valid Entries made below"
)))))))))</f>
        <v>Nothing Entered below Yet</v>
      </c>
      <c r="J30" s="1677">
        <f>COUNTIFS(E31:E34,TRUE,J31:J34,"Not Blank")</f>
        <v>0</v>
      </c>
      <c r="K30" s="1677">
        <f>COUNTIFS(E31:E34,FALSE,J31:J34,"Not Blank")</f>
        <v>0</v>
      </c>
      <c r="L30" s="1519" t="str">
        <f xml:space="preserve">
IF(J30&gt;1,"More than one not required - Check Yellow Lines",
IF(J30&lt;F30,"Valid Entry required below - Check Amber Line/s",
IF(AND(E30=FALSE,J30=0,K30=0),"Nothing Entered below Yet",
IF(AND(J30=0,K30&gt;0),"**Non-Valid Entry/ies below - Check Yellow Line/s",
IF(AND(J30&gt;0,K30&gt;0),"**Valid and Non-Valid Entries made below - Check Yellow Line/s",
IF(AND(E30=FALSE,J30&lt;1),"Not all requirements addressed below - Check Pink Line/s",
IF(AND(E30=FALSE,J30&lt;1,J30&gt;0,K30=0),"More entries to come",
IF(AND(E30,TRUE,J30=1,K30=0),"Valid Entries made below"
))))))))</f>
        <v>Nothing Entered below Yet</v>
      </c>
      <c r="M30" s="337"/>
      <c r="N30" s="4446" t="s">
        <v>3</v>
      </c>
      <c r="O30" s="4743" t="b">
        <f>IF(OR(N30="Compliant",N30="FE with work-a-round",N30="Functionally Equivalent"),TRUE,FALSE)</f>
        <v>0</v>
      </c>
      <c r="P30" s="204"/>
      <c r="Q30" s="4188" t="s">
        <v>565</v>
      </c>
      <c r="R30" s="773" t="b">
        <f>IF(OR(R31=TRUE,R32=TRUE,R34=TRUE),TRUE,FALSE)</f>
        <v>0</v>
      </c>
      <c r="S30" s="186"/>
      <c r="T30" s="186"/>
      <c r="U30" s="306"/>
      <c r="V30" s="4446" t="s">
        <v>3</v>
      </c>
      <c r="W30" s="4437" t="b">
        <f>IF(OR(V30="Compliant",V30="FE with work-a-round",V30="Functionally Equivalent",V30="Not Required/Applicable"),TRUE,FALSE)</f>
        <v>0</v>
      </c>
      <c r="X30" s="186"/>
      <c r="Y30" s="186"/>
      <c r="Z30" s="306"/>
    </row>
    <row r="31" spans="1:27" s="1394" customFormat="1" ht="44" thickTop="1" x14ac:dyDescent="0.3">
      <c r="A31" s="2972" t="s">
        <v>524</v>
      </c>
      <c r="B31" s="1504"/>
      <c r="C31" s="1685" t="s">
        <v>521</v>
      </c>
      <c r="D31" s="229" t="s">
        <v>3</v>
      </c>
      <c r="E31" s="67" t="b">
        <f>IF(D31="Compliant",TRUE,FALSE)</f>
        <v>0</v>
      </c>
      <c r="F31" s="44"/>
      <c r="G31" s="44" t="str">
        <f>IF(I31&lt;&gt;"", "Not Blank", "")</f>
        <v/>
      </c>
      <c r="H31" s="44"/>
      <c r="I31" s="42"/>
      <c r="J31" s="44" t="str">
        <f>IF(L31&lt;&gt;"", "Not Blank", "")</f>
        <v/>
      </c>
      <c r="K31" s="44"/>
      <c r="L31" s="111"/>
      <c r="M31" s="128"/>
      <c r="N31" s="4447"/>
      <c r="O31" s="4744"/>
      <c r="P31" s="2973"/>
      <c r="Q31" s="1135" t="s">
        <v>3</v>
      </c>
      <c r="R31" s="574" t="b">
        <f>IF(OR(Q31="Compliant",Q31="FE with work-a-round",Q31="Functionally Equivalent"),TRUE,FALSE)</f>
        <v>0</v>
      </c>
      <c r="S31" s="261"/>
      <c r="T31" s="261"/>
      <c r="U31" s="575"/>
      <c r="V31" s="4447"/>
      <c r="W31" s="4438"/>
      <c r="X31" s="1404"/>
      <c r="Y31" s="1431"/>
      <c r="Z31" s="1432"/>
    </row>
    <row r="32" spans="1:27" s="1394" customFormat="1" ht="116" x14ac:dyDescent="0.3">
      <c r="A32" s="2974" t="s">
        <v>414</v>
      </c>
      <c r="B32" s="1504"/>
      <c r="C32" s="1717" t="s">
        <v>1962</v>
      </c>
      <c r="D32" s="319" t="s">
        <v>3</v>
      </c>
      <c r="E32" s="67" t="b">
        <f>IF(D32="Compliant",TRUE,FALSE)</f>
        <v>0</v>
      </c>
      <c r="F32" s="44"/>
      <c r="G32" s="44" t="str">
        <f>IF(I32&lt;&gt;"", "Not Blank", "")</f>
        <v/>
      </c>
      <c r="H32" s="44"/>
      <c r="I32" s="44"/>
      <c r="J32" s="44" t="str">
        <f>IF(L32&lt;&gt;"", "Not Blank", "")</f>
        <v/>
      </c>
      <c r="K32" s="44"/>
      <c r="L32" s="44"/>
      <c r="M32" s="122"/>
      <c r="N32" s="4447"/>
      <c r="O32" s="4744"/>
      <c r="P32" s="2975"/>
      <c r="Q32" s="1060" t="s">
        <v>3</v>
      </c>
      <c r="R32" s="574" t="b">
        <f>IF(OR(Q32="Compliant",Q32="FE with work-a-round",Q32="Functionally Equivalent"),TRUE,FALSE)</f>
        <v>0</v>
      </c>
      <c r="S32" s="471"/>
      <c r="T32" s="471"/>
      <c r="U32" s="1406"/>
      <c r="V32" s="4447"/>
      <c r="W32" s="4438"/>
      <c r="X32" s="1431"/>
      <c r="Y32" s="1431"/>
      <c r="Z32" s="1432"/>
    </row>
    <row r="33" spans="1:85" s="1394" customFormat="1" ht="160" thickBot="1" x14ac:dyDescent="0.35">
      <c r="A33" s="2974" t="s">
        <v>254</v>
      </c>
      <c r="B33" s="1508"/>
      <c r="C33" s="1807" t="s">
        <v>1963</v>
      </c>
      <c r="D33" s="849" t="s">
        <v>3</v>
      </c>
      <c r="E33" s="78" t="b">
        <f>IF(D33="Compliant",TRUE,FALSE)</f>
        <v>0</v>
      </c>
      <c r="F33" s="79"/>
      <c r="G33" s="79" t="str">
        <f>IF(I33&lt;&gt;"", "Not Blank", "")</f>
        <v/>
      </c>
      <c r="H33" s="79"/>
      <c r="I33" s="79"/>
      <c r="J33" s="79" t="str">
        <f>IF(L33&lt;&gt;"", "Not Blank", "")</f>
        <v/>
      </c>
      <c r="K33" s="79"/>
      <c r="L33" s="124"/>
      <c r="M33" s="125"/>
      <c r="N33" s="4447"/>
      <c r="O33" s="4744"/>
      <c r="P33" s="1393"/>
      <c r="Q33" s="1060" t="s">
        <v>3</v>
      </c>
      <c r="R33" s="1293" t="b">
        <f>IF(OR(Q33="Compliant",Q33="FE with work-a-round",Q33="Functionally Equivalent"),TRUE,FALSE)</f>
        <v>0</v>
      </c>
      <c r="S33" s="1425"/>
      <c r="T33" s="1425"/>
      <c r="U33" s="1424"/>
      <c r="V33" s="4447"/>
      <c r="W33" s="4438"/>
      <c r="X33" s="1426"/>
      <c r="Y33" s="1426"/>
      <c r="Z33" s="1427"/>
    </row>
    <row r="34" spans="1:85" s="1394" customFormat="1" ht="44.5" thickTop="1" thickBot="1" x14ac:dyDescent="0.35">
      <c r="A34" s="2566"/>
      <c r="B34" s="1808" t="s">
        <v>467</v>
      </c>
      <c r="C34" s="1809" t="s">
        <v>525</v>
      </c>
      <c r="D34" s="1925" t="s">
        <v>1671</v>
      </c>
      <c r="E34" s="231" t="b">
        <f>E135</f>
        <v>0</v>
      </c>
      <c r="F34" s="133"/>
      <c r="G34" s="133"/>
      <c r="H34" s="133"/>
      <c r="I34" s="133"/>
      <c r="J34" s="133" t="str">
        <f>IF(L34&lt;&gt;"", "Not Blank", "")</f>
        <v/>
      </c>
      <c r="K34" s="133"/>
      <c r="L34" s="133"/>
      <c r="M34" s="134"/>
      <c r="N34" s="4633"/>
      <c r="O34" s="4750"/>
      <c r="P34" s="1621"/>
      <c r="Q34" s="1017" t="s">
        <v>3</v>
      </c>
      <c r="R34" s="335" t="b">
        <f>IF(OR(Q34="Compliant",Q34="FE with work-a-round",Q34="Functionally Equivalent"),TRUE,FALSE)</f>
        <v>0</v>
      </c>
      <c r="S34" s="2976"/>
      <c r="T34" s="2977"/>
      <c r="U34" s="2978"/>
      <c r="V34" s="4633"/>
      <c r="W34" s="4656"/>
      <c r="X34" s="2979"/>
      <c r="Y34" s="2979"/>
      <c r="Z34" s="2980"/>
    </row>
    <row r="35" spans="1:85" s="3634" customFormat="1" ht="15" thickTop="1" x14ac:dyDescent="0.3">
      <c r="A35" s="3636"/>
      <c r="B35" s="3651"/>
      <c r="C35" s="3636"/>
      <c r="D35" s="3636"/>
      <c r="E35" s="3636"/>
      <c r="F35" s="3636"/>
      <c r="G35" s="3644"/>
      <c r="H35" s="3633"/>
      <c r="I35" s="3652"/>
      <c r="N35" s="3643"/>
      <c r="O35" s="3643"/>
      <c r="V35" s="3635"/>
    </row>
    <row r="36" spans="1:85" s="3640" customFormat="1" ht="18.5" x14ac:dyDescent="0.3">
      <c r="A36" s="4482" t="s">
        <v>1137</v>
      </c>
      <c r="B36" s="4483"/>
      <c r="C36" s="4483"/>
      <c r="D36" s="4483"/>
      <c r="E36" s="4483"/>
      <c r="F36" s="4483"/>
      <c r="G36" s="4483"/>
      <c r="H36" s="4483"/>
      <c r="I36" s="4483"/>
      <c r="J36" s="4483"/>
      <c r="K36" s="4483"/>
      <c r="L36" s="4483"/>
      <c r="M36" s="4483"/>
      <c r="N36" s="4483"/>
      <c r="O36" s="3669"/>
      <c r="P36" s="3670"/>
      <c r="Q36" s="3670"/>
      <c r="R36" s="3670"/>
      <c r="S36" s="3671"/>
      <c r="T36" s="3672"/>
      <c r="U36" s="3672"/>
      <c r="V36" s="3673"/>
      <c r="W36" s="3674"/>
      <c r="X36" s="3674"/>
      <c r="Y36" s="3675"/>
      <c r="Z36" s="3676"/>
    </row>
    <row r="37" spans="1:85" s="3640" customFormat="1" ht="15" thickBot="1" x14ac:dyDescent="0.35">
      <c r="A37" s="3636"/>
      <c r="B37" s="3637"/>
      <c r="C37" s="3634"/>
      <c r="D37" s="3634"/>
      <c r="E37" s="3636"/>
      <c r="F37" s="3636"/>
      <c r="G37" s="3641"/>
      <c r="H37" s="3636"/>
      <c r="I37" s="3634"/>
      <c r="J37" s="3643"/>
      <c r="K37" s="3643"/>
      <c r="L37" s="3634"/>
      <c r="M37" s="3634"/>
      <c r="N37" s="3714"/>
      <c r="O37" s="3714"/>
      <c r="P37" s="3642"/>
      <c r="Q37" s="3642"/>
      <c r="R37" s="3639"/>
      <c r="S37" s="3639"/>
      <c r="T37" s="3639"/>
      <c r="U37" s="3639"/>
      <c r="V37" s="3660"/>
      <c r="W37" s="3660"/>
      <c r="X37" s="3660"/>
      <c r="Y37" s="3660"/>
      <c r="Z37" s="3660"/>
    </row>
    <row r="38" spans="1:85" s="656" customFormat="1" ht="32" thickTop="1" thickBot="1" x14ac:dyDescent="0.35">
      <c r="A38" s="651"/>
      <c r="B38" s="3002" t="s">
        <v>474</v>
      </c>
      <c r="C38" s="2097" t="s">
        <v>670</v>
      </c>
      <c r="D38" s="2027" t="s">
        <v>565</v>
      </c>
      <c r="E38" s="3003" t="b">
        <f>IF(AND(E39=TRUE,E40=TRUE,E41=TRUE,E42=TRUE),TRUE,FALSE)</f>
        <v>0</v>
      </c>
      <c r="F38" s="3004">
        <f>COUNTIF(E39:E42,TRUE)</f>
        <v>0</v>
      </c>
      <c r="G38" s="3005">
        <f>COUNTIFS(E39:E42,TRUE,G39:G42,"Not Blank")</f>
        <v>0</v>
      </c>
      <c r="H38" s="3004">
        <f>COUNTIFS(E39:E42,FALSE,G39:G42,"Not Blank")</f>
        <v>0</v>
      </c>
      <c r="I38" s="3006" t="str">
        <f xml:space="preserve">
IF(F38&gt;4,"Too Many Entries - Check Red Lines",
IF(G38&lt;F38,"Valid Entry required below - Check Amber Line/s",
IF(AND(E38=FALSE,G38=0,H38=0),"Nothing Entered below Yet",
IF(G38&lt;F38,"Valid Entry required below - Check Amber Line/s",
IF(AND(G38=0,H38&gt;0),"**Non-Valid Entry/ies below - Check Yellow Line/s",
IF(AND(G38&gt;0,H38&gt;0),"**Valid and Non-Valid Entries made below - Check Yellow Line/s",
IF(AND(E38=FALSE,F38&lt;4),"Not all requirements addressed below - Check Pink Line/s",
IF(AND(E38=FALSE,G38&lt;4,G38&gt;0,H38=0),"More entries to come",
IF(AND(E38,TRUE,G38=4,H38=0),"Valid Entries made below"
)))))))))</f>
        <v>Nothing Entered below Yet</v>
      </c>
      <c r="J38" s="3005">
        <f>COUNTIFS(E39:E42,TRUE,J39:J42,"Not Blank")</f>
        <v>0</v>
      </c>
      <c r="K38" s="3005">
        <f>COUNTIFS(E39:E42,FALSE,J39:J42,"Not Blank")</f>
        <v>0</v>
      </c>
      <c r="L38" s="1938" t="str">
        <f xml:space="preserve">
IF(J38&gt;39,"Too Many Entries - Check Red Lines",
IF(AND(E38=FALSE,J38=0,K38=0,E37=TRUE),"Nothing Required Below",
IF(J38&lt;F38,"Valid Entry required below - Check Amber Line/s",
IF(AND(E38=FALSE,J38=0,K38=0),"Nothing Entered below Yet",
IF(AND(J38=0,K38&gt;0),"**Non-Valid Entry/ies below - Check Yellow Line/s",
IF(AND(J38&gt;0,K38&gt;0),"**Valid and Non-Valid Entries made below - Check Yellow Line/s",
IF(AND(E38=FALSE,J38&lt;39),"Not all requirements addressed below - Check Pink Line/s",
IF(AND(E38=FALSE,J38&lt;39,J38&gt;0,K38=0),"More entries to come",
IF(AND(E38,TRUE,J38=39,K38=0),"Valid Entries made below"
)))))))))</f>
        <v>Nothing Entered below Yet</v>
      </c>
      <c r="M38" s="2981"/>
      <c r="N38" s="4446" t="s">
        <v>3</v>
      </c>
      <c r="O38" s="4629" t="b">
        <f>IF(OR(N38="Compliant",N38="FE with work-a-round",N38="Functionally Equivalent"),TRUE,FALSE)</f>
        <v>0</v>
      </c>
      <c r="P38" s="807"/>
      <c r="Q38" s="3972" t="s">
        <v>565</v>
      </c>
      <c r="R38" s="994" t="b">
        <f>IF(AND(R39=TRUE,R40=TRUE,R41=TRUE,R42=TRUE),TRUE,FALSE)</f>
        <v>0</v>
      </c>
      <c r="S38" s="111"/>
      <c r="T38" s="111"/>
      <c r="U38" s="120"/>
      <c r="V38" s="4446" t="s">
        <v>3</v>
      </c>
      <c r="W38" s="4509" t="b">
        <f>IF(OR(V38="Compliant",V38="FE with work-a-round",V38="Functionally Equivalent",V38="Not Required/Applicable"),TRUE,FALSE)</f>
        <v>0</v>
      </c>
      <c r="X38" s="406"/>
      <c r="Y38" s="617"/>
      <c r="Z38" s="654"/>
      <c r="AA38" s="655"/>
      <c r="AB38" s="651"/>
      <c r="AC38" s="651"/>
      <c r="AD38" s="651"/>
      <c r="AE38" s="651"/>
      <c r="AF38" s="651"/>
      <c r="AG38" s="651"/>
      <c r="AH38" s="651"/>
      <c r="AI38" s="651"/>
      <c r="AJ38" s="651"/>
      <c r="AK38" s="651"/>
      <c r="AL38" s="651"/>
      <c r="AM38" s="651"/>
      <c r="AN38" s="651"/>
      <c r="AO38" s="651"/>
      <c r="AP38" s="651"/>
      <c r="AQ38" s="651"/>
      <c r="AR38" s="651"/>
      <c r="AS38" s="651"/>
      <c r="AT38" s="651"/>
      <c r="AU38" s="651"/>
      <c r="AV38" s="651"/>
      <c r="AW38" s="651"/>
      <c r="AX38" s="651"/>
      <c r="AY38" s="651"/>
      <c r="AZ38" s="651"/>
      <c r="BA38" s="651"/>
      <c r="BB38" s="651"/>
      <c r="BC38" s="651"/>
      <c r="BD38" s="651"/>
      <c r="BE38" s="651"/>
      <c r="BF38" s="651"/>
      <c r="BG38" s="651"/>
      <c r="BH38" s="651"/>
      <c r="BI38" s="651"/>
      <c r="BJ38" s="651"/>
      <c r="BK38" s="651"/>
      <c r="BL38" s="651"/>
      <c r="BM38" s="651"/>
      <c r="BN38" s="651"/>
      <c r="BO38" s="651"/>
      <c r="BP38" s="651"/>
      <c r="BQ38" s="651"/>
      <c r="BR38" s="651"/>
      <c r="BS38" s="651"/>
      <c r="BT38" s="651"/>
      <c r="BU38" s="651"/>
      <c r="BV38" s="651"/>
      <c r="BW38" s="651"/>
      <c r="BX38" s="651"/>
      <c r="BY38" s="651"/>
      <c r="BZ38" s="651"/>
      <c r="CA38" s="651"/>
      <c r="CB38" s="651"/>
      <c r="CC38" s="651"/>
      <c r="CD38" s="651"/>
      <c r="CE38" s="651"/>
      <c r="CF38" s="651"/>
      <c r="CG38" s="651"/>
    </row>
    <row r="39" spans="1:85" s="27" customFormat="1" ht="58.5" thickTop="1" x14ac:dyDescent="0.3">
      <c r="A39" s="28"/>
      <c r="B39" s="1504"/>
      <c r="C39" s="1728" t="s">
        <v>1246</v>
      </c>
      <c r="D39" s="1013" t="s">
        <v>3</v>
      </c>
      <c r="E39" s="67" t="b">
        <f>IF(D39="Compliant",TRUE,FALSE)</f>
        <v>0</v>
      </c>
      <c r="F39" s="361"/>
      <c r="G39" s="1405" t="str">
        <f>IF(I39&lt;&gt;"", "Not Blank", "")</f>
        <v/>
      </c>
      <c r="H39" s="1403"/>
      <c r="I39" s="2956"/>
      <c r="J39" s="216" t="str">
        <f>IF(L39&lt;&gt;"", "Not Blank", "")</f>
        <v/>
      </c>
      <c r="K39" s="216"/>
      <c r="L39" s="42"/>
      <c r="M39" s="120"/>
      <c r="N39" s="4447"/>
      <c r="O39" s="4630"/>
      <c r="P39" s="120"/>
      <c r="Q39" s="1863" t="s">
        <v>3</v>
      </c>
      <c r="R39" s="732" t="b">
        <f>IF(OR(Q39="Compliant",Q39="FE with work-a-round",Q39="Functionally Equivalent"),TRUE,FALSE)</f>
        <v>0</v>
      </c>
      <c r="S39" s="44"/>
      <c r="T39" s="44"/>
      <c r="U39" s="122"/>
      <c r="V39" s="4447"/>
      <c r="W39" s="4510"/>
      <c r="X39" s="471"/>
      <c r="Y39" s="44"/>
      <c r="Z39" s="122"/>
      <c r="AA39" s="65"/>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s="27" customFormat="1" ht="58" x14ac:dyDescent="0.3">
      <c r="A40" s="28"/>
      <c r="B40" s="1504"/>
      <c r="C40" s="1717" t="s">
        <v>1950</v>
      </c>
      <c r="D40" s="319" t="s">
        <v>3</v>
      </c>
      <c r="E40" s="67" t="b">
        <f>IF(D40="Compliant",TRUE,FALSE)</f>
        <v>0</v>
      </c>
      <c r="F40" s="361"/>
      <c r="G40" s="1405" t="str">
        <f>IF(I40&lt;&gt;"", "Not Blank", "")</f>
        <v/>
      </c>
      <c r="H40" s="1403"/>
      <c r="I40" s="1570"/>
      <c r="J40" s="216" t="str">
        <f>IF(L40&lt;&gt;"", "Not Blank", "")</f>
        <v/>
      </c>
      <c r="K40" s="216"/>
      <c r="L40" s="44"/>
      <c r="M40" s="122"/>
      <c r="N40" s="4447"/>
      <c r="O40" s="4630"/>
      <c r="P40" s="122"/>
      <c r="Q40" s="1060" t="s">
        <v>3</v>
      </c>
      <c r="R40" s="732" t="b">
        <f>IF(OR(Q40="Compliant",Q40="FE with work-a-round",Q40="Functionally Equivalent"),TRUE,FALSE)</f>
        <v>0</v>
      </c>
      <c r="S40" s="44"/>
      <c r="T40" s="44"/>
      <c r="U40" s="122"/>
      <c r="V40" s="4447"/>
      <c r="W40" s="4510"/>
      <c r="X40" s="44"/>
      <c r="Y40" s="44"/>
      <c r="Z40" s="122"/>
      <c r="AA40" s="65"/>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s="27" customFormat="1" ht="319" x14ac:dyDescent="0.3">
      <c r="A41" s="28"/>
      <c r="B41" s="1504"/>
      <c r="C41" s="1717" t="s">
        <v>1949</v>
      </c>
      <c r="D41" s="319" t="s">
        <v>3</v>
      </c>
      <c r="E41" s="67" t="b">
        <f>IF(D41="Compliant",TRUE,FALSE)</f>
        <v>0</v>
      </c>
      <c r="F41" s="361"/>
      <c r="G41" s="1405" t="str">
        <f>IF(I41&lt;&gt;"", "Not Blank", "")</f>
        <v/>
      </c>
      <c r="H41" s="1403"/>
      <c r="I41" s="1570"/>
      <c r="J41" s="216" t="str">
        <f>IF(L41&lt;&gt;"", "Not Blank", "")</f>
        <v/>
      </c>
      <c r="K41" s="216"/>
      <c r="L41" s="44"/>
      <c r="M41" s="122"/>
      <c r="N41" s="4447"/>
      <c r="O41" s="4630"/>
      <c r="P41" s="122"/>
      <c r="Q41" s="1060" t="s">
        <v>3</v>
      </c>
      <c r="R41" s="732" t="b">
        <f>IF(OR(Q41="Compliant",Q41="FE with work-a-round",Q41="Functionally Equivalent"),TRUE,FALSE)</f>
        <v>0</v>
      </c>
      <c r="S41" s="44"/>
      <c r="T41" s="44"/>
      <c r="U41" s="122"/>
      <c r="V41" s="4447"/>
      <c r="W41" s="4510"/>
      <c r="X41" s="44"/>
      <c r="Y41" s="44"/>
      <c r="Z41" s="122"/>
      <c r="AA41" s="65"/>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s="27" customFormat="1" ht="44" thickBot="1" x14ac:dyDescent="0.35">
      <c r="A42" s="1419"/>
      <c r="B42" s="1505"/>
      <c r="C42" s="1842" t="s">
        <v>1243</v>
      </c>
      <c r="D42" s="230" t="s">
        <v>3</v>
      </c>
      <c r="E42" s="161" t="b">
        <f>IF(D42="Compliant",TRUE,FALSE)</f>
        <v>0</v>
      </c>
      <c r="F42" s="258"/>
      <c r="G42" s="1571" t="str">
        <f>IF(I42&lt;&gt;"", "Not Blank", "")</f>
        <v/>
      </c>
      <c r="H42" s="1446"/>
      <c r="I42" s="1572"/>
      <c r="J42" s="218" t="str">
        <f>IF(L42&lt;&gt;"", "Not Blank", "")</f>
        <v/>
      </c>
      <c r="K42" s="218"/>
      <c r="L42" s="124"/>
      <c r="M42" s="125"/>
      <c r="N42" s="4448"/>
      <c r="O42" s="4631"/>
      <c r="P42" s="125"/>
      <c r="Q42" s="1017" t="s">
        <v>3</v>
      </c>
      <c r="R42" s="812" t="b">
        <f>IF(OR(Q42="Compliant",Q42="FE with work-a-round",Q42="Functionally Equivalent"),TRUE,FALSE)</f>
        <v>0</v>
      </c>
      <c r="S42" s="124"/>
      <c r="T42" s="124"/>
      <c r="U42" s="125"/>
      <c r="V42" s="4448"/>
      <c r="W42" s="4511"/>
      <c r="X42" s="124"/>
      <c r="Y42" s="124"/>
      <c r="Z42" s="125"/>
      <c r="AA42" s="65"/>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s="3716" customFormat="1" ht="15" thickTop="1" x14ac:dyDescent="0.3">
      <c r="A43" s="3651"/>
      <c r="B43" s="3634"/>
      <c r="C43" s="3661"/>
      <c r="D43" s="3634"/>
      <c r="E43" s="3636"/>
      <c r="F43" s="3636"/>
      <c r="G43" s="3662"/>
      <c r="H43" s="3663"/>
      <c r="I43" s="3664"/>
      <c r="J43" s="3643"/>
      <c r="K43" s="3643"/>
      <c r="L43" s="3634"/>
      <c r="M43" s="3634"/>
      <c r="N43" s="3643"/>
      <c r="O43" s="3643"/>
      <c r="P43" s="3634"/>
      <c r="Q43" s="3634"/>
      <c r="R43" s="3634"/>
      <c r="S43" s="3634"/>
      <c r="T43" s="3634"/>
      <c r="U43" s="3634"/>
      <c r="V43" s="3639"/>
      <c r="W43" s="3634"/>
      <c r="X43" s="3634"/>
      <c r="Y43" s="3634"/>
      <c r="Z43" s="3634"/>
      <c r="AA43" s="3634"/>
      <c r="AB43" s="3634"/>
      <c r="AC43" s="3634"/>
      <c r="AD43" s="3634"/>
      <c r="AE43" s="3634"/>
      <c r="AF43" s="3634"/>
      <c r="AG43" s="3634"/>
      <c r="AH43" s="3634"/>
      <c r="AI43" s="3634"/>
      <c r="AJ43" s="3634"/>
      <c r="AK43" s="3634"/>
      <c r="AL43" s="3634"/>
      <c r="AM43" s="3634"/>
      <c r="AN43" s="3634"/>
      <c r="AO43" s="3634"/>
      <c r="AP43" s="3634"/>
      <c r="AQ43" s="3634"/>
      <c r="AR43" s="3634"/>
      <c r="AS43" s="3634"/>
      <c r="AT43" s="3634"/>
      <c r="AU43" s="3634"/>
      <c r="AV43" s="3634"/>
      <c r="AW43" s="3634"/>
      <c r="AX43" s="3634"/>
      <c r="AY43" s="3634"/>
      <c r="AZ43" s="3634"/>
      <c r="BA43" s="3634"/>
      <c r="BB43" s="3634"/>
      <c r="BC43" s="3634"/>
      <c r="BD43" s="3634"/>
      <c r="BE43" s="3634"/>
      <c r="BF43" s="3634"/>
      <c r="BG43" s="3634"/>
      <c r="BH43" s="3634"/>
      <c r="BI43" s="3634"/>
      <c r="BJ43" s="3634"/>
      <c r="BK43" s="3634"/>
      <c r="BL43" s="3634"/>
      <c r="BM43" s="3634"/>
      <c r="BN43" s="3634"/>
      <c r="BO43" s="3634"/>
      <c r="BP43" s="3634"/>
      <c r="BQ43" s="3634"/>
      <c r="BR43" s="3634"/>
      <c r="BS43" s="3634"/>
      <c r="BT43" s="3634"/>
      <c r="BU43" s="3634"/>
      <c r="BV43" s="3634"/>
      <c r="BW43" s="3634"/>
      <c r="BX43" s="3634"/>
      <c r="BY43" s="3634"/>
      <c r="BZ43" s="3634"/>
      <c r="CA43" s="3634"/>
      <c r="CB43" s="3634"/>
      <c r="CC43" s="3634"/>
      <c r="CD43" s="3634"/>
      <c r="CE43" s="3634"/>
      <c r="CF43" s="3634"/>
      <c r="CG43" s="3634"/>
    </row>
    <row r="44" spans="1:85" s="3640" customFormat="1" ht="18.5" x14ac:dyDescent="0.3">
      <c r="A44" s="4482" t="s">
        <v>1138</v>
      </c>
      <c r="B44" s="4483"/>
      <c r="C44" s="4483"/>
      <c r="D44" s="4483"/>
      <c r="E44" s="4483"/>
      <c r="F44" s="4483"/>
      <c r="G44" s="4483"/>
      <c r="H44" s="4483"/>
      <c r="I44" s="4483"/>
      <c r="J44" s="4483"/>
      <c r="K44" s="4483"/>
      <c r="L44" s="4483"/>
      <c r="M44" s="4483"/>
      <c r="N44" s="4483"/>
      <c r="O44" s="3669"/>
      <c r="P44" s="3670"/>
      <c r="Q44" s="3670"/>
      <c r="R44" s="3670"/>
      <c r="S44" s="3671"/>
      <c r="T44" s="3672"/>
      <c r="U44" s="3672"/>
      <c r="V44" s="3673"/>
      <c r="W44" s="3674"/>
      <c r="X44" s="3674"/>
      <c r="Y44" s="3675"/>
      <c r="Z44" s="3676"/>
    </row>
    <row r="45" spans="1:85" s="3640" customFormat="1" ht="19" thickBot="1" x14ac:dyDescent="0.35">
      <c r="A45" s="3718"/>
      <c r="B45" s="3719"/>
      <c r="C45" s="3719"/>
      <c r="D45" s="3720"/>
      <c r="E45" s="3720"/>
      <c r="F45" s="3720"/>
      <c r="G45" s="3720"/>
      <c r="H45" s="3720"/>
      <c r="I45" s="3721"/>
      <c r="J45" s="3720"/>
      <c r="K45" s="3720"/>
      <c r="L45" s="3720"/>
      <c r="M45" s="3720"/>
      <c r="N45" s="3722"/>
      <c r="O45" s="3722"/>
      <c r="P45" s="3769"/>
      <c r="Q45" s="3770"/>
      <c r="R45" s="3723"/>
      <c r="S45" s="3724"/>
      <c r="T45" s="3724"/>
      <c r="V45" s="3725"/>
      <c r="W45" s="3727"/>
      <c r="X45" s="3728"/>
      <c r="Y45" s="3728"/>
    </row>
    <row r="46" spans="1:85" s="2984" customFormat="1" ht="32" thickTop="1" thickBot="1" x14ac:dyDescent="0.35">
      <c r="A46" s="2782"/>
      <c r="B46" s="1510" t="s">
        <v>1358</v>
      </c>
      <c r="C46" s="2171" t="s">
        <v>1782</v>
      </c>
      <c r="D46" s="2098" t="s">
        <v>565</v>
      </c>
      <c r="E46" s="2099" t="b">
        <f>IF(AND(E47,TRUE,E58,E82,TRUE),TRUE,FALSE)</f>
        <v>0</v>
      </c>
      <c r="F46" s="1927">
        <f>SUM(F47,F58)</f>
        <v>0</v>
      </c>
      <c r="G46" s="1927">
        <f>COUNTIFS(E47:E54,TRUE,G47:G54,"Not Blank")</f>
        <v>0</v>
      </c>
      <c r="H46" s="1927">
        <f>COUNTIFS(E47:E54,FALSE,G47:G54,"Not Blank")</f>
        <v>0</v>
      </c>
      <c r="I46" s="1927" t="str">
        <f xml:space="preserve">
IF(F46&gt;26,"Too Many Entries - Check Red Lines",
IF(AND(E46=FALSE,G46=0,H46=0,E46=TRUE),"Nothing Required Below",
IF(G46&lt;F46,"Valid Entry required below - Check Amber Line/s",
IF(AND(E46=FALSE,G46=0,H46=0),"Nothing Entered below Yet",
IF(G46&lt;F46,"Valid Entry required below - Check Amber Line/s",
IF(AND(G46=0,H46&gt;0),"**Non-Valid Entry/ies below - Check Yellow Line/s",
IF(AND(G46&gt;0,H46&gt;0),"**Valid and Non-Valid Entries made below - Check Yellow Line/s",
IF(AND(E46=FALSE,F46&lt;26),"Not all requirements addressed below - Check Pink Line/s",
IF(AND(E46=FALSE,G46&lt;26,G46&gt;0,H46=0),"More entries to come",
IF(AND(E46,TRUE,G46=26,H46=0),"Valid Entries made below"
))))))))))</f>
        <v>Nothing Entered below Yet</v>
      </c>
      <c r="J46" s="1927">
        <f>COUNTIFS(E47:E54,TRUE,J47:J54,"Not Blank")</f>
        <v>0</v>
      </c>
      <c r="K46" s="1927">
        <f>COUNTIFS(E47:E54,FALSE,J47:J54,"Not Blank")</f>
        <v>0</v>
      </c>
      <c r="L46" s="1927" t="str">
        <f xml:space="preserve">
IF(J46&gt;26,"Too Many Entries - Check Red Lines",
IF(AND(E46=FALSE,J46=0,K46=0,E45=TRUE),"Nothing Required Below",
IF(J46&lt;F46,"Valid Entry required below - Check Amber Line/s",
IF(AND(E46=FALSE,J46=0,K46=0),"Nothing Entered below Yet",
IF(AND(J46=0,K46&gt;0),"**Non-Valid Entry/ies below - Check Yellow Line/s",
IF(AND(J46&gt;0,K46&gt;0),"**Valid and Non-Valid Entries made below - Check Yellow Line/s",
IF(AND(E46=FALSE,J46&lt;26),"Not all requirements addressed below - Check Pink Line/s",
IF(AND(E46=FALSE,J46&lt;26,J46&gt;0,K46=0),"More entries to come",
IF(AND(E46,TRUE,J46=26,K46=0),"Valid Entries made below"
)))))))))</f>
        <v>Nothing Entered below Yet</v>
      </c>
      <c r="M46" s="2783"/>
      <c r="N46" s="4138" t="s">
        <v>565</v>
      </c>
      <c r="O46" s="748" t="b">
        <f>IF(AND(O47=TRUE,O54=TRUE,O58=TRUE),TRUE,FALSE)</f>
        <v>0</v>
      </c>
      <c r="P46" s="2144"/>
      <c r="Q46" s="4199" t="s">
        <v>565</v>
      </c>
      <c r="R46" s="816" t="b">
        <f>IF(AND(R47,TRUE,R58,R82,TRUE),TRUE,FALSE)</f>
        <v>0</v>
      </c>
      <c r="S46" s="336"/>
      <c r="T46" s="336"/>
      <c r="U46" s="337"/>
      <c r="V46" s="4201" t="s">
        <v>565</v>
      </c>
      <c r="W46" s="335" t="b">
        <f>IF(AND(W47=TRUE,W54=TRUE,W58=TRUE),TRUE,FALSE)</f>
        <v>0</v>
      </c>
      <c r="X46" s="336"/>
      <c r="Y46" s="2982"/>
      <c r="Z46" s="2983"/>
    </row>
    <row r="47" spans="1:85" s="27" customFormat="1" ht="44" thickTop="1" x14ac:dyDescent="0.3">
      <c r="A47" s="60">
        <v>6</v>
      </c>
      <c r="B47" s="1910" t="s">
        <v>419</v>
      </c>
      <c r="C47" s="1722" t="s">
        <v>526</v>
      </c>
      <c r="D47" s="2149" t="s">
        <v>565</v>
      </c>
      <c r="E47" s="1929" t="b">
        <f>IF(AND(E48=TRUE,E49=TRUE,E52=TRUE,E53=TRUE,E54=TRUE,E55=TRUE,E56=TRUE),TRUE,FALSE)</f>
        <v>0</v>
      </c>
      <c r="F47" s="1514">
        <f>COUNTIF(E48,TRUE)+COUNTIF(E50:E56,TRUE)</f>
        <v>0</v>
      </c>
      <c r="G47" s="1514">
        <f>COUNTIFS(E48:E56,TRUE,G48:G56,"Not Blank")</f>
        <v>0</v>
      </c>
      <c r="H47" s="1514">
        <f>COUNTIFS(E48:E56,FALSE,G48:G56,"Not Blank")</f>
        <v>0</v>
      </c>
      <c r="I47" s="1727" t="str">
        <f xml:space="preserve">
IF(F47&gt;8,"Too Many Entries - Check Red Lines",
IF(AND(E47=FALSE,G47=0,H47=0,E47=TRUE),"Nothing Required Below",
IF(G47&lt;F47,"Valid Entry required below - Check Amber Line/s",
IF(AND(E47=FALSE,G47=0,H47=0),"Nothing Entered below Yet",
IF(G47&lt;F47,"Valid Entry required below - Check Amber Line/s",
IF(AND(G47=0,H47&gt;0),"**Non-Valid Entry/ies below - Check Yellow Line/s",
IF(AND(G47&gt;0,H47&gt;0),"**Valid and Non-Valid Entries made below - Check Yellow Line/s",
IF(AND(E47=FALSE,F47&lt;8),"Not all requirements addressed below - Check Pink Line/s",
IF(AND(E47=FALSE,G47&lt;8,G47&gt;0,H47=0),"More entries to come",
IF(AND(E47,TRUE,G47=8,H47=0),"Valid Entries made below"
))))))))))</f>
        <v>Nothing Entered below Yet</v>
      </c>
      <c r="J47" s="1514">
        <f>COUNTIFS(E48:E56,TRUE,J48:J56,"Not Blank")</f>
        <v>0</v>
      </c>
      <c r="K47" s="1514">
        <f>COUNTIFS(E48:E56,FALSE,J48:J56,"Not Blank")</f>
        <v>0</v>
      </c>
      <c r="L47" s="1727" t="str">
        <f xml:space="preserve">
IF(J47&gt;8,"Too Many Entries - Check Red Lines",
IF(AND(E47=FALSE,J47=0,K47=0,E46=TRUE),"Nothing Required Below",
IF(J47&lt;F47,"Valid Entry required below - Check Amber Line/s",
IF(AND(E47=FALSE,J47=0,K47=0),"Nothing Entered below Yet",
IF(AND(J47=0,K47&gt;0),"**Non-Valid Entry/ies below - Check Yellow Line/s",
IF(AND(J47&gt;0,K47&gt;0),"**Valid and Non-Valid Entries made below - Check Yellow Line/s",
IF(AND(E47=FALSE,J47&lt;8),"Not all requirements addressed below - Check Pink Line/s",
IF(AND(E47=FALSE,J47&lt;8,J47&gt;0,K47=0),"More entries to come",
IF(AND(E47,TRUE,J47=8,K47=0),"Valid Entries made below"
)))))))))</f>
        <v>Nothing Entered below Yet</v>
      </c>
      <c r="M47" s="861"/>
      <c r="N47" s="4446" t="s">
        <v>3</v>
      </c>
      <c r="O47" s="4743" t="b">
        <f>IF(OR(N47="Compliant",N47="FE with work-a-round",N47="Functionally Equivalent"),TRUE,FALSE)</f>
        <v>0</v>
      </c>
      <c r="P47" s="2176"/>
      <c r="Q47" s="4138" t="s">
        <v>565</v>
      </c>
      <c r="R47" s="773" t="b">
        <f>IF(AND(R48=TRUE,R49=TRUE,R52=TRUE,R53=TRUE,R54=TRUE,R55=TRUE,R56=TRUE),TRUE,FALSE)</f>
        <v>0</v>
      </c>
      <c r="S47" s="111"/>
      <c r="T47" s="111"/>
      <c r="U47" s="120"/>
      <c r="V47" s="4743" t="s">
        <v>462</v>
      </c>
      <c r="W47" s="4674" t="b">
        <f>IF(OR(V47="Compliant",V47="FE with work-a-round",V47="Functionally Equivalent",V47="Not Required/Applicable"),TRUE,FALSE)</f>
        <v>1</v>
      </c>
      <c r="X47" s="186"/>
      <c r="Y47" s="111"/>
      <c r="Z47" s="120"/>
      <c r="AA47" s="65"/>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s="27" customFormat="1" ht="29.5" thickBot="1" x14ac:dyDescent="0.35">
      <c r="A48" s="60"/>
      <c r="B48" s="1508"/>
      <c r="C48" s="3007" t="s">
        <v>527</v>
      </c>
      <c r="D48" s="894" t="s">
        <v>3</v>
      </c>
      <c r="E48" s="161" t="b">
        <f>IF(D48="Compliant",TRUE,FALSE)</f>
        <v>0</v>
      </c>
      <c r="F48" s="124"/>
      <c r="G48" s="124" t="str">
        <f>IF(I48&lt;&gt;"", "Not Blank", "")</f>
        <v/>
      </c>
      <c r="H48" s="124"/>
      <c r="I48" s="2314"/>
      <c r="J48" s="124" t="str">
        <f>IF(L48&lt;&gt;"", "Not Blank", "")</f>
        <v/>
      </c>
      <c r="K48" s="124"/>
      <c r="L48" s="2314"/>
      <c r="M48" s="2312"/>
      <c r="N48" s="4447"/>
      <c r="O48" s="4744"/>
      <c r="P48" s="469"/>
      <c r="Q48" s="2313" t="s">
        <v>3</v>
      </c>
      <c r="R48" s="1293" t="b">
        <f>IF(OR(Q48="Compliant",Q48="FE with work-a-round",Q48="Functionally Equivalent"),TRUE,FALSE)</f>
        <v>0</v>
      </c>
      <c r="S48" s="718"/>
      <c r="T48" s="718"/>
      <c r="U48" s="1758"/>
      <c r="V48" s="4744"/>
      <c r="W48" s="4675"/>
      <c r="X48" s="79"/>
      <c r="Y48" s="79"/>
      <c r="Z48" s="127"/>
      <c r="AA48" s="65"/>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s="27" customFormat="1" ht="29.5" thickTop="1" x14ac:dyDescent="0.3">
      <c r="A49" s="60"/>
      <c r="B49" s="1910"/>
      <c r="C49" s="1819" t="s">
        <v>528</v>
      </c>
      <c r="D49" s="1841" t="s">
        <v>565</v>
      </c>
      <c r="E49" s="1929" t="b">
        <f>IF(AND(E50=TRUE,E51=TRUE),TRUE,FALSE)</f>
        <v>0</v>
      </c>
      <c r="F49" s="1514">
        <f>COUNTIF(E50:E51,TRUE)</f>
        <v>0</v>
      </c>
      <c r="G49" s="1928">
        <f>COUNTIFS(E50:E51,TRUE,G50:G51,"Not Blank")</f>
        <v>0</v>
      </c>
      <c r="H49" s="1928">
        <f>COUNTIFS(E50:E51,FALSE,G50:G51,"Not Blank")</f>
        <v>0</v>
      </c>
      <c r="I49" s="1514" t="str">
        <f xml:space="preserve">
IF(F49&gt;2,"Too Many Entries - Check Red Lines",
IF(AND(E49=FALSE,G49=0,H49=0,E49=TRUE),"Nothing Required Below",
IF(G49&lt;F49,"Valid Entry required below - Check Amber Line/s",
IF(AND(E49=FALSE,G49=0,H49=0),"Nothing Entered below Yet",
IF(G49&lt;F49,"Valid Entry required below - Check Amber Line/s",
IF(AND(G49=0,H49&gt;0),"**Non-Valid Entry/ies below - Check Yellow Line/s",
IF(AND(G49&gt;0,H49&gt;0),"**Valid and Non-Valid Entries made below - Check Yellow Line/s",
IF(AND(E49=FALSE,F49&lt;2),"Not all requirements addressed below - Check Pink Line/s",
IF(AND(E49=FALSE,G49&lt;2,G49&gt;0,H49=0),"More entries to come",
IF(AND(E49,TRUE,G49=2,H49=0),"Valid Entries made below"
))))))))))</f>
        <v>Nothing Entered below Yet</v>
      </c>
      <c r="J49" s="1514">
        <f>COUNTIFS(E50:E51,TRUE,J50:J51,"Not Blank")</f>
        <v>0</v>
      </c>
      <c r="K49" s="1514">
        <f>COUNTIFS(E50:E51,FALSE,J50:J51,"Not Blank")</f>
        <v>0</v>
      </c>
      <c r="L49" s="1514" t="str">
        <f xml:space="preserve">
IF(J49&gt;2,"Too Many Entries - Check Red Lines",
IF(AND(E49=FALSE,J49=0,K49=0,E48=TRUE),"Nothing Required Below",
IF(J49&lt;F49,"Valid Entry required below - Check Amber Line/s",
IF(AND(E49=FALSE,J49=0,K49=0),"Nothing Entered below Yet",
IF(AND(J49=0,K49&gt;0),"**Non-Valid Entry/ies below - Check Yellow Line/s",
IF(AND(J49&gt;0,K49&gt;0),"**Valid and Non-Valid Entries made below - Check Yellow Line/s",
IF(AND(E49=FALSE,J49&lt;2),"Not all requirements addressed below - Check Pink Line/s",
IF(AND(E49=FALSE,J49&lt;2,J49&gt;0,K49=0),"More entries to come",
IF(AND(E49,TRUE,J49=2,K49=0),"Valid Entries made below"
)))))))))</f>
        <v>Nothing Entered below Yet</v>
      </c>
      <c r="M49" s="211"/>
      <c r="N49" s="4447"/>
      <c r="O49" s="4744"/>
      <c r="P49" s="120"/>
      <c r="Q49" s="4200" t="s">
        <v>565</v>
      </c>
      <c r="R49" s="773" t="b">
        <f>IF(AND(R50=TRUE,R51=TRUE),TRUE,FALSE)</f>
        <v>0</v>
      </c>
      <c r="S49" s="111"/>
      <c r="T49" s="111"/>
      <c r="U49" s="120"/>
      <c r="V49" s="4744"/>
      <c r="W49" s="4675"/>
      <c r="X49" s="111"/>
      <c r="Y49" s="111"/>
      <c r="Z49" s="120"/>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s="27" customFormat="1" ht="29" x14ac:dyDescent="0.3">
      <c r="A50" s="60"/>
      <c r="B50" s="1504"/>
      <c r="C50" s="1816" t="s">
        <v>423</v>
      </c>
      <c r="D50" s="319" t="s">
        <v>3</v>
      </c>
      <c r="E50" s="67" t="b">
        <f t="shared" ref="E50:E56" si="0">IF(D50="Compliant",TRUE,FALSE)</f>
        <v>0</v>
      </c>
      <c r="F50" s="44"/>
      <c r="G50" s="44" t="str">
        <f t="shared" ref="G50:G56" si="1">IF(I50&lt;&gt;"", "Not Blank", "")</f>
        <v/>
      </c>
      <c r="H50" s="44"/>
      <c r="I50" s="44"/>
      <c r="J50" s="44" t="str">
        <f t="shared" ref="J50:J56" si="2">IF(L50&lt;&gt;"", "Not Blank", "")</f>
        <v/>
      </c>
      <c r="K50" s="44"/>
      <c r="L50" s="44"/>
      <c r="M50" s="68"/>
      <c r="N50" s="4447"/>
      <c r="O50" s="4744"/>
      <c r="P50" s="122"/>
      <c r="Q50" s="1060" t="s">
        <v>3</v>
      </c>
      <c r="R50" s="574" t="b">
        <f t="shared" ref="R50:R56" si="3">IF(OR(Q50="Compliant",Q50="FE with work-a-round",Q50="Functionally Equivalent"),TRUE,FALSE)</f>
        <v>0</v>
      </c>
      <c r="S50" s="44"/>
      <c r="T50" s="44"/>
      <c r="U50" s="122"/>
      <c r="V50" s="4744"/>
      <c r="W50" s="4675"/>
      <c r="X50" s="44"/>
      <c r="Y50" s="44"/>
      <c r="Z50" s="122"/>
      <c r="AA50" s="65"/>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s="27" customFormat="1" ht="29" x14ac:dyDescent="0.3">
      <c r="A51" s="60"/>
      <c r="B51" s="1504"/>
      <c r="C51" s="1816" t="s">
        <v>668</v>
      </c>
      <c r="D51" s="319" t="s">
        <v>3</v>
      </c>
      <c r="E51" s="67" t="b">
        <f t="shared" si="0"/>
        <v>0</v>
      </c>
      <c r="F51" s="44"/>
      <c r="G51" s="44" t="str">
        <f t="shared" si="1"/>
        <v/>
      </c>
      <c r="H51" s="44"/>
      <c r="I51" s="44"/>
      <c r="J51" s="44" t="str">
        <f t="shared" si="2"/>
        <v/>
      </c>
      <c r="K51" s="44"/>
      <c r="L51" s="44"/>
      <c r="M51" s="68"/>
      <c r="N51" s="4447"/>
      <c r="O51" s="4744"/>
      <c r="P51" s="122"/>
      <c r="Q51" s="1060" t="s">
        <v>3</v>
      </c>
      <c r="R51" s="574" t="b">
        <f t="shared" si="3"/>
        <v>0</v>
      </c>
      <c r="S51" s="44"/>
      <c r="T51" s="44"/>
      <c r="U51" s="122"/>
      <c r="V51" s="4744"/>
      <c r="W51" s="4675"/>
      <c r="X51" s="44"/>
      <c r="Y51" s="44"/>
      <c r="Z51" s="122"/>
      <c r="AA51" s="65"/>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s="27" customFormat="1" ht="43.5" x14ac:dyDescent="0.3">
      <c r="A52" s="60"/>
      <c r="B52" s="1504"/>
      <c r="C52" s="1816" t="s">
        <v>1846</v>
      </c>
      <c r="D52" s="319" t="s">
        <v>3</v>
      </c>
      <c r="E52" s="67" t="b">
        <f t="shared" si="0"/>
        <v>0</v>
      </c>
      <c r="F52" s="44"/>
      <c r="G52" s="44" t="str">
        <f t="shared" si="1"/>
        <v/>
      </c>
      <c r="H52" s="44"/>
      <c r="I52" s="44"/>
      <c r="J52" s="44" t="str">
        <f t="shared" si="2"/>
        <v/>
      </c>
      <c r="K52" s="44"/>
      <c r="L52" s="44"/>
      <c r="M52" s="68"/>
      <c r="N52" s="4447"/>
      <c r="O52" s="4744"/>
      <c r="P52" s="122"/>
      <c r="Q52" s="1060" t="s">
        <v>3</v>
      </c>
      <c r="R52" s="574" t="b">
        <f t="shared" si="3"/>
        <v>0</v>
      </c>
      <c r="S52" s="44"/>
      <c r="T52" s="44"/>
      <c r="U52" s="122"/>
      <c r="V52" s="4744"/>
      <c r="W52" s="4675"/>
      <c r="X52" s="44"/>
      <c r="Y52" s="44"/>
      <c r="Z52" s="122"/>
      <c r="AA52" s="65"/>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row>
    <row r="53" spans="1:85" s="27" customFormat="1" ht="29.5" thickBot="1" x14ac:dyDescent="0.35">
      <c r="A53" s="60"/>
      <c r="B53" s="1504"/>
      <c r="C53" s="1818" t="s">
        <v>427</v>
      </c>
      <c r="D53" s="849" t="s">
        <v>3</v>
      </c>
      <c r="E53" s="78" t="b">
        <f t="shared" si="0"/>
        <v>0</v>
      </c>
      <c r="F53" s="79"/>
      <c r="G53" s="79" t="str">
        <f t="shared" si="1"/>
        <v/>
      </c>
      <c r="H53" s="79"/>
      <c r="I53" s="79"/>
      <c r="J53" s="79" t="str">
        <f t="shared" si="2"/>
        <v/>
      </c>
      <c r="K53" s="79"/>
      <c r="L53" s="79"/>
      <c r="M53" s="143"/>
      <c r="N53" s="4448"/>
      <c r="O53" s="4745"/>
      <c r="P53" s="127"/>
      <c r="Q53" s="1060" t="s">
        <v>3</v>
      </c>
      <c r="R53" s="1293" t="b">
        <f t="shared" si="3"/>
        <v>0</v>
      </c>
      <c r="S53" s="124"/>
      <c r="T53" s="124"/>
      <c r="U53" s="125"/>
      <c r="V53" s="4745"/>
      <c r="W53" s="4676"/>
      <c r="X53" s="124"/>
      <c r="Y53" s="124"/>
      <c r="Z53" s="125"/>
      <c r="AA53" s="65"/>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row>
    <row r="54" spans="1:85" s="27" customFormat="1" ht="44" thickTop="1" x14ac:dyDescent="0.3">
      <c r="A54" s="60"/>
      <c r="B54" s="1810"/>
      <c r="C54" s="1685" t="s">
        <v>529</v>
      </c>
      <c r="D54" s="229" t="s">
        <v>3</v>
      </c>
      <c r="E54" s="138" t="b">
        <f t="shared" si="0"/>
        <v>0</v>
      </c>
      <c r="F54" s="111"/>
      <c r="G54" s="111" t="str">
        <f t="shared" si="1"/>
        <v/>
      </c>
      <c r="H54" s="111"/>
      <c r="I54" s="111"/>
      <c r="J54" s="111" t="str">
        <f t="shared" si="2"/>
        <v/>
      </c>
      <c r="K54" s="111"/>
      <c r="L54" s="111"/>
      <c r="M54" s="211"/>
      <c r="N54" s="4446"/>
      <c r="O54" s="4706" t="b">
        <f>IF(OR(N54="Compliant",N54="FE with work-a-round",N54="Functionally Equivalent"),TRUE,FALSE)</f>
        <v>0</v>
      </c>
      <c r="P54" s="120"/>
      <c r="Q54" s="1060" t="s">
        <v>3</v>
      </c>
      <c r="R54" s="307" t="b">
        <f t="shared" si="3"/>
        <v>0</v>
      </c>
      <c r="S54" s="111"/>
      <c r="T54" s="111"/>
      <c r="U54" s="120"/>
      <c r="V54" s="4446" t="s">
        <v>3</v>
      </c>
      <c r="W54" s="4437" t="b">
        <f>IF(OR(V54="Compliant",V54="FE with work-a-round",V54="Functionally Equivalent",V54="Not Required/Applicable"),TRUE,FALSE)</f>
        <v>0</v>
      </c>
      <c r="X54" s="111"/>
      <c r="Y54" s="111"/>
      <c r="Z54" s="120"/>
      <c r="AA54" s="65"/>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row>
    <row r="55" spans="1:85" s="27" customFormat="1" ht="58" x14ac:dyDescent="0.3">
      <c r="A55" s="60">
        <v>8</v>
      </c>
      <c r="B55" s="1504" t="s">
        <v>429</v>
      </c>
      <c r="C55" s="1686" t="s">
        <v>1972</v>
      </c>
      <c r="D55" s="319" t="s">
        <v>3</v>
      </c>
      <c r="E55" s="67" t="b">
        <f t="shared" si="0"/>
        <v>0</v>
      </c>
      <c r="F55" s="44"/>
      <c r="G55" s="44" t="str">
        <f t="shared" si="1"/>
        <v/>
      </c>
      <c r="H55" s="44"/>
      <c r="I55" s="44"/>
      <c r="J55" s="44" t="str">
        <f t="shared" si="2"/>
        <v/>
      </c>
      <c r="K55" s="44"/>
      <c r="L55" s="44"/>
      <c r="M55" s="68"/>
      <c r="N55" s="4447"/>
      <c r="O55" s="4707"/>
      <c r="P55" s="122"/>
      <c r="Q55" s="1060" t="s">
        <v>3</v>
      </c>
      <c r="R55" s="574" t="b">
        <f t="shared" si="3"/>
        <v>0</v>
      </c>
      <c r="S55" s="44"/>
      <c r="T55" s="44"/>
      <c r="U55" s="122"/>
      <c r="V55" s="4447"/>
      <c r="W55" s="4438"/>
      <c r="X55" s="44"/>
      <c r="Y55" s="44"/>
      <c r="Z55" s="122"/>
      <c r="AA55" s="65"/>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row>
    <row r="56" spans="1:85" s="27" customFormat="1" ht="44" thickBot="1" x14ac:dyDescent="0.35">
      <c r="A56" s="60"/>
      <c r="B56" s="1505"/>
      <c r="C56" s="1687" t="s">
        <v>1968</v>
      </c>
      <c r="D56" s="230" t="s">
        <v>3</v>
      </c>
      <c r="E56" s="161" t="b">
        <f t="shared" si="0"/>
        <v>0</v>
      </c>
      <c r="F56" s="124"/>
      <c r="G56" s="124" t="str">
        <f t="shared" si="1"/>
        <v/>
      </c>
      <c r="H56" s="124"/>
      <c r="I56" s="124"/>
      <c r="J56" s="124" t="str">
        <f t="shared" si="2"/>
        <v/>
      </c>
      <c r="K56" s="124"/>
      <c r="L56" s="124"/>
      <c r="M56" s="246"/>
      <c r="N56" s="4448"/>
      <c r="O56" s="4708"/>
      <c r="P56" s="125"/>
      <c r="Q56" s="1017" t="s">
        <v>3</v>
      </c>
      <c r="R56" s="922" t="b">
        <f t="shared" si="3"/>
        <v>0</v>
      </c>
      <c r="S56" s="124"/>
      <c r="T56" s="124"/>
      <c r="U56" s="125"/>
      <c r="V56" s="4448"/>
      <c r="W56" s="4439"/>
      <c r="X56" s="124"/>
      <c r="Y56" s="124"/>
      <c r="Z56" s="125"/>
      <c r="AA56" s="65"/>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row>
    <row r="57" spans="1:85" s="3730" customFormat="1" ht="15.5" thickTop="1" thickBot="1" x14ac:dyDescent="0.35">
      <c r="B57" s="3634"/>
      <c r="C57" s="3634"/>
      <c r="D57" s="3634"/>
      <c r="E57" s="3634"/>
      <c r="F57" s="3634"/>
      <c r="G57" s="3634"/>
      <c r="H57" s="3634"/>
      <c r="I57" s="3634"/>
      <c r="J57" s="3634"/>
      <c r="K57" s="3634"/>
      <c r="L57" s="3694"/>
      <c r="M57" s="3694"/>
      <c r="N57" s="3694"/>
      <c r="O57" s="3694"/>
      <c r="P57" s="3729"/>
      <c r="Q57" s="3638"/>
      <c r="R57" s="3634"/>
      <c r="S57" s="3634"/>
      <c r="T57" s="3634"/>
      <c r="U57" s="3634"/>
      <c r="V57" s="3764"/>
      <c r="W57" s="3634"/>
      <c r="X57" s="3634"/>
      <c r="Y57" s="3634"/>
      <c r="Z57" s="3634"/>
      <c r="AA57" s="3634"/>
      <c r="AB57" s="3634"/>
      <c r="AC57" s="3634"/>
      <c r="AD57" s="3634"/>
      <c r="AE57" s="3634"/>
      <c r="AF57" s="3634"/>
      <c r="AG57" s="3634"/>
      <c r="AH57" s="3634"/>
      <c r="AI57" s="3634"/>
      <c r="AJ57" s="3634"/>
      <c r="AK57" s="3634"/>
      <c r="AL57" s="3634"/>
      <c r="AM57" s="3634"/>
      <c r="AN57" s="3634"/>
      <c r="AO57" s="3634"/>
      <c r="AP57" s="3634"/>
      <c r="AQ57" s="3634"/>
      <c r="AR57" s="3634"/>
      <c r="AS57" s="3634"/>
      <c r="AT57" s="3634"/>
      <c r="AU57" s="3634"/>
      <c r="AV57" s="3634"/>
      <c r="AW57" s="3634"/>
      <c r="AX57" s="3634"/>
      <c r="AY57" s="3634"/>
      <c r="AZ57" s="3634"/>
      <c r="BA57" s="3634"/>
      <c r="BB57" s="3634"/>
      <c r="BC57" s="3634"/>
      <c r="BD57" s="3634"/>
      <c r="BE57" s="3634"/>
      <c r="BF57" s="3634"/>
      <c r="BG57" s="3634"/>
      <c r="BH57" s="3634"/>
      <c r="BI57" s="3634"/>
      <c r="BJ57" s="3634"/>
      <c r="BK57" s="3634"/>
      <c r="BL57" s="3634"/>
      <c r="BM57" s="3634"/>
      <c r="BN57" s="3634"/>
      <c r="BO57" s="3634"/>
      <c r="BP57" s="3634"/>
      <c r="BQ57" s="3634"/>
      <c r="BR57" s="3634"/>
      <c r="BS57" s="3634"/>
      <c r="BT57" s="3634"/>
      <c r="BU57" s="3634"/>
      <c r="BV57" s="3634"/>
      <c r="BW57" s="3634"/>
      <c r="BX57" s="3634"/>
      <c r="BY57" s="3634"/>
      <c r="BZ57" s="3634"/>
      <c r="CA57" s="3634"/>
      <c r="CB57" s="3634"/>
      <c r="CC57" s="3634"/>
      <c r="CD57" s="3634"/>
      <c r="CE57" s="3634"/>
      <c r="CF57" s="3634"/>
      <c r="CG57" s="3634"/>
    </row>
    <row r="58" spans="1:85" s="27" customFormat="1" ht="30" thickTop="1" thickBot="1" x14ac:dyDescent="0.35">
      <c r="A58" s="60">
        <v>7</v>
      </c>
      <c r="B58" s="1509" t="s">
        <v>432</v>
      </c>
      <c r="C58" s="1734" t="s">
        <v>875</v>
      </c>
      <c r="D58" s="1925" t="s">
        <v>565</v>
      </c>
      <c r="E58" s="1929" t="b">
        <f>IF(AND(E59=TRUE,E60=TRUE,E64=TRUE,E67=TRUE,E68=TRUE,E72=TRUE,E75=TRUE,E76=TRUE,E77=TRUE,E78=TRUE,E82=TRUE),TRUE,FALSE)</f>
        <v>0</v>
      </c>
      <c r="F58" s="1514">
        <f>COUNTIF(E59,TRUE)+SUM(F60,F64,F68,F72,F78,F82)</f>
        <v>0</v>
      </c>
      <c r="G58" s="1514">
        <f>COUNTIFS(E59,TRUE,G59,"Not Blank")+SUM(G60,G64,G68,G72,G78)+COUNTIFS(E82,TRUE,G82,"Not Blank")</f>
        <v>0</v>
      </c>
      <c r="H58" s="1514">
        <f>COUNTIFS(E59:E82,FALSE,G59:G82,"Not Blank")</f>
        <v>0</v>
      </c>
      <c r="I58" s="1497" t="str">
        <f xml:space="preserve">
IF(F58&gt;18,"Too Many Entries - Check Red Lines",
IF(AND(E58=FALSE,G58=0,H58=0,E58=TRUE),"Nothing Required Below",
IF(G58&lt;F58,"Valid Entry required below - Check Amber Line/s",
IF(AND(E58=FALSE,G58=0,H58=0),"Nothing Entered below Yet",
IF(G58&lt;F58,"Valid Entry required below - Check Amber Line/s",
IF(AND(G58=0,H58&gt;0),"**Non-Valid Entry/ies below - Check Yellow Line/s",
IF(AND(G58&gt;0,H58&gt;0),"**Valid and Non-Valid Entries made below - Check Yellow Line/s",
IF(AND(E58=FALSE,F58&lt;18),"Not all requirements addressed below - Check Pink Line/s",
IF(AND(E58=FALSE,G58&lt;18,G58&gt;0,H58=0),"More entries to come",
IF(AND(E58,TRUE,G58=18,H58=0),"Valid Entries made below"
))))))))))</f>
        <v>Nothing Entered below Yet</v>
      </c>
      <c r="J58" s="1514">
        <f>COUNTIFS(E59:E82,TRUE,J59:J82,"Not Blank")</f>
        <v>0</v>
      </c>
      <c r="K58" s="1514">
        <f>COUNTIFS(E59:E82,FALSE,J59:J82,"Not Blank")</f>
        <v>0</v>
      </c>
      <c r="L58" s="1727" t="str">
        <f xml:space="preserve">
IF(J58&gt;18,"Too Many Entries - Check Red Lines",
IF(AND(E58=FALSE,J58=0,K58=0,E57=TRUE),"Nothing Required Below",
IF(J58&lt;F58,"Valid Entry required below - Check Amber Line/s",
IF(AND(E58=FALSE,J58=0,K58=0),"Nothing Entered below Yet",
IF(AND(J58=0,K58&gt;0),"**Non-Valid Entry/ies below - Check Yellow Line/s",
IF(AND(J58&gt;0,K58&gt;0),"**Valid and Non-Valid Entries made below - Check Yellow Line/s",
IF(AND(E58=FALSE,J58&lt;18),"Not all requirements addressed below - Check Pink Line/s",
IF(AND(E58=FALSE,J58&lt;18,J58&gt;0,K58=0),"More entries to come",
IF(AND(E58,TRUE,J58=18,K58=0),"Valid Entries made below"
)))))))))</f>
        <v>Nothing Entered below Yet</v>
      </c>
      <c r="M58" s="134"/>
      <c r="N58" s="4138" t="s">
        <v>565</v>
      </c>
      <c r="O58" s="748" t="b">
        <f>IF(AND(O59=TRUE,O60=TRUE,O64=TRUE,O68=TRUE,O72=TRUE,O78=TRUE,O82=TRUE),TRUE,FALSE)</f>
        <v>0</v>
      </c>
      <c r="P58" s="807"/>
      <c r="Q58" s="4171" t="s">
        <v>565</v>
      </c>
      <c r="R58" s="994" t="b">
        <f>IF(AND(R59=TRUE,R60=TRUE,R64=TRUE,R67=TRUE,R68=TRUE,R72=TRUE,R75=TRUE,R76=TRUE,R77=TRUE,R78=TRUE,R82=TRUE),TRUE,FALSE)</f>
        <v>0</v>
      </c>
      <c r="S58" s="111"/>
      <c r="T58" s="111"/>
      <c r="U58" s="120"/>
      <c r="V58" s="4201" t="s">
        <v>565</v>
      </c>
      <c r="W58" s="335" t="b">
        <f>IF(AND(W59=TRUE,W60=TRUE,W64=TRUE,W68=TRUE,W72=TRUE,W78=TRUE,W82=TRUE),TRUE,FALSE)</f>
        <v>0</v>
      </c>
      <c r="X58" s="186"/>
      <c r="Y58" s="111"/>
      <c r="Z58" s="120"/>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row>
    <row r="59" spans="1:85" s="27" customFormat="1" ht="44.5" thickTop="1" thickBot="1" x14ac:dyDescent="0.35">
      <c r="A59" s="60">
        <v>7.1</v>
      </c>
      <c r="B59" s="1505"/>
      <c r="C59" s="1697" t="s">
        <v>1969</v>
      </c>
      <c r="D59" s="894" t="s">
        <v>3</v>
      </c>
      <c r="E59" s="161" t="b">
        <f>IF(D59="Compliant",TRUE,FALSE)</f>
        <v>0</v>
      </c>
      <c r="F59" s="124"/>
      <c r="G59" s="124" t="str">
        <f t="shared" ref="G59:G80" si="4">IF(I59&lt;&gt;"", "Not Blank", "")</f>
        <v/>
      </c>
      <c r="H59" s="124"/>
      <c r="I59" s="160"/>
      <c r="J59" s="124" t="str">
        <f>IF(L59&lt;&gt;"", "Not Blank", "")</f>
        <v/>
      </c>
      <c r="K59" s="124"/>
      <c r="L59" s="133"/>
      <c r="M59" s="188"/>
      <c r="N59" s="1135" t="s">
        <v>3</v>
      </c>
      <c r="O59" s="984" t="b">
        <f>IF(OR(N59="Compliant",N59="FE with work-a-round",N59="Functionally Equivalent"),TRUE,FALSE)</f>
        <v>0</v>
      </c>
      <c r="P59" s="134"/>
      <c r="Q59" s="1376" t="s">
        <v>3</v>
      </c>
      <c r="R59" s="922" t="b">
        <f>IF(OR(Q59="Compliant",Q59="FE with work-a-round",Q59="Functionally Equivalent"),TRUE,FALSE)</f>
        <v>0</v>
      </c>
      <c r="S59" s="124"/>
      <c r="T59" s="124"/>
      <c r="U59" s="125"/>
      <c r="V59" s="1900" t="s">
        <v>3</v>
      </c>
      <c r="W59" s="307" t="b">
        <f>IF(OR(V59="Compliant",V59="FE with work-a-round",V59="Functionally Equivalent",V59="Not Required/Applicable"),TRUE,FALSE)</f>
        <v>0</v>
      </c>
      <c r="X59" s="124"/>
      <c r="Y59" s="124"/>
      <c r="Z59" s="125"/>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row>
    <row r="60" spans="1:85" s="27" customFormat="1" ht="29.5" thickTop="1" x14ac:dyDescent="0.3">
      <c r="A60" s="60">
        <v>7.2</v>
      </c>
      <c r="B60" s="1931" t="s">
        <v>1720</v>
      </c>
      <c r="C60" s="3008" t="s">
        <v>671</v>
      </c>
      <c r="D60" s="2010" t="s">
        <v>565</v>
      </c>
      <c r="E60" s="1929" t="b">
        <f>IF(AND(E61=TRUE,E62=TRUE,E63=TRUE),TRUE,FALSE)</f>
        <v>0</v>
      </c>
      <c r="F60" s="1514">
        <f>COUNTIF(E61:E63,TRUE)</f>
        <v>0</v>
      </c>
      <c r="G60" s="1928">
        <f>COUNTIFS(E61:E63,TRUE,G61:G63,"Not Blank")</f>
        <v>0</v>
      </c>
      <c r="H60" s="1928">
        <f>COUNTIFS(E61:E63,FALSE,G61:G63,"Not Blank")</f>
        <v>0</v>
      </c>
      <c r="I60" s="1727" t="str">
        <f xml:space="preserve">
IF(F60&gt;3,"Too Many Entries - Check Red Lines",
IF(AND(E60=FALSE,G60=0,H60=0,E60=TRUE),"Nothing Required Below",
IF(G60&lt;F60,"Valid Entry required below - Check Amber Line/s",
IF(AND(E60=FALSE,G60=0,H60=0),"Nothing Entered below Yet",
IF(G60&lt;F60,"Valid Entry required below - Check Amber Line/s",
IF(AND(G60=0,H60&gt;0),"**Non-Valid Entry/ies below - Check Yellow Line/s",
IF(AND(G60&gt;0,H60&gt;0),"**Valid and Non-Valid Entries made below - Check Yellow Line/s",
IF(AND(E60=FALSE,F60&lt;3),"Not all requirements addressed below - Check Pink Line/s",
IF(AND(E60=FALSE,G60&lt;3,G60&gt;0,H60=0),"More entries to come",
IF(AND(E60,TRUE,G60=3,H60=0),"Valid Entries made below"
))))))))))</f>
        <v>Nothing Entered below Yet</v>
      </c>
      <c r="J60" s="1514">
        <f>COUNTIFS(E61:E63,TRUE,J61:J63,"Not Blank")</f>
        <v>0</v>
      </c>
      <c r="K60" s="1514">
        <f>COUNTIFS(E61:E63,FALSE,J61:J63,"Not Blank")</f>
        <v>0</v>
      </c>
      <c r="L60" s="1727" t="str">
        <f xml:space="preserve">
IF(J60&gt;3,"Too Many Entries - Check Red Lines",
IF(AND(E60=FALSE,J60=0,K60=0,E59=TRUE),"Nothing Required Below",
IF(J60&lt;F60,"Valid Entry required below - Check Amber Line/s",
IF(AND(E60=FALSE,J60=0,K60=0),"Nothing Entered below Yet",
IF(AND(J60=0,K60&gt;0),"**Non-Valid Entry/ies below - Check Yellow Line/s",
IF(AND(J60&gt;0,K60&gt;0),"**Valid and Non-Valid Entries made below - Check Yellow Line/s",
IF(AND(E60=FALSE,J60&lt;3),"Not all requirements addressed below - Check Pink Line/s",
IF(AND(E60=FALSE,J60&lt;3,J60&gt;0,K60=0),"More entries to come",
IF(AND(E60,TRUE,J60=3,K60=0),"Valid Entries made below"
)))))))))</f>
        <v>Nothing Entered below Yet</v>
      </c>
      <c r="M60" s="861"/>
      <c r="N60" s="4446" t="s">
        <v>3</v>
      </c>
      <c r="O60" s="4706" t="b">
        <f>IF(OR(N60="Compliant",N60="FE with work-a-round",N60="Functionally Equivalent"),TRUE,FALSE)</f>
        <v>0</v>
      </c>
      <c r="P60" s="807"/>
      <c r="Q60" s="4175" t="s">
        <v>565</v>
      </c>
      <c r="R60" s="1264" t="b">
        <f>IF(AND(R61=TRUE,R65=TRUE,R72=TRUE),TRUE,FALSE)</f>
        <v>0</v>
      </c>
      <c r="S60" s="111"/>
      <c r="T60" s="111"/>
      <c r="U60" s="120"/>
      <c r="V60" s="4446" t="s">
        <v>3</v>
      </c>
      <c r="W60" s="4437" t="b">
        <f>IF(OR(V60="Compliant",V60="FE with work-a-round",V60="Functionally Equivalent",V60="Not Required/Applicable"),TRUE,FALSE)</f>
        <v>0</v>
      </c>
      <c r="X60" s="111"/>
      <c r="Y60" s="111"/>
      <c r="Z60" s="120"/>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row>
    <row r="61" spans="1:85" s="27" customFormat="1" ht="29" x14ac:dyDescent="0.3">
      <c r="A61" s="60"/>
      <c r="B61" s="1811"/>
      <c r="C61" s="3009" t="s">
        <v>677</v>
      </c>
      <c r="D61" s="2168" t="s">
        <v>3</v>
      </c>
      <c r="E61" s="67" t="b">
        <f>IF(D61="Compliant",TRUE,FALSE)</f>
        <v>0</v>
      </c>
      <c r="F61" s="44"/>
      <c r="G61" s="44" t="str">
        <f t="shared" si="4"/>
        <v/>
      </c>
      <c r="H61" s="44"/>
      <c r="I61" s="2164"/>
      <c r="J61" s="44" t="str">
        <f>IF(L61&lt;&gt;"", "Not Blank", "")</f>
        <v/>
      </c>
      <c r="K61" s="44"/>
      <c r="L61" s="2164"/>
      <c r="M61" s="2177"/>
      <c r="N61" s="4447"/>
      <c r="O61" s="4707"/>
      <c r="P61" s="2177"/>
      <c r="Q61" s="1863" t="s">
        <v>3</v>
      </c>
      <c r="R61" s="574" t="b">
        <f>IF(OR(Q61="Compliant",Q61="FE with work-a-round",Q61="Functionally Equivalent"),TRUE,FALSE)</f>
        <v>0</v>
      </c>
      <c r="S61" s="44"/>
      <c r="T61" s="44"/>
      <c r="U61" s="122"/>
      <c r="V61" s="4447"/>
      <c r="W61" s="4438"/>
      <c r="X61" s="44"/>
      <c r="Y61" s="44"/>
      <c r="Z61" s="122"/>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row>
    <row r="62" spans="1:85" s="27" customFormat="1" ht="43.5" x14ac:dyDescent="0.3">
      <c r="A62" s="60"/>
      <c r="B62" s="1811"/>
      <c r="C62" s="1680" t="s">
        <v>434</v>
      </c>
      <c r="D62" s="319" t="s">
        <v>3</v>
      </c>
      <c r="E62" s="67" t="b">
        <f>IF(D62="Compliant",TRUE,FALSE)</f>
        <v>0</v>
      </c>
      <c r="F62" s="44"/>
      <c r="G62" s="44" t="str">
        <f t="shared" si="4"/>
        <v/>
      </c>
      <c r="H62" s="44"/>
      <c r="I62" s="44"/>
      <c r="J62" s="44" t="str">
        <f>IF(L62&lt;&gt;"", "Not Blank", "")</f>
        <v/>
      </c>
      <c r="K62" s="44"/>
      <c r="L62" s="44"/>
      <c r="M62" s="68"/>
      <c r="N62" s="4447"/>
      <c r="O62" s="4707"/>
      <c r="P62" s="122"/>
      <c r="Q62" s="1060" t="s">
        <v>3</v>
      </c>
      <c r="R62" s="574" t="b">
        <f>IF(OR(Q62="Compliant",Q62="FE with work-a-round",Q62="Functionally Equivalent"),TRUE,FALSE)</f>
        <v>0</v>
      </c>
      <c r="S62" s="44"/>
      <c r="T62" s="44"/>
      <c r="U62" s="122"/>
      <c r="V62" s="4447"/>
      <c r="W62" s="4438"/>
      <c r="X62" s="44"/>
      <c r="Y62" s="44"/>
      <c r="Z62" s="122"/>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row>
    <row r="63" spans="1:85" s="27" customFormat="1" ht="44" thickBot="1" x14ac:dyDescent="0.35">
      <c r="A63" s="60"/>
      <c r="B63" s="1811"/>
      <c r="C63" s="1822" t="s">
        <v>435</v>
      </c>
      <c r="D63" s="230" t="s">
        <v>3</v>
      </c>
      <c r="E63" s="161" t="b">
        <f>IF(D63="Compliant",TRUE,FALSE)</f>
        <v>0</v>
      </c>
      <c r="F63" s="124"/>
      <c r="G63" s="124" t="str">
        <f t="shared" si="4"/>
        <v/>
      </c>
      <c r="H63" s="124"/>
      <c r="I63" s="124"/>
      <c r="J63" s="124" t="str">
        <f>IF(L63&lt;&gt;"", "Not Blank", "")</f>
        <v/>
      </c>
      <c r="K63" s="124"/>
      <c r="L63" s="124"/>
      <c r="M63" s="246"/>
      <c r="N63" s="4448"/>
      <c r="O63" s="4708"/>
      <c r="P63" s="125"/>
      <c r="Q63" s="1017" t="s">
        <v>3</v>
      </c>
      <c r="R63" s="922" t="b">
        <f>IF(OR(Q63="Compliant",Q63="FE with work-a-round",Q63="Functionally Equivalent"),TRUE,FALSE)</f>
        <v>0</v>
      </c>
      <c r="S63" s="124"/>
      <c r="T63" s="124"/>
      <c r="U63" s="125"/>
      <c r="V63" s="4448"/>
      <c r="W63" s="4439"/>
      <c r="X63" s="124"/>
      <c r="Y63" s="124"/>
      <c r="Z63" s="125"/>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row>
    <row r="64" spans="1:85" s="27" customFormat="1" ht="29.5" thickTop="1" x14ac:dyDescent="0.3">
      <c r="A64" s="60">
        <v>7.3</v>
      </c>
      <c r="B64" s="1931" t="s">
        <v>1719</v>
      </c>
      <c r="C64" s="3008" t="s">
        <v>674</v>
      </c>
      <c r="D64" s="2149" t="s">
        <v>565</v>
      </c>
      <c r="E64" s="1929" t="b">
        <f>IF(AND(E65=TRUE,E66=TRUE,E67=TRUE),TRUE,FALSE)</f>
        <v>0</v>
      </c>
      <c r="F64" s="1514">
        <f>COUNTIF(E65:E67,TRUE)</f>
        <v>0</v>
      </c>
      <c r="G64" s="1928">
        <f>COUNTIFS(E65:E67,TRUE,G65:G67,"Not Blank")</f>
        <v>0</v>
      </c>
      <c r="H64" s="1928">
        <f>COUNTIFS(E65:E67,FALSE,G65:G67,"Not Blank")</f>
        <v>0</v>
      </c>
      <c r="I64" s="2155" t="str">
        <f xml:space="preserve">
IF(F64&gt;3,"Too Many Entries - Check Red Lines",
IF(AND(E64=FALSE,G64=0,H64=0,E64=TRUE),"Nothing Required Below",
IF(G64&lt;F64,"Valid Entry required below - Check Amber Line/s",
IF(AND(E64=FALSE,G64=0,H64=0),"Nothing Entered below Yet",
IF(G64&lt;F64,"Valid Entry required below - Check Amber Line/s",
IF(AND(G64=0,H64&gt;0),"**Non-Valid Entry/ies below - Check Yellow Line/s",
IF(AND(G64&gt;0,H64&gt;0),"**Valid and Non-Valid Entries made below - Check Yellow Line/s",
IF(AND(E64=FALSE,F64&lt;3),"Not all requirements addressed below - Check Pink Line/s",
IF(AND(E64=FALSE,G64&lt;3,G64&gt;0,H64=0),"More entries to come",
IF(AND(E64,TRUE,G64=3,H64=0),"Valid Entries made below"
))))))))))</f>
        <v>Nothing Entered below Yet</v>
      </c>
      <c r="J64" s="1514">
        <f>COUNTIFS(E65:E67,TRUE,J65:J67,"Not Blank")</f>
        <v>0</v>
      </c>
      <c r="K64" s="1514">
        <f>COUNTIFS(E65:E67,FALSE,J65:J67,"Not Blank")</f>
        <v>0</v>
      </c>
      <c r="L64" s="1727" t="str">
        <f xml:space="preserve">
IF(J64&gt;3,"Too Many Entries - Check Red Lines",
IF(AND(E64=FALSE,J64=0,K64=0,E63=TRUE),"Nothing Required Below",
IF(J64&lt;F64,"Valid Entry required below - Check Amber Line/s",
IF(AND(E64=FALSE,J64=0,K64=0),"Nothing Entered below Yet",
IF(AND(J64=0,K64&gt;0),"**Non-Valid Entry/ies below - Check Yellow Line/s",
IF(AND(J64&gt;0,K64&gt;0),"**Valid and Non-Valid Entries made below - Check Yellow Line/s",
IF(AND(E64=FALSE,J64&lt;3),"Not all requirements addressed below - Check Pink Line/s",
IF(AND(E64=FALSE,J64&lt;3,J64&gt;0,K64=0),"More entries to come",
IF(AND(E64,TRUE,J64=3,K64=0),"Valid Entries made below"
)))))))))</f>
        <v>Nothing Entered below Yet</v>
      </c>
      <c r="M64" s="2176"/>
      <c r="N64" s="4446" t="s">
        <v>3</v>
      </c>
      <c r="O64" s="4706" t="b">
        <f>IF(OR(N64="Compliant",N64="FE with work-a-round",N64="Functionally Equivalent"),TRUE,FALSE)</f>
        <v>0</v>
      </c>
      <c r="P64" s="807"/>
      <c r="Q64" s="4175" t="s">
        <v>565</v>
      </c>
      <c r="R64" s="1264" t="b">
        <f>IF(AND(R65=TRUE,R66=TRUE,R67=TRUE),TRUE,FALSE)</f>
        <v>0</v>
      </c>
      <c r="S64" s="111"/>
      <c r="T64" s="111"/>
      <c r="U64" s="120"/>
      <c r="V64" s="4446" t="s">
        <v>3</v>
      </c>
      <c r="W64" s="4437" t="b">
        <f>IF(OR(V64="Compliant",V64="FE with work-a-round",V64="Functionally Equivalent",V64="Not Required/Applicable"),TRUE,FALSE)</f>
        <v>0</v>
      </c>
      <c r="X64" s="111"/>
      <c r="Y64" s="111"/>
      <c r="Z64" s="120"/>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row>
    <row r="65" spans="1:85" s="27" customFormat="1" ht="116" x14ac:dyDescent="0.3">
      <c r="A65" s="60"/>
      <c r="B65" s="1811"/>
      <c r="C65" s="3009" t="s">
        <v>440</v>
      </c>
      <c r="D65" s="1013" t="s">
        <v>3</v>
      </c>
      <c r="E65" s="67" t="b">
        <f>IF(D65="Compliant",TRUE,FALSE)</f>
        <v>0</v>
      </c>
      <c r="F65" s="44"/>
      <c r="G65" s="44" t="str">
        <f t="shared" si="4"/>
        <v/>
      </c>
      <c r="H65" s="44"/>
      <c r="I65" s="42"/>
      <c r="J65" s="44" t="str">
        <f>IF(L65&lt;&gt;"", "Not Blank", "")</f>
        <v/>
      </c>
      <c r="K65" s="44"/>
      <c r="L65" s="2164"/>
      <c r="M65" s="144"/>
      <c r="N65" s="4447"/>
      <c r="O65" s="4707"/>
      <c r="P65" s="2177"/>
      <c r="Q65" s="1863" t="s">
        <v>3</v>
      </c>
      <c r="R65" s="574" t="b">
        <f>IF(OR(Q65="Compliant",Q65="FE with work-a-round",Q65="Functionally Equivalent"),TRUE,FALSE)</f>
        <v>0</v>
      </c>
      <c r="S65" s="44"/>
      <c r="T65" s="44"/>
      <c r="U65" s="122"/>
      <c r="V65" s="4447"/>
      <c r="W65" s="4438"/>
      <c r="X65" s="44"/>
      <c r="Y65" s="44"/>
      <c r="Z65" s="122"/>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row>
    <row r="66" spans="1:85" s="27" customFormat="1" ht="29" x14ac:dyDescent="0.3">
      <c r="A66" s="60"/>
      <c r="B66" s="1811"/>
      <c r="C66" s="1680" t="s">
        <v>975</v>
      </c>
      <c r="D66" s="319" t="s">
        <v>3</v>
      </c>
      <c r="E66" s="67" t="b">
        <f>IF(D66="Compliant",TRUE,FALSE)</f>
        <v>0</v>
      </c>
      <c r="F66" s="44"/>
      <c r="G66" s="44" t="str">
        <f t="shared" si="4"/>
        <v/>
      </c>
      <c r="H66" s="44"/>
      <c r="I66" s="44"/>
      <c r="J66" s="44" t="str">
        <f>IF(L66&lt;&gt;"", "Not Blank", "")</f>
        <v/>
      </c>
      <c r="K66" s="44"/>
      <c r="L66" s="44"/>
      <c r="M66" s="68"/>
      <c r="N66" s="4447"/>
      <c r="O66" s="4707"/>
      <c r="P66" s="122"/>
      <c r="Q66" s="1060" t="s">
        <v>3</v>
      </c>
      <c r="R66" s="574" t="b">
        <f>IF(OR(Q66="Compliant",Q66="FE with work-a-round",Q66="Functionally Equivalent"),TRUE,FALSE)</f>
        <v>0</v>
      </c>
      <c r="S66" s="44"/>
      <c r="T66" s="44"/>
      <c r="U66" s="122"/>
      <c r="V66" s="4447"/>
      <c r="W66" s="4438"/>
      <c r="X66" s="44"/>
      <c r="Y66" s="44"/>
      <c r="Z66" s="122"/>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row>
    <row r="67" spans="1:85" s="27" customFormat="1" ht="44" thickBot="1" x14ac:dyDescent="0.35">
      <c r="A67" s="60">
        <v>7.4</v>
      </c>
      <c r="B67" s="1811"/>
      <c r="C67" s="1822" t="s">
        <v>890</v>
      </c>
      <c r="D67" s="230" t="s">
        <v>3</v>
      </c>
      <c r="E67" s="161" t="b">
        <f>IF(D67="Compliant",TRUE,FALSE)</f>
        <v>0</v>
      </c>
      <c r="F67" s="124"/>
      <c r="G67" s="124"/>
      <c r="H67" s="124"/>
      <c r="I67" s="124"/>
      <c r="J67" s="124" t="str">
        <f>IF(L67&lt;&gt;"", "Not Blank", "")</f>
        <v/>
      </c>
      <c r="K67" s="124"/>
      <c r="L67" s="124"/>
      <c r="M67" s="246"/>
      <c r="N67" s="4448"/>
      <c r="O67" s="4708"/>
      <c r="P67" s="125"/>
      <c r="Q67" s="1017" t="s">
        <v>3</v>
      </c>
      <c r="R67" s="922" t="b">
        <f>IF(OR(Q67="Compliant",Q67="FE with work-a-round",Q67="Functionally Equivalent"),TRUE,FALSE)</f>
        <v>0</v>
      </c>
      <c r="S67" s="124"/>
      <c r="T67" s="124"/>
      <c r="U67" s="125"/>
      <c r="V67" s="4448"/>
      <c r="W67" s="4439"/>
      <c r="X67" s="124"/>
      <c r="Y67" s="124"/>
      <c r="Z67" s="125"/>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row>
    <row r="68" spans="1:85" s="27" customFormat="1" ht="29.5" thickTop="1" x14ac:dyDescent="0.3">
      <c r="A68" s="60">
        <v>7.5</v>
      </c>
      <c r="B68" s="1931" t="s">
        <v>1721</v>
      </c>
      <c r="C68" s="3008" t="s">
        <v>1970</v>
      </c>
      <c r="D68" s="2010" t="s">
        <v>565</v>
      </c>
      <c r="E68" s="1929" t="b">
        <f>IF(AND(E69=TRUE,E70=TRUE,E71=TRUE),TRUE,FALSE)</f>
        <v>0</v>
      </c>
      <c r="F68" s="1514">
        <f>COUNTIF(E69:E71,TRUE)</f>
        <v>0</v>
      </c>
      <c r="G68" s="1514">
        <f>COUNTIFS(E69:E71,TRUE,G69:G71,"Not Blank")</f>
        <v>0</v>
      </c>
      <c r="H68" s="1514">
        <f>COUNTIFS(E69:E71,FALSE,G69:G71,"Not Blank")</f>
        <v>0</v>
      </c>
      <c r="I68" s="1727" t="str">
        <f xml:space="preserve">
IF(F68&gt;3,"Too Many Entries - Check Red Lines",
IF(AND(E68=FALSE,G68=0,H68=0,E68=TRUE),"Nothing Required Below",
IF(G68&lt;F68,"Valid Entry required below - Check Amber Line/s",
IF(AND(E68=FALSE,G68=0,H68=0),"Nothing Entered below Yet",
IF(G68&lt;F68,"Valid Entry required below - Check Amber Line/s",
IF(AND(G68=0,H68&gt;0),"**Non-Valid Entry/ies below - Check Yellow Line/s",
IF(AND(G68&gt;0,H68&gt;0),"**Valid and Non-Valid Entries made below - Check Yellow Line/s",
IF(AND(E68=FALSE,F68&lt;3),"Not all requirements addressed below - Check Pink Line/s",
IF(AND(E68=FALSE,G68&lt;3,G68&gt;0,H68=0),"More entries to come",
IF(AND(E68,TRUE,G68=3,H68=0),"Valid Entries made below"
))))))))))</f>
        <v>Nothing Entered below Yet</v>
      </c>
      <c r="J68" s="1514">
        <f>COUNTIFS(E69:E71,TRUE,J69:J71,"Not Blank")</f>
        <v>0</v>
      </c>
      <c r="K68" s="1514">
        <f>COUNTIFS(E69:E71,FALSE,J69:J71,"Not Blank")</f>
        <v>0</v>
      </c>
      <c r="L68" s="1727" t="str">
        <f xml:space="preserve">
IF(J68&gt;3,"Too Many Entries - Check Red Lines",
IF(AND(E68=FALSE,J68=0,K68=0,E67=TRUE),"Nothing Required Below",
IF(J68&lt;F68,"Valid Entry required below - Check Amber Line/s",
IF(AND(E68=FALSE,J68=0,K68=0),"Nothing Entered below Yet",
IF(AND(J68=0,K68&gt;0),"**Non-Valid Entry/ies below - Check Yellow Line/s",
IF(AND(J68&gt;0,K68&gt;0),"**Valid and Non-Valid Entries made below - Check Yellow Line/s",
IF(AND(E68=FALSE,J68&lt;3),"Not all requirements addressed below - Check Pink Line/s",
IF(AND(E68=FALSE,J68&lt;3,J68&gt;0,K68=0),"More entries to come",
IF(AND(E68,TRUE,J68=3,K68=0),"Valid Entries made below"
)))))))))</f>
        <v>Nothing Entered below Yet</v>
      </c>
      <c r="M68" s="861"/>
      <c r="N68" s="4446" t="s">
        <v>3</v>
      </c>
      <c r="O68" s="4706" t="b">
        <f>IF(OR(N68="Compliant",N68="FE with work-a-round",N68="Functionally Equivalent"),TRUE,FALSE)</f>
        <v>0</v>
      </c>
      <c r="P68" s="807"/>
      <c r="Q68" s="4175" t="s">
        <v>565</v>
      </c>
      <c r="R68" s="1264" t="b">
        <f>IF(AND(R69=TRUE,R70=TRUE,R71=TRUE),TRUE,FALSE)</f>
        <v>0</v>
      </c>
      <c r="S68" s="111"/>
      <c r="T68" s="111"/>
      <c r="U68" s="120"/>
      <c r="V68" s="4446" t="s">
        <v>3</v>
      </c>
      <c r="W68" s="4437" t="b">
        <f>IF(OR(V68="Compliant",V68="FE with work-a-round",V68="Functionally Equivalent",V68="Not Required/Applicable"),TRUE,FALSE)</f>
        <v>0</v>
      </c>
      <c r="X68" s="111"/>
      <c r="Y68" s="111"/>
      <c r="Z68" s="12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row>
    <row r="69" spans="1:85" s="27" customFormat="1" ht="58" x14ac:dyDescent="0.3">
      <c r="A69" s="60" t="s">
        <v>533</v>
      </c>
      <c r="B69" s="1811"/>
      <c r="C69" s="3009" t="s">
        <v>530</v>
      </c>
      <c r="D69" s="2168" t="s">
        <v>3</v>
      </c>
      <c r="E69" s="67" t="b">
        <f>IF(D69="Compliant",TRUE,FALSE)</f>
        <v>0</v>
      </c>
      <c r="F69" s="44"/>
      <c r="G69" s="44"/>
      <c r="H69" s="44"/>
      <c r="I69" s="2164"/>
      <c r="J69" s="44" t="str">
        <f>IF(L69&lt;&gt;"", "Not Blank", "")</f>
        <v/>
      </c>
      <c r="K69" s="44"/>
      <c r="L69" s="2164"/>
      <c r="M69" s="2177"/>
      <c r="N69" s="4447"/>
      <c r="O69" s="4707"/>
      <c r="P69" s="2177"/>
      <c r="Q69" s="1863" t="s">
        <v>3</v>
      </c>
      <c r="R69" s="574" t="b">
        <f>IF(OR(Q69="Compliant",Q69="FE with work-a-round",Q69="Functionally Equivalent"),TRUE,FALSE)</f>
        <v>0</v>
      </c>
      <c r="S69" s="44"/>
      <c r="T69" s="44"/>
      <c r="U69" s="122"/>
      <c r="V69" s="4447"/>
      <c r="W69" s="4438"/>
      <c r="X69" s="44"/>
      <c r="Y69" s="44"/>
      <c r="Z69" s="122"/>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row>
    <row r="70" spans="1:85" s="27" customFormat="1" ht="29" x14ac:dyDescent="0.3">
      <c r="A70" s="60"/>
      <c r="B70" s="1811"/>
      <c r="C70" s="1680" t="s">
        <v>976</v>
      </c>
      <c r="D70" s="319" t="s">
        <v>3</v>
      </c>
      <c r="E70" s="67" t="b">
        <f>IF(D70="Compliant",TRUE,FALSE)</f>
        <v>0</v>
      </c>
      <c r="F70" s="44"/>
      <c r="G70" s="44"/>
      <c r="H70" s="44"/>
      <c r="I70" s="44"/>
      <c r="J70" s="44" t="str">
        <f>IF(L70&lt;&gt;"", "Not Blank", "")</f>
        <v/>
      </c>
      <c r="K70" s="44"/>
      <c r="L70" s="44"/>
      <c r="M70" s="68"/>
      <c r="N70" s="4447"/>
      <c r="O70" s="4707"/>
      <c r="P70" s="122"/>
      <c r="Q70" s="1060" t="s">
        <v>3</v>
      </c>
      <c r="R70" s="574" t="b">
        <f>IF(OR(Q70="Compliant",Q70="FE with work-a-round",Q70="Functionally Equivalent"),TRUE,FALSE)</f>
        <v>0</v>
      </c>
      <c r="S70" s="44"/>
      <c r="T70" s="44"/>
      <c r="U70" s="122"/>
      <c r="V70" s="4447"/>
      <c r="W70" s="4438"/>
      <c r="X70" s="44"/>
      <c r="Y70" s="44"/>
      <c r="Z70" s="122"/>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row>
    <row r="71" spans="1:85" s="27" customFormat="1" ht="29.5" thickBot="1" x14ac:dyDescent="0.35">
      <c r="A71" s="60"/>
      <c r="B71" s="1811"/>
      <c r="C71" s="1822" t="s">
        <v>977</v>
      </c>
      <c r="D71" s="230" t="s">
        <v>3</v>
      </c>
      <c r="E71" s="161" t="b">
        <f>IF(D71="Compliant",TRUE,FALSE)</f>
        <v>0</v>
      </c>
      <c r="F71" s="124"/>
      <c r="G71" s="124"/>
      <c r="H71" s="124"/>
      <c r="I71" s="124"/>
      <c r="J71" s="124" t="str">
        <f>IF(L71&lt;&gt;"", "Not Blank", "")</f>
        <v/>
      </c>
      <c r="K71" s="124"/>
      <c r="L71" s="124"/>
      <c r="M71" s="246"/>
      <c r="N71" s="4448"/>
      <c r="O71" s="4708"/>
      <c r="P71" s="125"/>
      <c r="Q71" s="1017" t="s">
        <v>3</v>
      </c>
      <c r="R71" s="922" t="b">
        <f>IF(OR(Q71="Compliant",Q71="FE with work-a-round",Q71="Functionally Equivalent"),TRUE,FALSE)</f>
        <v>0</v>
      </c>
      <c r="S71" s="124"/>
      <c r="T71" s="124"/>
      <c r="U71" s="125"/>
      <c r="V71" s="4448"/>
      <c r="W71" s="4439"/>
      <c r="X71" s="124"/>
      <c r="Y71" s="124"/>
      <c r="Z71" s="125"/>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row>
    <row r="72" spans="1:85" s="27" customFormat="1" ht="44" thickTop="1" x14ac:dyDescent="0.3">
      <c r="A72" s="60">
        <v>7.7</v>
      </c>
      <c r="B72" s="1931" t="s">
        <v>1718</v>
      </c>
      <c r="C72" s="2149" t="s">
        <v>532</v>
      </c>
      <c r="D72" s="2010" t="s">
        <v>565</v>
      </c>
      <c r="E72" s="1929" t="b">
        <f>IF(AND(E73=TRUE,E74=TRUE),TRUE,FALSE)</f>
        <v>0</v>
      </c>
      <c r="F72" s="1514">
        <f>COUNTIF(E73:E77,TRUE)</f>
        <v>0</v>
      </c>
      <c r="G72" s="1514">
        <f>COUNTIFS(E73:E77,TRUE,G73:G77,"Not Blank")</f>
        <v>0</v>
      </c>
      <c r="H72" s="1514">
        <f>COUNTIFS(E73:E77,FALSE,G73:G77,"Not Blank")</f>
        <v>0</v>
      </c>
      <c r="I72" s="2155" t="str">
        <f xml:space="preserve">
IF(F72&gt;5,"Too Many Entries - Check Red Lines",
IF(AND(E72=FALSE,G72=0,H72=0,E72=TRUE),"Nothing Required Below",
IF(G72&lt;F72,"Valid Entry required below - Check Amber Line/s",
IF(AND(E72=FALSE,G72=0,H72=0),"Nothing Entered below Yet",
IF(G72&lt;F72,"Valid Entry required below - Check Amber Line/s",
IF(AND(G72=0,H72&gt;0),"**Non-Valid Entry/ies below - Check Yellow Line/s",
IF(AND(G72&gt;0,H72&gt;0),"**Valid and Non-Valid Entries made below - Check Yellow Line/s",
IF(AND(E72=FALSE,F72&lt;5),"Not all requirements addressed below - Check Pink Line/s",
IF(AND(E72=FALSE,G72&lt;5,G72&gt;0,H72=0),"More entries to come",
IF(AND(E72,TRUE,G72=5,H72=0),"Valid Entries made below"
))))))))))</f>
        <v>Nothing Entered below Yet</v>
      </c>
      <c r="J72" s="2155">
        <f>COUNTIFS(E73:E77,TRUE,J73:J77,"Not Blank")</f>
        <v>0</v>
      </c>
      <c r="K72" s="2155">
        <f>COUNTIFS(E73:E77,FALSE,J73:J77,"Not Blank")</f>
        <v>0</v>
      </c>
      <c r="L72" s="2155" t="str">
        <f xml:space="preserve">
IF(J72&gt;5,"Too Many Entries - Check Red Lines",
IF(AND(E72=FALSE,J72=0,K72=0,E71=TRUE),"Nothing Required Below",
IF(J72&lt;F72,"Valid Entry required below - Check Amber Line/s",
IF(AND(E72=FALSE,J72=0,K72=0),"Nothing Entered below Yet",
IF(AND(J72=0,K72&gt;0),"**Non-Valid Entry/ies below - Check Yellow Line/s",
IF(AND(J72&gt;0,K72&gt;0),"**Valid and Non-Valid Entries made below - Check Yellow Line/s",
IF(AND(E72=FALSE,J72&lt;5),"Not all requirements addressed below - Check Pink Line/s",
IF(AND(E72=FALSE,J72&lt;5,J72&gt;0,K72=0),"More entries to come",
IF(AND(E72,TRUE,J72=5,K72=0),"Valid Entries made below"
)))))))))</f>
        <v>Nothing Entered below Yet</v>
      </c>
      <c r="M72" s="861"/>
      <c r="N72" s="4446" t="s">
        <v>3</v>
      </c>
      <c r="O72" s="4706" t="b">
        <f>IF(OR(N72="Compliant",N72="FE with work-a-round",N72="Functionally Equivalent"),TRUE,FALSE)</f>
        <v>0</v>
      </c>
      <c r="P72" s="807"/>
      <c r="Q72" s="4175" t="s">
        <v>565</v>
      </c>
      <c r="R72" s="1264" t="b">
        <f>IF(AND(R73=TRUE,R74=TRUE),TRUE,FALSE)</f>
        <v>0</v>
      </c>
      <c r="S72" s="111"/>
      <c r="T72" s="111"/>
      <c r="U72" s="120"/>
      <c r="V72" s="4446" t="s">
        <v>3</v>
      </c>
      <c r="W72" s="4437" t="b">
        <f>IF(OR(V72="Compliant",V72="FE with work-a-round",V72="Functionally Equivalent",V72="Not Required/Applicable"),TRUE,FALSE)</f>
        <v>0</v>
      </c>
      <c r="X72" s="111"/>
      <c r="Y72" s="111"/>
      <c r="Z72" s="12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row>
    <row r="73" spans="1:85" s="27" customFormat="1" ht="29" x14ac:dyDescent="0.3">
      <c r="A73" s="60"/>
      <c r="B73" s="1811"/>
      <c r="C73" s="2245" t="s">
        <v>978</v>
      </c>
      <c r="D73" s="2168" t="s">
        <v>3</v>
      </c>
      <c r="E73" s="67" t="b">
        <f>IF(D73="Compliant",TRUE,FALSE)</f>
        <v>0</v>
      </c>
      <c r="F73" s="44"/>
      <c r="G73" s="44"/>
      <c r="H73" s="44"/>
      <c r="I73" s="42"/>
      <c r="J73" s="42" t="str">
        <f>IF(L73&lt;&gt;"", "Not Blank", "")</f>
        <v/>
      </c>
      <c r="K73" s="42"/>
      <c r="L73" s="42"/>
      <c r="M73" s="2177"/>
      <c r="N73" s="4447"/>
      <c r="O73" s="4707"/>
      <c r="P73" s="2177"/>
      <c r="Q73" s="1863" t="s">
        <v>3</v>
      </c>
      <c r="R73" s="574" t="b">
        <f>IF(OR(Q73="Compliant",Q73="FE with work-a-round",Q73="Functionally Equivalent"),TRUE,FALSE)</f>
        <v>0</v>
      </c>
      <c r="S73" s="44"/>
      <c r="T73" s="44"/>
      <c r="U73" s="122"/>
      <c r="V73" s="4447"/>
      <c r="W73" s="4438"/>
      <c r="X73" s="44"/>
      <c r="Y73" s="44"/>
      <c r="Z73" s="122"/>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row>
    <row r="74" spans="1:85" s="27" customFormat="1" ht="29" x14ac:dyDescent="0.3">
      <c r="A74" s="60"/>
      <c r="B74" s="1811"/>
      <c r="C74" s="1680" t="s">
        <v>531</v>
      </c>
      <c r="D74" s="319" t="s">
        <v>3</v>
      </c>
      <c r="E74" s="67" t="b">
        <f>IF(D74="Compliant",TRUE,FALSE)</f>
        <v>0</v>
      </c>
      <c r="F74" s="44"/>
      <c r="G74" s="44"/>
      <c r="H74" s="44"/>
      <c r="I74" s="44"/>
      <c r="J74" s="44" t="str">
        <f>IF(L74&lt;&gt;"", "Not Blank", "")</f>
        <v/>
      </c>
      <c r="K74" s="44"/>
      <c r="L74" s="44"/>
      <c r="M74" s="68"/>
      <c r="N74" s="4447"/>
      <c r="O74" s="4707"/>
      <c r="P74" s="122"/>
      <c r="Q74" s="1060" t="s">
        <v>3</v>
      </c>
      <c r="R74" s="574" t="b">
        <f>IF(OR(Q74="Compliant",Q74="FE with work-a-round",Q74="Functionally Equivalent"),TRUE,FALSE)</f>
        <v>0</v>
      </c>
      <c r="S74" s="44"/>
      <c r="T74" s="44"/>
      <c r="U74" s="122"/>
      <c r="V74" s="4447"/>
      <c r="W74" s="4438"/>
      <c r="X74" s="44"/>
      <c r="Y74" s="44"/>
      <c r="Z74" s="122"/>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row>
    <row r="75" spans="1:85" s="27" customFormat="1" ht="43.5" x14ac:dyDescent="0.3">
      <c r="A75" s="60">
        <v>7.8</v>
      </c>
      <c r="B75" s="1811"/>
      <c r="C75" s="1680" t="s">
        <v>534</v>
      </c>
      <c r="D75" s="319" t="s">
        <v>3</v>
      </c>
      <c r="E75" s="67" t="b">
        <f>IF(D75="Compliant",TRUE,FALSE)</f>
        <v>0</v>
      </c>
      <c r="F75" s="44"/>
      <c r="G75" s="44" t="str">
        <f t="shared" si="4"/>
        <v/>
      </c>
      <c r="H75" s="44"/>
      <c r="I75" s="44"/>
      <c r="J75" s="44" t="str">
        <f>IF(L75&lt;&gt;"", "Not Blank", "")</f>
        <v/>
      </c>
      <c r="K75" s="44"/>
      <c r="L75" s="44"/>
      <c r="M75" s="68"/>
      <c r="N75" s="4447"/>
      <c r="O75" s="4707"/>
      <c r="P75" s="122"/>
      <c r="Q75" s="1060" t="s">
        <v>3</v>
      </c>
      <c r="R75" s="574" t="b">
        <f>IF(OR(Q75="Compliant",Q75="FE with work-a-round",Q75="Functionally Equivalent"),TRUE,FALSE)</f>
        <v>0</v>
      </c>
      <c r="S75" s="44"/>
      <c r="T75" s="44"/>
      <c r="U75" s="122"/>
      <c r="V75" s="4447"/>
      <c r="W75" s="4438"/>
      <c r="X75" s="44"/>
      <c r="Y75" s="44"/>
      <c r="Z75" s="122"/>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s="27" customFormat="1" ht="29" x14ac:dyDescent="0.3">
      <c r="A76" s="60">
        <v>7.8</v>
      </c>
      <c r="B76" s="1811"/>
      <c r="C76" s="1680" t="s">
        <v>535</v>
      </c>
      <c r="D76" s="319" t="s">
        <v>3</v>
      </c>
      <c r="E76" s="67" t="b">
        <f>IF(D76="Compliant",TRUE,FALSE)</f>
        <v>0</v>
      </c>
      <c r="F76" s="44"/>
      <c r="G76" s="44" t="str">
        <f t="shared" si="4"/>
        <v/>
      </c>
      <c r="H76" s="44"/>
      <c r="I76" s="44"/>
      <c r="J76" s="44" t="str">
        <f>IF(L76&lt;&gt;"", "Not Blank", "")</f>
        <v/>
      </c>
      <c r="K76" s="44"/>
      <c r="L76" s="44"/>
      <c r="M76" s="68"/>
      <c r="N76" s="4447"/>
      <c r="O76" s="4707"/>
      <c r="P76" s="122"/>
      <c r="Q76" s="1060" t="s">
        <v>3</v>
      </c>
      <c r="R76" s="574" t="b">
        <f>IF(OR(Q76="Compliant",Q76="FE with work-a-round",Q76="Functionally Equivalent"),TRUE,FALSE)</f>
        <v>0</v>
      </c>
      <c r="S76" s="44"/>
      <c r="T76" s="44"/>
      <c r="U76" s="122"/>
      <c r="V76" s="4447"/>
      <c r="W76" s="4438"/>
      <c r="X76" s="44"/>
      <c r="Y76" s="44"/>
      <c r="Z76" s="122"/>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s="27" customFormat="1" ht="58.5" thickBot="1" x14ac:dyDescent="0.35">
      <c r="A77" s="60">
        <v>7.9</v>
      </c>
      <c r="B77" s="2898"/>
      <c r="C77" s="1822" t="s">
        <v>536</v>
      </c>
      <c r="D77" s="230" t="s">
        <v>3</v>
      </c>
      <c r="E77" s="161" t="b">
        <f>IF(D77="Compliant",TRUE,FALSE)</f>
        <v>0</v>
      </c>
      <c r="F77" s="124"/>
      <c r="G77" s="124" t="str">
        <f t="shared" si="4"/>
        <v/>
      </c>
      <c r="H77" s="124"/>
      <c r="I77" s="124"/>
      <c r="J77" s="124" t="str">
        <f>IF(L77&lt;&gt;"", "Not Blank", "")</f>
        <v/>
      </c>
      <c r="K77" s="124"/>
      <c r="L77" s="124"/>
      <c r="M77" s="246"/>
      <c r="N77" s="4448"/>
      <c r="O77" s="4708"/>
      <c r="P77" s="125"/>
      <c r="Q77" s="1017" t="s">
        <v>3</v>
      </c>
      <c r="R77" s="922" t="b">
        <f>IF(OR(Q77="Compliant",Q77="FE with work-a-round",Q77="Functionally Equivalent"),TRUE,FALSE)</f>
        <v>0</v>
      </c>
      <c r="S77" s="124"/>
      <c r="T77" s="124"/>
      <c r="U77" s="125"/>
      <c r="V77" s="4448"/>
      <c r="W77" s="4439"/>
      <c r="X77" s="124"/>
      <c r="Y77" s="124"/>
      <c r="Z77" s="125"/>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s="27" customFormat="1" ht="44" thickTop="1" x14ac:dyDescent="0.3">
      <c r="A78" s="60">
        <v>7.1</v>
      </c>
      <c r="B78" s="1509" t="s">
        <v>1717</v>
      </c>
      <c r="C78" s="2175" t="s">
        <v>537</v>
      </c>
      <c r="D78" s="2010" t="s">
        <v>565</v>
      </c>
      <c r="E78" s="1929" t="b">
        <f>IF(AND(E79=TRUE,E80=TRUE),TRUE,FALSE)</f>
        <v>0</v>
      </c>
      <c r="F78" s="1514">
        <f>COUNTIF(E79:E80,TRUE)</f>
        <v>0</v>
      </c>
      <c r="G78" s="1514">
        <f>COUNTIFS(E79:E80,TRUE,G79:G80,"Not Blank")</f>
        <v>0</v>
      </c>
      <c r="H78" s="1514">
        <f>COUNTIFS(E79:E80,FALSE,G79:G80,"Not Blank")</f>
        <v>0</v>
      </c>
      <c r="I78" s="1727" t="str">
        <f xml:space="preserve">
IF(F78&gt;2,"Too Many Entries - Check Red Lines",
IF(AND(E78=FALSE,G78=0,H78=0,E78=TRUE),"Nothing Required Below",
IF(G78&lt;F78,"Valid Entry required below - Check Amber Line/s",
IF(AND(E78=FALSE,G78=0,H78=0),"Nothing Entered below Yet",
IF(G78&lt;F78,"Valid Entry required below - Check Amber Line/s",
IF(AND(G78=0,H78&gt;0),"**Non-Valid Entry/ies below - Check Yellow Line/s",
IF(AND(G78&gt;0,H78&gt;0),"**Valid and Non-Valid Entries made below - Check Yellow Line/s",
IF(AND(E78=FALSE,F78&lt;2),"Not all requirements addressed below - Check Pink Line/s",
IF(AND(E78=FALSE,G78&lt;2,G78&gt;0,H78=0),"More entries to come",
IF(AND(E78,TRUE,G78=2,H78=0),"Valid Entries made below"
))))))))))</f>
        <v>Nothing Entered below Yet</v>
      </c>
      <c r="J78" s="1514">
        <f>COUNTIFS(E79:E80,TRUE,J79:J80,"Not Blank")</f>
        <v>0</v>
      </c>
      <c r="K78" s="1514">
        <f>COUNTIFS(E79:E80,FALSE,J79:J80,"Not Blank")</f>
        <v>0</v>
      </c>
      <c r="L78" s="2155" t="str">
        <f xml:space="preserve">
IF(J78&gt;2,"Too Many Entries - Check Red Lines",
IF(AND(E78=FALSE,J78=0,K78=0,E77=TRUE),"Nothing Required Below",
IF(J78&lt;F78,"Valid Entry required below - Check Amber Line/s",
IF(AND(E78=FALSE,J78=0,K78=0),"Nothing Entered below Yet",
IF(AND(J78=0,K78&gt;0),"**Non-Valid Entry/ies below - Check Yellow Line/s",
IF(AND(J78&gt;0,K78&gt;0),"**Valid and Non-Valid Entries made below - Check Yellow Line/s",
IF(AND(E78=FALSE,J78&lt;2),"Not all requirements addressed below - Check Pink Line/s",
IF(AND(E78=FALSE,J78&lt;2,J78&gt;0,K78=0),"More entries to come",
IF(AND(E78,TRUE,J78=2,K78=0),"Valid Entries made below"
)))))))))</f>
        <v>Nothing Entered below Yet</v>
      </c>
      <c r="M78" s="861"/>
      <c r="N78" s="4446" t="s">
        <v>3</v>
      </c>
      <c r="O78" s="4706" t="b">
        <f>IF(OR(N78="Compliant",N78="FE with work-a-round",N78="Functionally Equivalent"),TRUE,FALSE)</f>
        <v>0</v>
      </c>
      <c r="P78" s="2176"/>
      <c r="Q78" s="4202" t="s">
        <v>565</v>
      </c>
      <c r="R78" s="111" t="b">
        <f>IF(AND(R79=TRUE,R80=TRUE),TRUE,FALSE)</f>
        <v>0</v>
      </c>
      <c r="S78" s="111"/>
      <c r="T78" s="111"/>
      <c r="U78" s="120"/>
      <c r="V78" s="4446" t="s">
        <v>3</v>
      </c>
      <c r="W78" s="4437" t="b">
        <f>IF(OR(V78="Compliant",V78="FE with work-a-round",V78="Functionally Equivalent",V78="Not Required/Applicable"),TRUE,FALSE)</f>
        <v>0</v>
      </c>
      <c r="X78" s="111"/>
      <c r="Y78" s="111"/>
      <c r="Z78" s="12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s="27" customFormat="1" ht="29" x14ac:dyDescent="0.3">
      <c r="A79" s="60"/>
      <c r="B79" s="1504"/>
      <c r="C79" s="1806" t="s">
        <v>682</v>
      </c>
      <c r="D79" s="2168" t="s">
        <v>3</v>
      </c>
      <c r="E79" s="67" t="b">
        <f>IF(D79="Compliant",TRUE,FALSE)</f>
        <v>0</v>
      </c>
      <c r="F79" s="44"/>
      <c r="G79" s="44" t="str">
        <f t="shared" si="4"/>
        <v/>
      </c>
      <c r="H79" s="44"/>
      <c r="I79" s="2164"/>
      <c r="J79" s="44" t="str">
        <f>IF(L79&lt;&gt;"", "Not Blank", "")</f>
        <v/>
      </c>
      <c r="K79" s="44"/>
      <c r="L79" s="42"/>
      <c r="M79" s="2177"/>
      <c r="N79" s="4447"/>
      <c r="O79" s="4707"/>
      <c r="P79" s="128"/>
      <c r="Q79" s="1863" t="s">
        <v>3</v>
      </c>
      <c r="R79" s="574" t="b">
        <f>IF(OR(Q79="Compliant",Q79="FE with work-a-round",Q79="Functionally Equivalent"),TRUE,FALSE)</f>
        <v>0</v>
      </c>
      <c r="S79" s="44"/>
      <c r="T79" s="44"/>
      <c r="U79" s="122"/>
      <c r="V79" s="4447"/>
      <c r="W79" s="4438"/>
      <c r="X79" s="44"/>
      <c r="Y79" s="44"/>
      <c r="Z79" s="122"/>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s="27" customFormat="1" ht="29.5" thickBot="1" x14ac:dyDescent="0.35">
      <c r="A80" s="60"/>
      <c r="B80" s="1505"/>
      <c r="C80" s="1800" t="s">
        <v>683</v>
      </c>
      <c r="D80" s="230" t="s">
        <v>3</v>
      </c>
      <c r="E80" s="161" t="b">
        <f>IF(D80="Compliant",TRUE,FALSE)</f>
        <v>0</v>
      </c>
      <c r="F80" s="124"/>
      <c r="G80" s="124" t="str">
        <f t="shared" si="4"/>
        <v/>
      </c>
      <c r="H80" s="124"/>
      <c r="I80" s="124"/>
      <c r="J80" s="124" t="str">
        <f>IF(L80&lt;&gt;"", "Not Blank", "")</f>
        <v/>
      </c>
      <c r="K80" s="124"/>
      <c r="L80" s="124"/>
      <c r="M80" s="246"/>
      <c r="N80" s="4448"/>
      <c r="O80" s="4708"/>
      <c r="P80" s="125"/>
      <c r="Q80" s="1017" t="s">
        <v>3</v>
      </c>
      <c r="R80" s="922" t="b">
        <f>IF(OR(Q80="Compliant",Q80="FE with work-a-round",Q80="Functionally Equivalent"),TRUE,FALSE)</f>
        <v>0</v>
      </c>
      <c r="S80" s="124"/>
      <c r="T80" s="124"/>
      <c r="U80" s="125"/>
      <c r="V80" s="4448"/>
      <c r="W80" s="4439"/>
      <c r="X80" s="124"/>
      <c r="Y80" s="124"/>
      <c r="Z80" s="125"/>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s="107" customFormat="1" ht="15.5" thickTop="1" thickBot="1" x14ac:dyDescent="0.35">
      <c r="B81" s="28"/>
      <c r="C81" s="28"/>
      <c r="D81" s="28"/>
      <c r="E81" s="28"/>
      <c r="F81" s="28"/>
      <c r="G81" s="28"/>
      <c r="H81" s="28"/>
      <c r="I81" s="28"/>
      <c r="J81" s="28"/>
      <c r="K81" s="28"/>
      <c r="L81" s="28"/>
      <c r="M81" s="28"/>
      <c r="N81" s="36"/>
      <c r="O81" s="28"/>
      <c r="P81" s="28"/>
      <c r="Q81" s="28"/>
      <c r="R81" s="28"/>
      <c r="S81" s="28"/>
      <c r="T81" s="28"/>
      <c r="U81" s="28"/>
      <c r="V81" s="35"/>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s="27" customFormat="1" ht="44.5" thickTop="1" thickBot="1" x14ac:dyDescent="0.35">
      <c r="A82" s="60">
        <v>8</v>
      </c>
      <c r="B82" s="1857" t="s">
        <v>456</v>
      </c>
      <c r="C82" s="1497" t="s">
        <v>538</v>
      </c>
      <c r="D82" s="133" t="s">
        <v>3</v>
      </c>
      <c r="E82" s="133" t="b">
        <f>IF(D82="Compliant",TRUE,FALSE)</f>
        <v>0</v>
      </c>
      <c r="F82" s="133">
        <f>COUNTIF(E82,TRUE)</f>
        <v>0</v>
      </c>
      <c r="G82" s="133" t="str">
        <f>IF(I82&lt;&gt;"", "Not Blank", "")</f>
        <v/>
      </c>
      <c r="H82" s="133"/>
      <c r="I82" s="133"/>
      <c r="J82" s="133" t="str">
        <f>IF(L82&lt;&gt;"", "Not Blank", "")</f>
        <v/>
      </c>
      <c r="K82" s="133"/>
      <c r="L82" s="133"/>
      <c r="M82" s="134"/>
      <c r="N82" s="1188" t="s">
        <v>3</v>
      </c>
      <c r="O82" s="948" t="b">
        <f>IF(OR(N82="Compliant",N82="FE with work-a-round",N82="Functionally Equivalent"),TRUE,FALSE)</f>
        <v>0</v>
      </c>
      <c r="P82" s="134"/>
      <c r="Q82" s="1188" t="s">
        <v>3</v>
      </c>
      <c r="R82" s="335" t="b">
        <f>IF(OR(Q82="Compliant",Q82="FE with work-a-round",Q82="Functionally Equivalent"),TRUE,FALSE)</f>
        <v>0</v>
      </c>
      <c r="S82" s="133"/>
      <c r="T82" s="133"/>
      <c r="U82" s="134"/>
      <c r="V82" s="1188" t="s">
        <v>3</v>
      </c>
      <c r="W82" s="335" t="b">
        <f>IF(OR(V82="Compliant",V82="FE with work-a-round",V82="Functionally Equivalent",V82="Not Required/Applicable"),TRUE,FALSE)</f>
        <v>0</v>
      </c>
      <c r="X82" s="336"/>
      <c r="Y82" s="133"/>
      <c r="Z82" s="134"/>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s="3668" customFormat="1" ht="15" thickTop="1" x14ac:dyDescent="0.3">
      <c r="A83" s="3651"/>
      <c r="B83" s="3634"/>
      <c r="C83" s="3634"/>
      <c r="D83" s="3634"/>
      <c r="E83" s="3636"/>
      <c r="F83" s="3636"/>
      <c r="G83" s="3662"/>
      <c r="H83" s="3663"/>
      <c r="I83" s="3664"/>
      <c r="J83" s="3643"/>
      <c r="K83" s="3643"/>
      <c r="L83" s="3634"/>
      <c r="M83" s="3634"/>
      <c r="N83" s="3735"/>
      <c r="O83" s="3641"/>
      <c r="P83" s="3634"/>
      <c r="Q83" s="3634"/>
      <c r="R83" s="3634"/>
      <c r="S83" s="3634"/>
      <c r="T83" s="3634"/>
      <c r="U83" s="3634"/>
      <c r="V83" s="3700"/>
      <c r="W83" s="3634"/>
      <c r="X83" s="3634"/>
      <c r="Y83" s="3634"/>
      <c r="Z83" s="3634"/>
      <c r="AA83" s="3634"/>
      <c r="AB83" s="3634"/>
      <c r="AC83" s="3634"/>
      <c r="AD83" s="3634"/>
      <c r="AE83" s="3634"/>
      <c r="AF83" s="3634"/>
      <c r="AG83" s="3634"/>
      <c r="AH83" s="3634"/>
      <c r="AI83" s="3634"/>
      <c r="AJ83" s="3634"/>
      <c r="AK83" s="3634"/>
      <c r="AL83" s="3634"/>
      <c r="AM83" s="3634"/>
      <c r="AN83" s="3634"/>
      <c r="AO83" s="3634"/>
      <c r="AP83" s="3634"/>
      <c r="AQ83" s="3634"/>
      <c r="AR83" s="3634"/>
      <c r="AS83" s="3634"/>
      <c r="AT83" s="3634"/>
      <c r="AU83" s="3634"/>
      <c r="AV83" s="3634"/>
      <c r="AW83" s="3634"/>
      <c r="AX83" s="3634"/>
      <c r="AY83" s="3634"/>
      <c r="AZ83" s="3634"/>
      <c r="BA83" s="3634"/>
      <c r="BB83" s="3634"/>
      <c r="BC83" s="3634"/>
      <c r="BD83" s="3634"/>
      <c r="BE83" s="3634"/>
      <c r="BF83" s="3634"/>
      <c r="BG83" s="3634"/>
      <c r="BH83" s="3634"/>
      <c r="BI83" s="3634"/>
      <c r="BJ83" s="3634"/>
      <c r="BK83" s="3634"/>
      <c r="BL83" s="3634"/>
      <c r="BM83" s="3634"/>
      <c r="BN83" s="3634"/>
      <c r="BO83" s="3634"/>
      <c r="BP83" s="3634"/>
      <c r="BQ83" s="3634"/>
      <c r="BR83" s="3634"/>
      <c r="BS83" s="3634"/>
      <c r="BT83" s="3634"/>
      <c r="BU83" s="3634"/>
      <c r="BV83" s="3634"/>
      <c r="BW83" s="3634"/>
      <c r="BX83" s="3634"/>
      <c r="BY83" s="3634"/>
      <c r="BZ83" s="3634"/>
      <c r="CA83" s="3634"/>
      <c r="CB83" s="3634"/>
      <c r="CC83" s="3634"/>
      <c r="CD83" s="3634"/>
      <c r="CE83" s="3634"/>
      <c r="CF83" s="3634"/>
      <c r="CG83" s="3634"/>
    </row>
    <row r="84" spans="1:85" s="3640" customFormat="1" ht="18.5" x14ac:dyDescent="0.3">
      <c r="A84" s="4482" t="s">
        <v>1139</v>
      </c>
      <c r="B84" s="4483"/>
      <c r="C84" s="4483"/>
      <c r="D84" s="4483"/>
      <c r="E84" s="4483"/>
      <c r="F84" s="4483"/>
      <c r="G84" s="4483"/>
      <c r="H84" s="4483"/>
      <c r="I84" s="4483"/>
      <c r="J84" s="4483"/>
      <c r="K84" s="4483"/>
      <c r="L84" s="4483"/>
      <c r="M84" s="4483"/>
      <c r="N84" s="4483"/>
      <c r="O84" s="3669"/>
      <c r="P84" s="3670"/>
      <c r="Q84" s="3670"/>
      <c r="R84" s="3670"/>
      <c r="S84" s="3671"/>
      <c r="T84" s="3672"/>
      <c r="U84" s="3672"/>
      <c r="V84" s="3673"/>
      <c r="W84" s="3674"/>
      <c r="X84" s="3674"/>
      <c r="Y84" s="3675"/>
      <c r="Z84" s="3676"/>
    </row>
    <row r="85" spans="1:85" s="3678" customFormat="1" ht="15" thickBot="1" x14ac:dyDescent="0.35">
      <c r="A85" s="3634"/>
      <c r="B85" s="3638"/>
      <c r="C85" s="3638"/>
      <c r="D85" s="3638"/>
      <c r="E85" s="3637"/>
      <c r="F85" s="3637"/>
      <c r="G85" s="3736"/>
      <c r="H85" s="3737"/>
      <c r="I85" s="3638"/>
      <c r="J85" s="3738"/>
      <c r="K85" s="3738"/>
      <c r="L85" s="3638"/>
      <c r="M85" s="3638"/>
      <c r="N85" s="3714"/>
      <c r="O85" s="3641"/>
      <c r="P85" s="3634"/>
      <c r="Q85" s="3638"/>
      <c r="R85" s="3634"/>
      <c r="S85" s="3634"/>
      <c r="T85" s="3634"/>
      <c r="U85" s="3634"/>
      <c r="V85" s="3642"/>
      <c r="W85" s="3634"/>
      <c r="X85" s="3634"/>
      <c r="Y85" s="3634"/>
      <c r="Z85" s="3634"/>
      <c r="AA85" s="3634"/>
      <c r="AB85" s="3634"/>
      <c r="AC85" s="3634"/>
      <c r="AD85" s="3634"/>
      <c r="AE85" s="3634"/>
      <c r="AF85" s="3634"/>
      <c r="AG85" s="3634"/>
      <c r="AH85" s="3634"/>
      <c r="AI85" s="3634"/>
      <c r="AJ85" s="3634"/>
      <c r="AK85" s="3634"/>
      <c r="AL85" s="3634"/>
      <c r="AM85" s="3634"/>
      <c r="AN85" s="3634"/>
      <c r="AO85" s="3634"/>
      <c r="AP85" s="3634"/>
      <c r="AQ85" s="3634"/>
      <c r="AR85" s="3634"/>
      <c r="AS85" s="3634"/>
      <c r="AT85" s="3634"/>
      <c r="AU85" s="3634"/>
      <c r="AV85" s="3634"/>
      <c r="AW85" s="3634"/>
      <c r="AX85" s="3634"/>
      <c r="AY85" s="3634"/>
      <c r="AZ85" s="3634"/>
      <c r="BA85" s="3634"/>
      <c r="BB85" s="3634"/>
      <c r="BC85" s="3634"/>
      <c r="BD85" s="3634"/>
      <c r="BE85" s="3634"/>
      <c r="BF85" s="3634"/>
      <c r="BG85" s="3634"/>
      <c r="BH85" s="3634"/>
      <c r="BI85" s="3634"/>
      <c r="BJ85" s="3634"/>
      <c r="BK85" s="3634"/>
      <c r="BL85" s="3634"/>
      <c r="BM85" s="3634"/>
      <c r="BN85" s="3634"/>
      <c r="BO85" s="3634"/>
      <c r="BP85" s="3634"/>
      <c r="BQ85" s="3634"/>
      <c r="BR85" s="3634"/>
      <c r="BS85" s="3634"/>
      <c r="BT85" s="3634"/>
      <c r="BU85" s="3634"/>
      <c r="BV85" s="3634"/>
      <c r="BW85" s="3634"/>
      <c r="BX85" s="3634"/>
      <c r="BY85" s="3634"/>
      <c r="BZ85" s="3634"/>
      <c r="CA85" s="3634"/>
      <c r="CB85" s="3634"/>
      <c r="CC85" s="3634"/>
      <c r="CD85" s="3634"/>
      <c r="CE85" s="3634"/>
      <c r="CF85" s="3634"/>
      <c r="CG85" s="3634"/>
    </row>
    <row r="86" spans="1:85" s="670" customFormat="1" ht="32" thickTop="1" thickBot="1" x14ac:dyDescent="0.35">
      <c r="A86" s="683">
        <v>11</v>
      </c>
      <c r="B86" s="3010" t="s">
        <v>769</v>
      </c>
      <c r="C86" s="3011" t="s">
        <v>565</v>
      </c>
      <c r="D86" s="3014" t="s">
        <v>565</v>
      </c>
      <c r="E86" s="3015" t="b">
        <f>IF(AND(E87=TRUE,E91=TRUE,E116=TRUE),TRUE,FALSE)</f>
        <v>0</v>
      </c>
      <c r="F86" s="3016">
        <f>SUM(F87,F91)</f>
        <v>0</v>
      </c>
      <c r="G86" s="3016">
        <f>SUM(G87,G91)</f>
        <v>0</v>
      </c>
      <c r="H86" s="3016">
        <f>SUM(H87,H91)</f>
        <v>0</v>
      </c>
      <c r="I86" s="3016" t="str">
        <f xml:space="preserve">
IF(F86&gt;49,"Too Many Entries - Check Red Lines",
IF(AND(E86=FALSE,G86=0,H86=0),"Nothing Entered below Yet",
IF(AND(G86=0,H86&gt;0),"**Non-Valid Entry/ies below - Check Yellow Line/s",
IF(G86&lt;F86,"Valid Entry required below - Check Amber box",
IF(AND(G86&gt;0,H86&gt;0),"**Valid and Non-Valid Entries made below - Check Yellow Line/s",
IF(AND(E86=FALSE,F86&lt;49),"Not all requirements addressed below - Check Pink Line/s",
IF(AND(E86=FALSE,G86&lt;49,G86&gt;0,H86=0),"More entries to come",
IF(AND(E86,TRUE,G86=49,H86=0),"Valid Entries made below"
))))))))</f>
        <v>Nothing Entered below Yet</v>
      </c>
      <c r="J86" s="3016">
        <f>SUM(J87,J91)</f>
        <v>0</v>
      </c>
      <c r="K86" s="3016">
        <f>SUM(K87,K91)</f>
        <v>0</v>
      </c>
      <c r="L86" s="3016" t="str">
        <f xml:space="preserve">
IF(J86&gt;49,"Too Many Entries - Check Red Lines",
IF(AND(E86=FALSE,J86=0,K86=0,E86=TRUE),"Nothing Required Below",
IF(J86&lt;F86,"Valid Entry required below - Check Amber Line/s",
IF(AND(E86=FALSE,J86=0,K86=0),"Nothing Entered below Yet",
IF(AND(J86=0,K86&gt;0),"**Non-Valid Entry/ies below - Check Yellow Line/s",
IF(AND(J86&gt;0,K86&gt;0),"**Valid and Non-Valid Entries made below - Check Yellow Line/s",
IF(AND(E86=FALSE,J86&lt;49),"Not all requirements addressed below - Check Pink Line/s",
IF(AND(E86=FALSE,J86&lt;49,J86&gt;0,K86=0),"More entries to come",
IF(AND(E86,TRUE,J86=49,K86=0),"Valid Entries made below"
)))))))))</f>
        <v>Nothing Entered below Yet</v>
      </c>
      <c r="M86" s="993"/>
      <c r="N86" s="4138" t="s">
        <v>565</v>
      </c>
      <c r="O86" s="132" t="b">
        <f>IF(AND(O87=TRUE,O90=TRUE,O91=TRUE),TRUE,FALSE)</f>
        <v>0</v>
      </c>
      <c r="P86" s="992"/>
      <c r="Q86" s="4201" t="s">
        <v>565</v>
      </c>
      <c r="R86" s="994" t="b">
        <f>IF(AND(R87=TRUE,R91=TRUE,R116=TRUE),TRUE,FALSE)</f>
        <v>0</v>
      </c>
      <c r="S86" s="870"/>
      <c r="T86" s="870"/>
      <c r="U86" s="992"/>
      <c r="V86" s="4201" t="s">
        <v>565</v>
      </c>
      <c r="W86" s="335" t="b">
        <f>IF(AND(W87=TRUE,W90=TRUE,W91=TRUE),TRUE,FALSE)</f>
        <v>0</v>
      </c>
      <c r="X86" s="336"/>
      <c r="Y86" s="870"/>
      <c r="Z86" s="992"/>
    </row>
    <row r="87" spans="1:85" s="680" customFormat="1" ht="31.5" thickTop="1" x14ac:dyDescent="0.3">
      <c r="A87" s="670">
        <v>8.5</v>
      </c>
      <c r="B87" s="3012" t="s">
        <v>1000</v>
      </c>
      <c r="C87" s="3013" t="s">
        <v>670</v>
      </c>
      <c r="D87" s="3017" t="s">
        <v>1194</v>
      </c>
      <c r="E87" s="3018" t="b">
        <f>IF(AND(E88=TRUE,E89=TRUE,E90=TRUE,E91=TRUE),TRUE,FALSE)</f>
        <v>0</v>
      </c>
      <c r="F87" s="1930">
        <f>COUNTIF(E88:E90,TRUE)</f>
        <v>0</v>
      </c>
      <c r="G87" s="3019">
        <f>COUNTIFS(E88:E90,TRUE,G88:G90,"Not Blank")</f>
        <v>0</v>
      </c>
      <c r="H87" s="3020">
        <f>COUNTIFS(E88:E90,FALSE,G88:G90,"Not Blank")</f>
        <v>0</v>
      </c>
      <c r="I87" s="3021" t="str">
        <f xml:space="preserve">
IF(F87&gt;3,"Too Many Entries - Check Red Lines",
IF(G87&lt;F87,"Valid Entry required below - Check Amber Line/s",
IF(AND(E87=FALSE,G87=0,H87=0),"Nothing Entered below Yet",
IF(G87&lt;F87,"Valid Entry required below - Check Amber Line/s",
IF(AND(G87=0,H87&gt;0),"**Non-Valid Entry/ies below - Check Yellow Line/s",
IF(AND(G87&gt;0,H87&gt;0),"**Valid and Non-Valid Entries made below - Check Yellow Line/s",
IF(AND(E87=FALSE,F87&lt;3),"Not all requirements addressed below - Check Pink Line/s",
IF(AND(E87=FALSE,G87&lt;3,G87&gt;0,H87=0),"More entries to come",
IF(AND(E87,TRUE,G87=3,H87=0),"Valid Entries made below"
)))))))))</f>
        <v>Nothing Entered below Yet</v>
      </c>
      <c r="J87" s="3022">
        <f>COUNTIFS(E88:E90,TRUE,J88:J90,"Not Blank")</f>
        <v>0</v>
      </c>
      <c r="K87" s="3022">
        <f>COUNTIFS(E88:E90,FALSE,J88:J90,"Not Blank")</f>
        <v>0</v>
      </c>
      <c r="L87" s="3021" t="str">
        <f xml:space="preserve">
IF(J87&gt;3,"Too Many Entries - Check Red Lines",
IF(J87&lt;F87,"Valid Entry required below - Check Amber Line/s",
IF(AND(E87=FALSE,J87=0,K87=0),"Nothing Entered below Yet",
IF(AND(J87=0,K87&gt;0),"**Non-Valid Entry/ies below - Check Yellow Line/s",
IF(AND(J87&gt;0,K87&gt;0),"**Valid and Non-Valid Entries made below - Check Yellow Line/s",
IF(AND(E87=FALSE,J87&lt;3),"Not all requirements addressed below - Check Pink Line/s",
IF(AND(E87=FALSE,J87&lt;3,J87&gt;0,K87=0),"More entries to come",
IF(AND(E87,TRUE,J87=3,K87=0),"Valid Entries made below"
))))))))</f>
        <v>Nothing Entered below Yet</v>
      </c>
      <c r="M87" s="2341"/>
      <c r="N87" s="4719" t="s">
        <v>3</v>
      </c>
      <c r="O87" s="4491" t="b">
        <f>IF(OR(N87="Compliant",N87="FE with work-a-round",N87="Functionally Equivalent"),TRUE,FALSE)</f>
        <v>0</v>
      </c>
      <c r="P87" s="2323"/>
      <c r="Q87" s="4201" t="s">
        <v>565</v>
      </c>
      <c r="R87" s="994" t="b">
        <f>IF(AND(R88=TRUE,R89=TRUE,R90=TRUE,R91=TRUE),TRUE,FALSE)</f>
        <v>0</v>
      </c>
      <c r="S87" s="532"/>
      <c r="T87" s="532"/>
      <c r="U87" s="682"/>
      <c r="V87" s="4446" t="s">
        <v>3</v>
      </c>
      <c r="W87" s="4437" t="b">
        <f>IF(OR(V87="Compliant",V87="FE with work-a-round",V87="Functionally Equivalent",V87="Not Required/Applicable"),TRUE,FALSE)</f>
        <v>0</v>
      </c>
      <c r="X87" s="186"/>
      <c r="Y87" s="532"/>
      <c r="Z87" s="682"/>
      <c r="AA87" s="681"/>
      <c r="AB87" s="670"/>
      <c r="AC87" s="670"/>
      <c r="AD87" s="670"/>
      <c r="AE87" s="670"/>
      <c r="AF87" s="670"/>
      <c r="AG87" s="670"/>
      <c r="AH87" s="670"/>
      <c r="AI87" s="670"/>
      <c r="AJ87" s="670"/>
      <c r="AK87" s="670"/>
      <c r="AL87" s="670"/>
      <c r="AM87" s="670"/>
      <c r="AN87" s="670"/>
      <c r="AO87" s="670"/>
      <c r="AP87" s="670"/>
      <c r="AQ87" s="670"/>
      <c r="AR87" s="670"/>
      <c r="AS87" s="670"/>
      <c r="AT87" s="670"/>
      <c r="AU87" s="670"/>
      <c r="AV87" s="670"/>
      <c r="AW87" s="670"/>
      <c r="AX87" s="670"/>
      <c r="AY87" s="670"/>
      <c r="AZ87" s="670"/>
      <c r="BA87" s="670"/>
      <c r="BB87" s="670"/>
      <c r="BC87" s="670"/>
      <c r="BD87" s="670"/>
      <c r="BE87" s="670"/>
      <c r="BF87" s="670"/>
      <c r="BG87" s="670"/>
      <c r="BH87" s="670"/>
      <c r="BI87" s="670"/>
      <c r="BJ87" s="670"/>
      <c r="BK87" s="670"/>
      <c r="BL87" s="670"/>
      <c r="BM87" s="670"/>
      <c r="BN87" s="670"/>
      <c r="BO87" s="670"/>
      <c r="BP87" s="670"/>
      <c r="BQ87" s="670"/>
      <c r="BR87" s="670"/>
      <c r="BS87" s="670"/>
      <c r="BT87" s="670"/>
      <c r="BU87" s="670"/>
      <c r="BV87" s="670"/>
      <c r="BW87" s="670"/>
      <c r="BX87" s="670"/>
      <c r="BY87" s="670"/>
      <c r="BZ87" s="670"/>
      <c r="CA87" s="670"/>
      <c r="CB87" s="670"/>
      <c r="CC87" s="670"/>
      <c r="CD87" s="670"/>
      <c r="CE87" s="670"/>
      <c r="CF87" s="670"/>
      <c r="CG87" s="670"/>
    </row>
    <row r="88" spans="1:85" s="27" customFormat="1" ht="29" x14ac:dyDescent="0.3">
      <c r="A88" s="28" t="s">
        <v>1110</v>
      </c>
      <c r="B88" s="1504"/>
      <c r="C88" s="1806" t="s">
        <v>1001</v>
      </c>
      <c r="D88" s="1013" t="s">
        <v>3</v>
      </c>
      <c r="E88" s="67" t="b">
        <f>IF(D88="Compliant",TRUE,FALSE)</f>
        <v>0</v>
      </c>
      <c r="F88" s="361"/>
      <c r="G88" s="1405" t="str">
        <f>IF(I88&lt;&gt;"", "Not Blank", "")</f>
        <v/>
      </c>
      <c r="H88" s="1403"/>
      <c r="I88" s="42"/>
      <c r="J88" s="391" t="str">
        <f>IF(L88&lt;&gt;"", "Not Blank", "")</f>
        <v/>
      </c>
      <c r="K88" s="391"/>
      <c r="L88" s="42"/>
      <c r="M88" s="128"/>
      <c r="N88" s="4447"/>
      <c r="O88" s="4492"/>
      <c r="P88" s="2177"/>
      <c r="Q88" s="2214" t="s">
        <v>3</v>
      </c>
      <c r="R88" s="574" t="b">
        <f>IF(OR(Q88="Compliant",Q88="FE with work-a-round",Q88="Functionally Equivalent"),TRUE,FALSE)</f>
        <v>0</v>
      </c>
      <c r="S88" s="44"/>
      <c r="T88" s="44"/>
      <c r="U88" s="122"/>
      <c r="V88" s="4447"/>
      <c r="W88" s="4438"/>
      <c r="X88" s="44"/>
      <c r="Y88" s="44"/>
      <c r="Z88" s="122"/>
      <c r="AA88" s="65"/>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s="38" customFormat="1" ht="73" thickBot="1" x14ac:dyDescent="0.35">
      <c r="A89" s="28"/>
      <c r="B89" s="1504"/>
      <c r="C89" s="1807" t="s">
        <v>1973</v>
      </c>
      <c r="D89" s="849" t="s">
        <v>3</v>
      </c>
      <c r="E89" s="78" t="b">
        <f>IF(D89="Compliant",TRUE,FALSE)</f>
        <v>0</v>
      </c>
      <c r="F89" s="387"/>
      <c r="G89" s="2985" t="str">
        <f>IF(I89&lt;&gt;"", "Not Blank", "")</f>
        <v/>
      </c>
      <c r="H89" s="1441"/>
      <c r="I89" s="79"/>
      <c r="J89" s="403" t="str">
        <f>IF(L89&lt;&gt;"", "Not Blank", "")</f>
        <v/>
      </c>
      <c r="K89" s="403"/>
      <c r="L89" s="79"/>
      <c r="M89" s="127"/>
      <c r="N89" s="4447"/>
      <c r="O89" s="4492"/>
      <c r="P89" s="127"/>
      <c r="Q89" s="1862" t="s">
        <v>3</v>
      </c>
      <c r="R89" s="1293" t="b">
        <f>IF(OR(Q89="Compliant",Q89="FE with work-a-round",Q89="Functionally Equivalent"),TRUE,FALSE)</f>
        <v>0</v>
      </c>
      <c r="S89" s="79"/>
      <c r="T89" s="124"/>
      <c r="U89" s="125"/>
      <c r="V89" s="4448"/>
      <c r="W89" s="4439"/>
      <c r="X89" s="124"/>
      <c r="Y89" s="124"/>
      <c r="Z89" s="125"/>
      <c r="AA89" s="65"/>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s="1579" customFormat="1" ht="204" thickTop="1" thickBot="1" x14ac:dyDescent="0.35">
      <c r="A90" s="1383" t="s">
        <v>1107</v>
      </c>
      <c r="B90" s="1505"/>
      <c r="C90" s="1809" t="s">
        <v>1947</v>
      </c>
      <c r="D90" s="102" t="s">
        <v>3</v>
      </c>
      <c r="E90" s="231" t="b">
        <f>IF(D90="Compliant",TRUE,FALSE)</f>
        <v>0</v>
      </c>
      <c r="F90" s="396"/>
      <c r="G90" s="397" t="str">
        <f>IF(I90&lt;&gt;"", "Not Blank", "")</f>
        <v/>
      </c>
      <c r="H90" s="133"/>
      <c r="I90" s="133"/>
      <c r="J90" s="133" t="str">
        <f>IF(L90&lt;&gt;"", "Not Blank", "")</f>
        <v/>
      </c>
      <c r="K90" s="133"/>
      <c r="L90" s="133"/>
      <c r="M90" s="134"/>
      <c r="N90" s="1188" t="s">
        <v>3</v>
      </c>
      <c r="O90" s="948" t="b">
        <f>IF(OR(N90="Compliant",N90="FE with work-a-round",N90="Functionally Equivalent"),TRUE,FALSE)</f>
        <v>0</v>
      </c>
      <c r="P90" s="2986"/>
      <c r="Q90" s="1188" t="s">
        <v>3</v>
      </c>
      <c r="R90" s="335" t="b">
        <f>IF(OR(Q90="Compliant",Q90="FE with work-a-round",Q90="Functionally Equivalent"),TRUE,FALSE)</f>
        <v>0</v>
      </c>
      <c r="S90" s="2987"/>
      <c r="T90" s="2987"/>
      <c r="U90" s="2986"/>
      <c r="V90" s="1134" t="s">
        <v>3</v>
      </c>
      <c r="W90" s="307" t="b">
        <f>IF(OR(V90="Compliant",V90="FE with work-a-round",V90="Functionally Equivalent",V90="Not Required/Applicable"),TRUE,FALSE)</f>
        <v>0</v>
      </c>
      <c r="X90" s="2987"/>
      <c r="Y90" s="2987"/>
      <c r="Z90" s="2986"/>
    </row>
    <row r="91" spans="1:85" s="1453" customFormat="1" ht="47" thickTop="1" x14ac:dyDescent="0.3">
      <c r="B91" s="3012" t="s">
        <v>1629</v>
      </c>
      <c r="C91" s="2247" t="s">
        <v>1186</v>
      </c>
      <c r="D91" s="3017" t="s">
        <v>1218</v>
      </c>
      <c r="E91" s="3018" t="b">
        <f>IF(AND(E92=TRUE,E93=TRUE,E94=TRUE,E95=TRUE,E96=TRUE,E97=TRUE,E98=TRUE,E99=TRUE,E100=TRUE,E101=TRUE,E102=TRUE,E103=TRUE,E104=TRUE,E105=TRUE,E106=TRUE,E107=TRUE,E108=TRUE,E109=TRUE,E110=TRUE,E111=TRUE,E112=TRUE,E113=TRUE,E114=TRUE,E115=TRUE,E116=TRUE,E117=TRUE,E118=TRUE,E119=TRUE,E120=TRUE,E121=TRUE,E122=TRUE,E123=TRUE,E124=TRUE,E125=TRUE,E126=TRUE,E127=TRUE,E128=TRUE,E129=TRUE,E130=TRUE,E131=TRUE),TRUE,FALSE)</f>
        <v>0</v>
      </c>
      <c r="F91" s="1930">
        <f>COUNTIF(E92:E131,TRUE)</f>
        <v>0</v>
      </c>
      <c r="G91" s="3020">
        <f>COUNTIFS(E92:E131,TRUE,G92:G131,"Not Blank")</f>
        <v>0</v>
      </c>
      <c r="H91" s="3020">
        <f>COUNTIFS(E92:E131,FALSE,G92:G131,"Not Blank")</f>
        <v>0</v>
      </c>
      <c r="I91" s="3021" t="str">
        <f xml:space="preserve">
IF(F91&gt;40,"Too Many Entries - Check Red Lines",
IF(G91&lt;F91,"Valid Entry required below - Check Amber Line/s",
IF(AND(E91=FALSE,G91=0,H91=0),"Nothing Entered below Yet",
IF(G91&lt;F91,"Valid Entry required below - Check Amber Line/s",
IF(AND(G91=0,H91&gt;0),"**Non-Valid Entry/ies below - Check Yellow Line/s",
IF(AND(G91&gt;0,H91&gt;0),"**Valid and Non-Valid Entries made below - Check Yellow Line/s",
IF(AND(E91=FALSE,F91&lt;40),"Not all requirements addressed below - Check Pink Line/s",
IF(AND(E91=FALSE,G91&lt;40,G91&gt;0,H91=0),"More entries to come",
IF(AND(E91,TRUE,G91=40,H91=0),"Valid Entries made below"
)))))))))</f>
        <v>Nothing Entered below Yet</v>
      </c>
      <c r="J91" s="3023">
        <f>COUNTIFS(E92:E131,TRUE,J92:J131,"Not Blank")</f>
        <v>0</v>
      </c>
      <c r="K91" s="3023">
        <f>COUNTIFS(E92:E131,FALSE,J92:J131,"Not Blank")</f>
        <v>0</v>
      </c>
      <c r="L91" s="1927" t="str">
        <f xml:space="preserve">
IF(J91&gt;40,"Too Many Entries - Check Red Lines",
IF(J91&lt;F91,"Valid Entry required below - Check Amber Line/s",
IF(AND(E91=FALSE,J91=0,K91=0),"Nothing Entered below Yet",
IF(AND(J91=0,K91&gt;0),"**Non-Valid Entry/ies below - Check Yellow Line/s",
IF(AND(J91&gt;0,K91&gt;0),"**Valid and Non-Valid Entries made below - Check Yellow Line/s",
IF(AND(E91=FALSE,J91&lt;40),"Not all requirements addressed below - Check Pink Line/s",
IF(AND(E91=FALSE,J91&lt;40,J91&gt;0,K91=0),"More entries to come",
IF(AND(E91,TRUE,J91=40,K91=0),"Valid Entries made below"
))))))))</f>
        <v>Nothing Entered below Yet</v>
      </c>
      <c r="M91" s="2323"/>
      <c r="N91" s="4446" t="s">
        <v>3</v>
      </c>
      <c r="O91" s="4440" t="b">
        <f>IF(OR(N91="Compliant",N91="FE with work-a-round",N91="Functionally Equivalent"),TRUE,FALSE)</f>
        <v>0</v>
      </c>
      <c r="P91" s="2671"/>
      <c r="Q91" s="4203" t="s">
        <v>565</v>
      </c>
      <c r="R91" s="1264" t="b">
        <f>IF(AND(R92=TRUE,R93=TRUE,R94=TRUE,R95=TRUE,R96=TRUE,R97=TRUE,R98=TRUE,R99=TRUE,R100=TRUE,R101=TRUE,R102=TRUE,R103=TRUE,R104=TRUE,R105=TRUE,R106=TRUE,R107=TRUE,R108=TRUE,R109=TRUE,R110=TRUE,R111=TRUE,R112=TRUE,R113=TRUE,R114=TRUE,R115=TRUE,R116=TRUE,R117=TRUE,R118=TRUE,R119=TRUE,R120=TRUE,R121=TRUE,R122=TRUE,R123=TRUE,R124=TRUE,R125=TRUE,R126=TRUE,R127=TRUE,R128=TRUE,R129=TRUE,R130=TRUE,R131=TRUE),TRUE,FALSE)</f>
        <v>0</v>
      </c>
      <c r="S91" s="1452"/>
      <c r="T91" s="1452"/>
      <c r="U91" s="1450"/>
      <c r="V91" s="4446" t="s">
        <v>3</v>
      </c>
      <c r="W91" s="4659" t="b">
        <f>IF(OR(V91="Compliant",V91="FE with work-a-round",V91="Functionally Equivalent",V91="Not Required/Applicable"),TRUE,FALSE)</f>
        <v>0</v>
      </c>
      <c r="X91" s="186"/>
      <c r="Y91" s="1452"/>
      <c r="Z91" s="1450"/>
    </row>
    <row r="92" spans="1:85" s="1453" customFormat="1" ht="29" x14ac:dyDescent="0.3">
      <c r="A92" s="1419"/>
      <c r="B92" s="1504"/>
      <c r="C92" s="1806" t="s">
        <v>91</v>
      </c>
      <c r="D92" s="1013" t="s">
        <v>3</v>
      </c>
      <c r="E92" s="67" t="b">
        <f t="shared" ref="E92:E131" si="5">IF(D92="Compliant",TRUE,FALSE)</f>
        <v>0</v>
      </c>
      <c r="F92" s="361"/>
      <c r="G92" s="1403" t="str">
        <f t="shared" ref="G92:G99" si="6">IF(I92&lt;&gt;"", "Not Blank", "")</f>
        <v/>
      </c>
      <c r="H92" s="1403"/>
      <c r="I92" s="42"/>
      <c r="J92" s="216" t="str">
        <f t="shared" ref="J92:J131" si="7">IF(L92&lt;&gt;"", "Not Blank", "")</f>
        <v/>
      </c>
      <c r="K92" s="216"/>
      <c r="L92" s="2164"/>
      <c r="M92" s="2177"/>
      <c r="N92" s="4447"/>
      <c r="O92" s="4441"/>
      <c r="P92" s="2657"/>
      <c r="Q92" s="2214" t="s">
        <v>3</v>
      </c>
      <c r="R92" s="574" t="b">
        <f t="shared" ref="R92:R131" si="8">IF(OR(Q92="Compliant",Q92="FE with work-a-round",Q92="Functionally Equivalent"),TRUE,FALSE)</f>
        <v>0</v>
      </c>
      <c r="S92" s="1455"/>
      <c r="T92" s="1455"/>
      <c r="U92" s="1454"/>
      <c r="V92" s="4447"/>
      <c r="W92" s="4468"/>
      <c r="X92" s="261"/>
      <c r="Y92" s="1455"/>
      <c r="Z92" s="1454"/>
    </row>
    <row r="93" spans="1:85" s="1453" customFormat="1" ht="29" x14ac:dyDescent="0.3">
      <c r="A93" s="1419"/>
      <c r="B93" s="1504"/>
      <c r="C93" s="1717" t="s">
        <v>92</v>
      </c>
      <c r="D93" s="319" t="s">
        <v>3</v>
      </c>
      <c r="E93" s="67" t="b">
        <f t="shared" si="5"/>
        <v>0</v>
      </c>
      <c r="F93" s="361"/>
      <c r="G93" s="1403" t="str">
        <f t="shared" si="6"/>
        <v/>
      </c>
      <c r="H93" s="1403"/>
      <c r="I93" s="44"/>
      <c r="J93" s="216" t="str">
        <f t="shared" si="7"/>
        <v/>
      </c>
      <c r="K93" s="216"/>
      <c r="L93" s="44"/>
      <c r="M93" s="122"/>
      <c r="N93" s="4447"/>
      <c r="O93" s="4441"/>
      <c r="P93" s="1454"/>
      <c r="Q93" s="1060" t="s">
        <v>3</v>
      </c>
      <c r="R93" s="574" t="b">
        <f t="shared" si="8"/>
        <v>0</v>
      </c>
      <c r="S93" s="1455"/>
      <c r="T93" s="1455"/>
      <c r="U93" s="1454"/>
      <c r="V93" s="4447"/>
      <c r="W93" s="4468"/>
      <c r="X93" s="261"/>
      <c r="Y93" s="1455"/>
      <c r="Z93" s="1454"/>
    </row>
    <row r="94" spans="1:85" s="1453" customFormat="1" ht="29" x14ac:dyDescent="0.3">
      <c r="A94" s="1419"/>
      <c r="B94" s="1504"/>
      <c r="C94" s="1717" t="s">
        <v>93</v>
      </c>
      <c r="D94" s="319" t="s">
        <v>3</v>
      </c>
      <c r="E94" s="67" t="b">
        <f t="shared" si="5"/>
        <v>0</v>
      </c>
      <c r="F94" s="361"/>
      <c r="G94" s="1403" t="str">
        <f t="shared" si="6"/>
        <v/>
      </c>
      <c r="H94" s="1403"/>
      <c r="I94" s="44"/>
      <c r="J94" s="216" t="str">
        <f t="shared" si="7"/>
        <v/>
      </c>
      <c r="K94" s="216"/>
      <c r="L94" s="44"/>
      <c r="M94" s="122"/>
      <c r="N94" s="4447"/>
      <c r="O94" s="4441"/>
      <c r="P94" s="1454"/>
      <c r="Q94" s="1060" t="s">
        <v>3</v>
      </c>
      <c r="R94" s="574" t="b">
        <f t="shared" si="8"/>
        <v>0</v>
      </c>
      <c r="S94" s="1455"/>
      <c r="T94" s="1455"/>
      <c r="U94" s="1454"/>
      <c r="V94" s="4447"/>
      <c r="W94" s="4468"/>
      <c r="X94" s="261"/>
      <c r="Y94" s="1455"/>
      <c r="Z94" s="1454"/>
    </row>
    <row r="95" spans="1:85" s="1453" customFormat="1" ht="29" x14ac:dyDescent="0.3">
      <c r="A95" s="1419"/>
      <c r="B95" s="1504"/>
      <c r="C95" s="1717" t="s">
        <v>94</v>
      </c>
      <c r="D95" s="319" t="s">
        <v>3</v>
      </c>
      <c r="E95" s="67" t="b">
        <f t="shared" si="5"/>
        <v>0</v>
      </c>
      <c r="F95" s="361"/>
      <c r="G95" s="1403" t="str">
        <f t="shared" si="6"/>
        <v/>
      </c>
      <c r="H95" s="1403"/>
      <c r="I95" s="44"/>
      <c r="J95" s="216" t="str">
        <f t="shared" si="7"/>
        <v/>
      </c>
      <c r="K95" s="216"/>
      <c r="L95" s="44"/>
      <c r="M95" s="122"/>
      <c r="N95" s="4447"/>
      <c r="O95" s="4441"/>
      <c r="P95" s="1454"/>
      <c r="Q95" s="1060" t="s">
        <v>3</v>
      </c>
      <c r="R95" s="574" t="b">
        <f t="shared" si="8"/>
        <v>0</v>
      </c>
      <c r="S95" s="1455"/>
      <c r="T95" s="1455"/>
      <c r="U95" s="1454"/>
      <c r="V95" s="4447"/>
      <c r="W95" s="4468"/>
      <c r="X95" s="261"/>
      <c r="Y95" s="1455"/>
      <c r="Z95" s="1454"/>
    </row>
    <row r="96" spans="1:85" s="1453" customFormat="1" ht="72.5" x14ac:dyDescent="0.3">
      <c r="A96" s="1419"/>
      <c r="B96" s="1504"/>
      <c r="C96" s="1717" t="s">
        <v>1241</v>
      </c>
      <c r="D96" s="319" t="s">
        <v>3</v>
      </c>
      <c r="E96" s="67" t="b">
        <f t="shared" si="5"/>
        <v>0</v>
      </c>
      <c r="F96" s="361"/>
      <c r="G96" s="1403" t="str">
        <f t="shared" si="6"/>
        <v/>
      </c>
      <c r="H96" s="1403"/>
      <c r="I96" s="44"/>
      <c r="J96" s="216" t="str">
        <f t="shared" si="7"/>
        <v/>
      </c>
      <c r="K96" s="216"/>
      <c r="L96" s="44"/>
      <c r="M96" s="122"/>
      <c r="N96" s="4447"/>
      <c r="O96" s="4441"/>
      <c r="P96" s="1454"/>
      <c r="Q96" s="1060" t="s">
        <v>3</v>
      </c>
      <c r="R96" s="574" t="b">
        <f t="shared" si="8"/>
        <v>0</v>
      </c>
      <c r="S96" s="1455"/>
      <c r="T96" s="1455"/>
      <c r="U96" s="1454"/>
      <c r="V96" s="4447"/>
      <c r="W96" s="4468"/>
      <c r="X96" s="261"/>
      <c r="Y96" s="1455"/>
      <c r="Z96" s="1454"/>
    </row>
    <row r="97" spans="1:26" s="1462" customFormat="1" ht="29" x14ac:dyDescent="0.3">
      <c r="A97" s="1456"/>
      <c r="B97" s="1504"/>
      <c r="C97" s="1717" t="s">
        <v>97</v>
      </c>
      <c r="D97" s="319" t="s">
        <v>3</v>
      </c>
      <c r="E97" s="2988" t="b">
        <f t="shared" si="5"/>
        <v>0</v>
      </c>
      <c r="F97" s="1458"/>
      <c r="G97" s="1458" t="str">
        <f t="shared" si="6"/>
        <v/>
      </c>
      <c r="H97" s="1458"/>
      <c r="I97" s="1459"/>
      <c r="J97" s="1460" t="str">
        <f t="shared" si="7"/>
        <v/>
      </c>
      <c r="K97" s="1460"/>
      <c r="L97" s="1459"/>
      <c r="M97" s="1461"/>
      <c r="N97" s="4447"/>
      <c r="O97" s="4441"/>
      <c r="P97" s="1461"/>
      <c r="Q97" s="1060" t="s">
        <v>3</v>
      </c>
      <c r="R97" s="574" t="b">
        <f t="shared" si="8"/>
        <v>0</v>
      </c>
      <c r="S97" s="1459"/>
      <c r="T97" s="1459"/>
      <c r="U97" s="1461"/>
      <c r="V97" s="4447"/>
      <c r="W97" s="4468"/>
      <c r="X97" s="261"/>
      <c r="Y97" s="1459"/>
      <c r="Z97" s="1461"/>
    </row>
    <row r="98" spans="1:26" s="1419" customFormat="1" ht="15.5" x14ac:dyDescent="0.3">
      <c r="B98" s="1504"/>
      <c r="C98" s="1717" t="s">
        <v>98</v>
      </c>
      <c r="D98" s="319" t="s">
        <v>3</v>
      </c>
      <c r="E98" s="2988" t="b">
        <f t="shared" si="5"/>
        <v>0</v>
      </c>
      <c r="F98" s="1458"/>
      <c r="G98" s="1458" t="str">
        <f t="shared" si="6"/>
        <v/>
      </c>
      <c r="H98" s="1458"/>
      <c r="I98" s="1458"/>
      <c r="J98" s="1460" t="str">
        <f t="shared" si="7"/>
        <v/>
      </c>
      <c r="K98" s="1460"/>
      <c r="L98" s="1458"/>
      <c r="M98" s="1463"/>
      <c r="N98" s="4447"/>
      <c r="O98" s="4441"/>
      <c r="P98" s="1463"/>
      <c r="Q98" s="1060" t="s">
        <v>3</v>
      </c>
      <c r="R98" s="574" t="b">
        <f t="shared" si="8"/>
        <v>0</v>
      </c>
      <c r="S98" s="1458"/>
      <c r="T98" s="1458"/>
      <c r="U98" s="1463"/>
      <c r="V98" s="4447"/>
      <c r="W98" s="4468"/>
      <c r="X98" s="261"/>
      <c r="Y98" s="1458"/>
      <c r="Z98" s="1463"/>
    </row>
    <row r="99" spans="1:26" s="1419" customFormat="1" ht="29" x14ac:dyDescent="0.3">
      <c r="B99" s="1504"/>
      <c r="C99" s="1717" t="s">
        <v>1760</v>
      </c>
      <c r="D99" s="319" t="s">
        <v>3</v>
      </c>
      <c r="E99" s="2989" t="b">
        <f t="shared" si="5"/>
        <v>0</v>
      </c>
      <c r="F99" s="1458"/>
      <c r="G99" s="1458" t="str">
        <f t="shared" si="6"/>
        <v/>
      </c>
      <c r="H99" s="1458"/>
      <c r="I99" s="2672"/>
      <c r="J99" s="1460" t="str">
        <f t="shared" si="7"/>
        <v/>
      </c>
      <c r="K99" s="2673"/>
      <c r="L99" s="1459"/>
      <c r="M99" s="1461"/>
      <c r="N99" s="4447"/>
      <c r="O99" s="4441"/>
      <c r="P99" s="1463"/>
      <c r="Q99" s="1060" t="s">
        <v>3</v>
      </c>
      <c r="R99" s="574" t="b">
        <f t="shared" si="8"/>
        <v>0</v>
      </c>
      <c r="S99" s="1458"/>
      <c r="T99" s="1458"/>
      <c r="U99" s="1463"/>
      <c r="V99" s="4447"/>
      <c r="W99" s="4468"/>
      <c r="X99" s="261"/>
      <c r="Y99" s="1458"/>
      <c r="Z99" s="1463"/>
    </row>
    <row r="100" spans="1:26" s="28" customFormat="1" ht="29" x14ac:dyDescent="0.3">
      <c r="B100" s="1504"/>
      <c r="C100" s="1717" t="s">
        <v>1683</v>
      </c>
      <c r="D100" s="319" t="s">
        <v>3</v>
      </c>
      <c r="E100" s="67" t="b">
        <f t="shared" si="5"/>
        <v>0</v>
      </c>
      <c r="F100" s="44"/>
      <c r="G100" s="44" t="str">
        <f t="shared" ref="G100:G131" si="9">IF(I100&lt;&gt;"", "Not Blank", "")</f>
        <v/>
      </c>
      <c r="H100" s="44"/>
      <c r="I100" s="44"/>
      <c r="J100" s="44" t="str">
        <f t="shared" si="7"/>
        <v/>
      </c>
      <c r="K100" s="44"/>
      <c r="L100" s="44"/>
      <c r="M100" s="122"/>
      <c r="N100" s="4447"/>
      <c r="O100" s="4441"/>
      <c r="P100" s="122"/>
      <c r="Q100" s="1060" t="s">
        <v>3</v>
      </c>
      <c r="R100" s="574" t="b">
        <f t="shared" si="8"/>
        <v>0</v>
      </c>
      <c r="S100" s="44"/>
      <c r="T100" s="44"/>
      <c r="U100" s="122"/>
      <c r="V100" s="4447"/>
      <c r="W100" s="4468"/>
      <c r="X100" s="261"/>
      <c r="Y100" s="44"/>
      <c r="Z100" s="122"/>
    </row>
    <row r="101" spans="1:26" s="28" customFormat="1" ht="29" x14ac:dyDescent="0.3">
      <c r="B101" s="1504"/>
      <c r="C101" s="1717" t="s">
        <v>101</v>
      </c>
      <c r="D101" s="319" t="s">
        <v>3</v>
      </c>
      <c r="E101" s="67" t="b">
        <f t="shared" si="5"/>
        <v>0</v>
      </c>
      <c r="F101" s="44"/>
      <c r="G101" s="44" t="str">
        <f t="shared" si="9"/>
        <v/>
      </c>
      <c r="H101" s="44"/>
      <c r="I101" s="44"/>
      <c r="J101" s="44" t="str">
        <f t="shared" si="7"/>
        <v/>
      </c>
      <c r="K101" s="44"/>
      <c r="L101" s="44"/>
      <c r="M101" s="122"/>
      <c r="N101" s="4447"/>
      <c r="O101" s="4441"/>
      <c r="P101" s="122"/>
      <c r="Q101" s="1060" t="s">
        <v>3</v>
      </c>
      <c r="R101" s="574" t="b">
        <f t="shared" si="8"/>
        <v>0</v>
      </c>
      <c r="S101" s="44"/>
      <c r="T101" s="44"/>
      <c r="U101" s="122"/>
      <c r="V101" s="4447"/>
      <c r="W101" s="4468"/>
      <c r="X101" s="261"/>
      <c r="Y101" s="44"/>
      <c r="Z101" s="122"/>
    </row>
    <row r="102" spans="1:26" s="28" customFormat="1" ht="29" x14ac:dyDescent="0.3">
      <c r="B102" s="1504"/>
      <c r="C102" s="1717" t="s">
        <v>1781</v>
      </c>
      <c r="D102" s="319" t="s">
        <v>3</v>
      </c>
      <c r="E102" s="67" t="b">
        <f t="shared" si="5"/>
        <v>0</v>
      </c>
      <c r="F102" s="44"/>
      <c r="G102" s="44" t="str">
        <f t="shared" si="9"/>
        <v/>
      </c>
      <c r="H102" s="44"/>
      <c r="I102" s="44"/>
      <c r="J102" s="44" t="str">
        <f t="shared" si="7"/>
        <v/>
      </c>
      <c r="K102" s="44"/>
      <c r="L102" s="44"/>
      <c r="M102" s="122"/>
      <c r="N102" s="4447"/>
      <c r="O102" s="4441"/>
      <c r="P102" s="122"/>
      <c r="Q102" s="1060" t="s">
        <v>3</v>
      </c>
      <c r="R102" s="574" t="b">
        <f t="shared" si="8"/>
        <v>0</v>
      </c>
      <c r="S102" s="44"/>
      <c r="T102" s="44"/>
      <c r="U102" s="122"/>
      <c r="V102" s="4447"/>
      <c r="W102" s="4468"/>
      <c r="X102" s="261"/>
      <c r="Y102" s="44"/>
      <c r="Z102" s="122"/>
    </row>
    <row r="103" spans="1:26" s="28" customFormat="1" ht="29" x14ac:dyDescent="0.3">
      <c r="B103" s="1504"/>
      <c r="C103" s="1717" t="s">
        <v>103</v>
      </c>
      <c r="D103" s="319" t="s">
        <v>3</v>
      </c>
      <c r="E103" s="67" t="b">
        <f t="shared" si="5"/>
        <v>0</v>
      </c>
      <c r="F103" s="44"/>
      <c r="G103" s="44" t="str">
        <f t="shared" si="9"/>
        <v/>
      </c>
      <c r="H103" s="44"/>
      <c r="I103" s="44"/>
      <c r="J103" s="44" t="str">
        <f t="shared" si="7"/>
        <v/>
      </c>
      <c r="K103" s="44"/>
      <c r="L103" s="44"/>
      <c r="M103" s="122"/>
      <c r="N103" s="4447"/>
      <c r="O103" s="4441"/>
      <c r="P103" s="122"/>
      <c r="Q103" s="1060" t="s">
        <v>3</v>
      </c>
      <c r="R103" s="574" t="b">
        <f t="shared" si="8"/>
        <v>0</v>
      </c>
      <c r="S103" s="44"/>
      <c r="T103" s="44"/>
      <c r="U103" s="122"/>
      <c r="V103" s="4447"/>
      <c r="W103" s="4468"/>
      <c r="X103" s="261"/>
      <c r="Y103" s="44"/>
      <c r="Z103" s="122"/>
    </row>
    <row r="104" spans="1:26" s="28" customFormat="1" ht="29" x14ac:dyDescent="0.3">
      <c r="B104" s="1504"/>
      <c r="C104" s="1717" t="s">
        <v>1737</v>
      </c>
      <c r="D104" s="319" t="s">
        <v>3</v>
      </c>
      <c r="E104" s="67" t="b">
        <f t="shared" si="5"/>
        <v>0</v>
      </c>
      <c r="F104" s="44"/>
      <c r="G104" s="44" t="str">
        <f t="shared" si="9"/>
        <v/>
      </c>
      <c r="H104" s="44"/>
      <c r="I104" s="44"/>
      <c r="J104" s="44" t="str">
        <f t="shared" si="7"/>
        <v/>
      </c>
      <c r="K104" s="44"/>
      <c r="L104" s="44"/>
      <c r="M104" s="122"/>
      <c r="N104" s="4447"/>
      <c r="O104" s="4441"/>
      <c r="P104" s="122"/>
      <c r="Q104" s="1060" t="s">
        <v>3</v>
      </c>
      <c r="R104" s="574" t="b">
        <f t="shared" si="8"/>
        <v>0</v>
      </c>
      <c r="S104" s="44"/>
      <c r="T104" s="44"/>
      <c r="U104" s="122"/>
      <c r="V104" s="4447"/>
      <c r="W104" s="4468"/>
      <c r="X104" s="261"/>
      <c r="Y104" s="44"/>
      <c r="Z104" s="122"/>
    </row>
    <row r="105" spans="1:26" s="28" customFormat="1" ht="43.5" x14ac:dyDescent="0.3">
      <c r="B105" s="1504"/>
      <c r="C105" s="1717" t="s">
        <v>105</v>
      </c>
      <c r="D105" s="319" t="s">
        <v>3</v>
      </c>
      <c r="E105" s="67" t="b">
        <f t="shared" si="5"/>
        <v>0</v>
      </c>
      <c r="F105" s="44"/>
      <c r="G105" s="44" t="str">
        <f t="shared" si="9"/>
        <v/>
      </c>
      <c r="H105" s="44"/>
      <c r="I105" s="44"/>
      <c r="J105" s="44" t="str">
        <f t="shared" si="7"/>
        <v/>
      </c>
      <c r="K105" s="44"/>
      <c r="L105" s="44"/>
      <c r="M105" s="122"/>
      <c r="N105" s="4447"/>
      <c r="O105" s="4441"/>
      <c r="P105" s="122"/>
      <c r="Q105" s="1060" t="s">
        <v>3</v>
      </c>
      <c r="R105" s="574" t="b">
        <f t="shared" si="8"/>
        <v>0</v>
      </c>
      <c r="S105" s="44"/>
      <c r="T105" s="44"/>
      <c r="U105" s="122"/>
      <c r="V105" s="4447"/>
      <c r="W105" s="4468"/>
      <c r="X105" s="261"/>
      <c r="Y105" s="44"/>
      <c r="Z105" s="122"/>
    </row>
    <row r="106" spans="1:26" s="28" customFormat="1" ht="29" x14ac:dyDescent="0.3">
      <c r="B106" s="1504"/>
      <c r="C106" s="1717" t="s">
        <v>106</v>
      </c>
      <c r="D106" s="319" t="s">
        <v>3</v>
      </c>
      <c r="E106" s="67" t="b">
        <f t="shared" si="5"/>
        <v>0</v>
      </c>
      <c r="F106" s="44"/>
      <c r="G106" s="44" t="str">
        <f t="shared" si="9"/>
        <v/>
      </c>
      <c r="H106" s="44"/>
      <c r="I106" s="44"/>
      <c r="J106" s="44" t="str">
        <f t="shared" si="7"/>
        <v/>
      </c>
      <c r="K106" s="44"/>
      <c r="L106" s="44"/>
      <c r="M106" s="122"/>
      <c r="N106" s="4447"/>
      <c r="O106" s="4441"/>
      <c r="P106" s="122"/>
      <c r="Q106" s="1060" t="s">
        <v>3</v>
      </c>
      <c r="R106" s="574" t="b">
        <f t="shared" si="8"/>
        <v>0</v>
      </c>
      <c r="S106" s="44"/>
      <c r="T106" s="44"/>
      <c r="U106" s="122"/>
      <c r="V106" s="4447"/>
      <c r="W106" s="4468"/>
      <c r="X106" s="261"/>
      <c r="Y106" s="44"/>
      <c r="Z106" s="122"/>
    </row>
    <row r="107" spans="1:26" s="28" customFormat="1" ht="29" x14ac:dyDescent="0.3">
      <c r="B107" s="1504"/>
      <c r="C107" s="1717" t="s">
        <v>1757</v>
      </c>
      <c r="D107" s="319" t="s">
        <v>3</v>
      </c>
      <c r="E107" s="67" t="b">
        <f t="shared" si="5"/>
        <v>0</v>
      </c>
      <c r="F107" s="44"/>
      <c r="G107" s="44" t="str">
        <f t="shared" si="9"/>
        <v/>
      </c>
      <c r="H107" s="44"/>
      <c r="I107" s="44"/>
      <c r="J107" s="44" t="str">
        <f t="shared" si="7"/>
        <v/>
      </c>
      <c r="K107" s="44"/>
      <c r="L107" s="44"/>
      <c r="M107" s="122"/>
      <c r="N107" s="4447"/>
      <c r="O107" s="4441"/>
      <c r="P107" s="122"/>
      <c r="Q107" s="1060" t="s">
        <v>3</v>
      </c>
      <c r="R107" s="574" t="b">
        <f t="shared" si="8"/>
        <v>0</v>
      </c>
      <c r="S107" s="44"/>
      <c r="T107" s="44"/>
      <c r="U107" s="122"/>
      <c r="V107" s="4447"/>
      <c r="W107" s="4468"/>
      <c r="X107" s="261"/>
      <c r="Y107" s="44"/>
      <c r="Z107" s="122"/>
    </row>
    <row r="108" spans="1:26" s="28" customFormat="1" ht="43.5" x14ac:dyDescent="0.3">
      <c r="B108" s="1504"/>
      <c r="C108" s="1717" t="s">
        <v>108</v>
      </c>
      <c r="D108" s="319" t="s">
        <v>3</v>
      </c>
      <c r="E108" s="67" t="b">
        <f t="shared" si="5"/>
        <v>0</v>
      </c>
      <c r="F108" s="44"/>
      <c r="G108" s="44" t="str">
        <f t="shared" si="9"/>
        <v/>
      </c>
      <c r="H108" s="44"/>
      <c r="I108" s="44"/>
      <c r="J108" s="44" t="str">
        <f t="shared" si="7"/>
        <v/>
      </c>
      <c r="K108" s="44"/>
      <c r="L108" s="44"/>
      <c r="M108" s="122"/>
      <c r="N108" s="4447"/>
      <c r="O108" s="4441"/>
      <c r="P108" s="122"/>
      <c r="Q108" s="1060" t="s">
        <v>3</v>
      </c>
      <c r="R108" s="574" t="b">
        <f t="shared" si="8"/>
        <v>0</v>
      </c>
      <c r="S108" s="44"/>
      <c r="T108" s="44"/>
      <c r="U108" s="122"/>
      <c r="V108" s="4447"/>
      <c r="W108" s="4468"/>
      <c r="X108" s="261"/>
      <c r="Y108" s="44"/>
      <c r="Z108" s="122"/>
    </row>
    <row r="109" spans="1:26" s="28" customFormat="1" ht="43.5" x14ac:dyDescent="0.3">
      <c r="B109" s="1504"/>
      <c r="C109" s="1717" t="s">
        <v>109</v>
      </c>
      <c r="D109" s="319" t="s">
        <v>3</v>
      </c>
      <c r="E109" s="67" t="b">
        <f t="shared" si="5"/>
        <v>0</v>
      </c>
      <c r="F109" s="44"/>
      <c r="G109" s="44" t="str">
        <f t="shared" si="9"/>
        <v/>
      </c>
      <c r="H109" s="44"/>
      <c r="I109" s="44"/>
      <c r="J109" s="44" t="str">
        <f t="shared" si="7"/>
        <v/>
      </c>
      <c r="K109" s="44"/>
      <c r="L109" s="44"/>
      <c r="M109" s="122"/>
      <c r="N109" s="4447"/>
      <c r="O109" s="4441"/>
      <c r="P109" s="122"/>
      <c r="Q109" s="1060" t="s">
        <v>3</v>
      </c>
      <c r="R109" s="574" t="b">
        <f t="shared" si="8"/>
        <v>0</v>
      </c>
      <c r="S109" s="44"/>
      <c r="T109" s="44"/>
      <c r="U109" s="122"/>
      <c r="V109" s="4447"/>
      <c r="W109" s="4468"/>
      <c r="X109" s="261"/>
      <c r="Y109" s="44"/>
      <c r="Z109" s="122"/>
    </row>
    <row r="110" spans="1:26" s="28" customFormat="1" ht="15.5" x14ac:dyDescent="0.3">
      <c r="B110" s="1504"/>
      <c r="C110" s="1717" t="s">
        <v>111</v>
      </c>
      <c r="D110" s="319" t="s">
        <v>3</v>
      </c>
      <c r="E110" s="67" t="b">
        <f t="shared" si="5"/>
        <v>0</v>
      </c>
      <c r="F110" s="44"/>
      <c r="G110" s="44" t="str">
        <f t="shared" si="9"/>
        <v/>
      </c>
      <c r="H110" s="44"/>
      <c r="I110" s="44"/>
      <c r="J110" s="44" t="str">
        <f t="shared" si="7"/>
        <v/>
      </c>
      <c r="K110" s="44"/>
      <c r="L110" s="44"/>
      <c r="M110" s="122"/>
      <c r="N110" s="4447"/>
      <c r="O110" s="4441"/>
      <c r="P110" s="122"/>
      <c r="Q110" s="1060" t="s">
        <v>3</v>
      </c>
      <c r="R110" s="574" t="b">
        <f t="shared" si="8"/>
        <v>0</v>
      </c>
      <c r="S110" s="44"/>
      <c r="T110" s="44"/>
      <c r="U110" s="122"/>
      <c r="V110" s="4447"/>
      <c r="W110" s="4468"/>
      <c r="X110" s="261"/>
      <c r="Y110" s="44"/>
      <c r="Z110" s="122"/>
    </row>
    <row r="111" spans="1:26" s="28" customFormat="1" ht="15.5" x14ac:dyDescent="0.3">
      <c r="B111" s="1504"/>
      <c r="C111" s="1717" t="s">
        <v>112</v>
      </c>
      <c r="D111" s="319" t="s">
        <v>3</v>
      </c>
      <c r="E111" s="67" t="b">
        <f t="shared" si="5"/>
        <v>0</v>
      </c>
      <c r="F111" s="44"/>
      <c r="G111" s="44" t="str">
        <f t="shared" si="9"/>
        <v/>
      </c>
      <c r="H111" s="44"/>
      <c r="I111" s="44"/>
      <c r="J111" s="44" t="str">
        <f t="shared" si="7"/>
        <v/>
      </c>
      <c r="K111" s="44"/>
      <c r="L111" s="44"/>
      <c r="M111" s="122"/>
      <c r="N111" s="4447"/>
      <c r="O111" s="4441"/>
      <c r="P111" s="122"/>
      <c r="Q111" s="1060" t="s">
        <v>3</v>
      </c>
      <c r="R111" s="574" t="b">
        <f t="shared" si="8"/>
        <v>0</v>
      </c>
      <c r="S111" s="44"/>
      <c r="T111" s="44"/>
      <c r="U111" s="122"/>
      <c r="V111" s="4447"/>
      <c r="W111" s="4468"/>
      <c r="X111" s="261"/>
      <c r="Y111" s="44"/>
      <c r="Z111" s="122"/>
    </row>
    <row r="112" spans="1:26" s="28" customFormat="1" ht="15.5" x14ac:dyDescent="0.3">
      <c r="B112" s="1504"/>
      <c r="C112" s="1717" t="s">
        <v>113</v>
      </c>
      <c r="D112" s="319" t="s">
        <v>3</v>
      </c>
      <c r="E112" s="67" t="b">
        <f t="shared" si="5"/>
        <v>0</v>
      </c>
      <c r="F112" s="44"/>
      <c r="G112" s="44" t="str">
        <f t="shared" si="9"/>
        <v/>
      </c>
      <c r="H112" s="44"/>
      <c r="I112" s="44"/>
      <c r="J112" s="44" t="str">
        <f t="shared" si="7"/>
        <v/>
      </c>
      <c r="K112" s="44"/>
      <c r="L112" s="44"/>
      <c r="M112" s="122"/>
      <c r="N112" s="4447"/>
      <c r="O112" s="4441"/>
      <c r="P112" s="122"/>
      <c r="Q112" s="1060" t="s">
        <v>3</v>
      </c>
      <c r="R112" s="574" t="b">
        <f t="shared" si="8"/>
        <v>0</v>
      </c>
      <c r="S112" s="44"/>
      <c r="T112" s="44"/>
      <c r="U112" s="122"/>
      <c r="V112" s="4447"/>
      <c r="W112" s="4468"/>
      <c r="X112" s="261"/>
      <c r="Y112" s="44"/>
      <c r="Z112" s="122"/>
    </row>
    <row r="113" spans="2:26" s="28" customFormat="1" ht="29" x14ac:dyDescent="0.3">
      <c r="B113" s="1504"/>
      <c r="C113" s="1717" t="s">
        <v>114</v>
      </c>
      <c r="D113" s="319" t="s">
        <v>3</v>
      </c>
      <c r="E113" s="67" t="b">
        <f t="shared" si="5"/>
        <v>0</v>
      </c>
      <c r="F113" s="44"/>
      <c r="G113" s="44" t="str">
        <f t="shared" si="9"/>
        <v/>
      </c>
      <c r="H113" s="44"/>
      <c r="I113" s="44"/>
      <c r="J113" s="44" t="str">
        <f t="shared" si="7"/>
        <v/>
      </c>
      <c r="K113" s="44"/>
      <c r="L113" s="44"/>
      <c r="M113" s="122"/>
      <c r="N113" s="4447"/>
      <c r="O113" s="4441"/>
      <c r="P113" s="122"/>
      <c r="Q113" s="1060" t="s">
        <v>3</v>
      </c>
      <c r="R113" s="574" t="b">
        <f t="shared" si="8"/>
        <v>0</v>
      </c>
      <c r="S113" s="44"/>
      <c r="T113" s="44"/>
      <c r="U113" s="122"/>
      <c r="V113" s="4447"/>
      <c r="W113" s="4468"/>
      <c r="X113" s="261"/>
      <c r="Y113" s="44"/>
      <c r="Z113" s="122"/>
    </row>
    <row r="114" spans="2:26" s="28" customFormat="1" ht="29" x14ac:dyDescent="0.3">
      <c r="B114" s="1504"/>
      <c r="C114" s="1717" t="s">
        <v>116</v>
      </c>
      <c r="D114" s="319" t="s">
        <v>3</v>
      </c>
      <c r="E114" s="67" t="b">
        <f t="shared" si="5"/>
        <v>0</v>
      </c>
      <c r="F114" s="44"/>
      <c r="G114" s="44" t="str">
        <f t="shared" si="9"/>
        <v/>
      </c>
      <c r="H114" s="44"/>
      <c r="I114" s="44"/>
      <c r="J114" s="44" t="str">
        <f t="shared" si="7"/>
        <v/>
      </c>
      <c r="K114" s="44"/>
      <c r="L114" s="44"/>
      <c r="M114" s="122"/>
      <c r="N114" s="4447"/>
      <c r="O114" s="4441"/>
      <c r="P114" s="122"/>
      <c r="Q114" s="1060" t="s">
        <v>3</v>
      </c>
      <c r="R114" s="574" t="b">
        <f t="shared" si="8"/>
        <v>0</v>
      </c>
      <c r="S114" s="44"/>
      <c r="T114" s="44"/>
      <c r="U114" s="122"/>
      <c r="V114" s="4447"/>
      <c r="W114" s="4468"/>
      <c r="X114" s="261"/>
      <c r="Y114" s="44"/>
      <c r="Z114" s="122"/>
    </row>
    <row r="115" spans="2:26" s="28" customFormat="1" ht="29" x14ac:dyDescent="0.3">
      <c r="B115" s="1504"/>
      <c r="C115" s="1717" t="s">
        <v>117</v>
      </c>
      <c r="D115" s="319" t="s">
        <v>3</v>
      </c>
      <c r="E115" s="67" t="b">
        <f t="shared" si="5"/>
        <v>0</v>
      </c>
      <c r="F115" s="44"/>
      <c r="G115" s="44" t="str">
        <f t="shared" si="9"/>
        <v/>
      </c>
      <c r="H115" s="44"/>
      <c r="I115" s="44"/>
      <c r="J115" s="44" t="str">
        <f t="shared" si="7"/>
        <v/>
      </c>
      <c r="K115" s="44"/>
      <c r="L115" s="44"/>
      <c r="M115" s="122"/>
      <c r="N115" s="4447"/>
      <c r="O115" s="4441"/>
      <c r="P115" s="122"/>
      <c r="Q115" s="1060" t="s">
        <v>3</v>
      </c>
      <c r="R115" s="574" t="b">
        <f t="shared" si="8"/>
        <v>0</v>
      </c>
      <c r="S115" s="44"/>
      <c r="T115" s="44"/>
      <c r="U115" s="122"/>
      <c r="V115" s="4447"/>
      <c r="W115" s="4468"/>
      <c r="X115" s="261"/>
      <c r="Y115" s="44"/>
      <c r="Z115" s="122"/>
    </row>
    <row r="116" spans="2:26" s="28" customFormat="1" ht="29" x14ac:dyDescent="0.3">
      <c r="B116" s="1504"/>
      <c r="C116" s="1717" t="s">
        <v>1753</v>
      </c>
      <c r="D116" s="319" t="s">
        <v>3</v>
      </c>
      <c r="E116" s="67" t="b">
        <f t="shared" si="5"/>
        <v>0</v>
      </c>
      <c r="F116" s="44"/>
      <c r="G116" s="44" t="str">
        <f t="shared" si="9"/>
        <v/>
      </c>
      <c r="H116" s="44"/>
      <c r="I116" s="44"/>
      <c r="J116" s="44" t="str">
        <f t="shared" si="7"/>
        <v/>
      </c>
      <c r="K116" s="44"/>
      <c r="L116" s="44"/>
      <c r="M116" s="122"/>
      <c r="N116" s="4447"/>
      <c r="O116" s="4441"/>
      <c r="P116" s="122"/>
      <c r="Q116" s="1060" t="s">
        <v>3</v>
      </c>
      <c r="R116" s="574" t="b">
        <f t="shared" si="8"/>
        <v>0</v>
      </c>
      <c r="S116" s="44"/>
      <c r="T116" s="44"/>
      <c r="U116" s="122"/>
      <c r="V116" s="4447"/>
      <c r="W116" s="4468"/>
      <c r="X116" s="261"/>
      <c r="Y116" s="44"/>
      <c r="Z116" s="122"/>
    </row>
    <row r="117" spans="2:26" s="28" customFormat="1" ht="29" x14ac:dyDescent="0.3">
      <c r="B117" s="1504"/>
      <c r="C117" s="1717" t="s">
        <v>1754</v>
      </c>
      <c r="D117" s="319" t="s">
        <v>3</v>
      </c>
      <c r="E117" s="67" t="b">
        <f t="shared" si="5"/>
        <v>0</v>
      </c>
      <c r="F117" s="44"/>
      <c r="G117" s="44" t="str">
        <f t="shared" si="9"/>
        <v/>
      </c>
      <c r="H117" s="44"/>
      <c r="I117" s="44"/>
      <c r="J117" s="44" t="str">
        <f t="shared" si="7"/>
        <v/>
      </c>
      <c r="K117" s="44"/>
      <c r="L117" s="44"/>
      <c r="M117" s="122"/>
      <c r="N117" s="4447"/>
      <c r="O117" s="4441"/>
      <c r="P117" s="122"/>
      <c r="Q117" s="1060" t="s">
        <v>3</v>
      </c>
      <c r="R117" s="574" t="b">
        <f t="shared" si="8"/>
        <v>0</v>
      </c>
      <c r="S117" s="44"/>
      <c r="T117" s="44"/>
      <c r="U117" s="122"/>
      <c r="V117" s="4447"/>
      <c r="W117" s="4468"/>
      <c r="X117" s="261"/>
      <c r="Y117" s="44"/>
      <c r="Z117" s="122"/>
    </row>
    <row r="118" spans="2:26" s="28" customFormat="1" ht="29" x14ac:dyDescent="0.3">
      <c r="B118" s="1504"/>
      <c r="C118" s="1717" t="s">
        <v>1780</v>
      </c>
      <c r="D118" s="319" t="s">
        <v>3</v>
      </c>
      <c r="E118" s="67" t="b">
        <f t="shared" si="5"/>
        <v>0</v>
      </c>
      <c r="F118" s="44"/>
      <c r="G118" s="44" t="str">
        <f t="shared" si="9"/>
        <v/>
      </c>
      <c r="H118" s="44"/>
      <c r="I118" s="44"/>
      <c r="J118" s="44" t="str">
        <f t="shared" si="7"/>
        <v/>
      </c>
      <c r="K118" s="44"/>
      <c r="L118" s="44"/>
      <c r="M118" s="122"/>
      <c r="N118" s="4447"/>
      <c r="O118" s="4441"/>
      <c r="P118" s="122"/>
      <c r="Q118" s="1060" t="s">
        <v>3</v>
      </c>
      <c r="R118" s="574" t="b">
        <f t="shared" si="8"/>
        <v>0</v>
      </c>
      <c r="S118" s="44"/>
      <c r="T118" s="44"/>
      <c r="U118" s="122"/>
      <c r="V118" s="4447"/>
      <c r="W118" s="4468"/>
      <c r="X118" s="261"/>
      <c r="Y118" s="44"/>
      <c r="Z118" s="122"/>
    </row>
    <row r="119" spans="2:26" s="28" customFormat="1" ht="29" x14ac:dyDescent="0.3">
      <c r="B119" s="1504"/>
      <c r="C119" s="1717" t="s">
        <v>1779</v>
      </c>
      <c r="D119" s="319" t="s">
        <v>3</v>
      </c>
      <c r="E119" s="67" t="b">
        <f t="shared" si="5"/>
        <v>0</v>
      </c>
      <c r="F119" s="44"/>
      <c r="G119" s="44" t="str">
        <f t="shared" si="9"/>
        <v/>
      </c>
      <c r="H119" s="44"/>
      <c r="I119" s="44"/>
      <c r="J119" s="44" t="str">
        <f t="shared" si="7"/>
        <v/>
      </c>
      <c r="K119" s="44"/>
      <c r="L119" s="44"/>
      <c r="M119" s="122"/>
      <c r="N119" s="4447"/>
      <c r="O119" s="4441"/>
      <c r="P119" s="122"/>
      <c r="Q119" s="1060" t="s">
        <v>3</v>
      </c>
      <c r="R119" s="574" t="b">
        <f t="shared" si="8"/>
        <v>0</v>
      </c>
      <c r="S119" s="44"/>
      <c r="T119" s="44"/>
      <c r="U119" s="122"/>
      <c r="V119" s="4447"/>
      <c r="W119" s="4468"/>
      <c r="X119" s="261"/>
      <c r="Y119" s="44"/>
      <c r="Z119" s="122"/>
    </row>
    <row r="120" spans="2:26" s="28" customFormat="1" ht="29" x14ac:dyDescent="0.3">
      <c r="B120" s="1504"/>
      <c r="C120" s="1717" t="s">
        <v>125</v>
      </c>
      <c r="D120" s="319" t="s">
        <v>3</v>
      </c>
      <c r="E120" s="67" t="b">
        <f t="shared" si="5"/>
        <v>0</v>
      </c>
      <c r="F120" s="44"/>
      <c r="G120" s="44" t="str">
        <f t="shared" si="9"/>
        <v/>
      </c>
      <c r="H120" s="44"/>
      <c r="I120" s="44"/>
      <c r="J120" s="44" t="str">
        <f t="shared" si="7"/>
        <v/>
      </c>
      <c r="K120" s="44"/>
      <c r="L120" s="44"/>
      <c r="M120" s="122"/>
      <c r="N120" s="4447"/>
      <c r="O120" s="4441"/>
      <c r="P120" s="122"/>
      <c r="Q120" s="1060" t="s">
        <v>3</v>
      </c>
      <c r="R120" s="574" t="b">
        <f t="shared" si="8"/>
        <v>0</v>
      </c>
      <c r="S120" s="44"/>
      <c r="T120" s="44"/>
      <c r="U120" s="122"/>
      <c r="V120" s="4447"/>
      <c r="W120" s="4468"/>
      <c r="X120" s="261"/>
      <c r="Y120" s="44"/>
      <c r="Z120" s="122"/>
    </row>
    <row r="121" spans="2:26" s="28" customFormat="1" ht="43.5" x14ac:dyDescent="0.3">
      <c r="B121" s="1504"/>
      <c r="C121" s="1717" t="s">
        <v>128</v>
      </c>
      <c r="D121" s="319" t="s">
        <v>3</v>
      </c>
      <c r="E121" s="67" t="b">
        <f t="shared" si="5"/>
        <v>0</v>
      </c>
      <c r="F121" s="44"/>
      <c r="G121" s="44" t="str">
        <f t="shared" si="9"/>
        <v/>
      </c>
      <c r="H121" s="44"/>
      <c r="I121" s="44"/>
      <c r="J121" s="44" t="str">
        <f t="shared" si="7"/>
        <v/>
      </c>
      <c r="K121" s="44"/>
      <c r="L121" s="44"/>
      <c r="M121" s="122"/>
      <c r="N121" s="4447"/>
      <c r="O121" s="4441"/>
      <c r="P121" s="122"/>
      <c r="Q121" s="1060" t="s">
        <v>3</v>
      </c>
      <c r="R121" s="574" t="b">
        <f t="shared" si="8"/>
        <v>0</v>
      </c>
      <c r="S121" s="44"/>
      <c r="T121" s="44"/>
      <c r="U121" s="122"/>
      <c r="V121" s="4447"/>
      <c r="W121" s="4468"/>
      <c r="X121" s="261"/>
      <c r="Y121" s="44"/>
      <c r="Z121" s="122"/>
    </row>
    <row r="122" spans="2:26" s="28" customFormat="1" ht="29" x14ac:dyDescent="0.3">
      <c r="B122" s="1504"/>
      <c r="C122" s="1717" t="s">
        <v>1752</v>
      </c>
      <c r="D122" s="319" t="s">
        <v>3</v>
      </c>
      <c r="E122" s="67" t="b">
        <f t="shared" si="5"/>
        <v>0</v>
      </c>
      <c r="F122" s="44"/>
      <c r="G122" s="44" t="str">
        <f t="shared" si="9"/>
        <v/>
      </c>
      <c r="H122" s="44"/>
      <c r="I122" s="44"/>
      <c r="J122" s="44" t="str">
        <f t="shared" si="7"/>
        <v/>
      </c>
      <c r="K122" s="44"/>
      <c r="L122" s="44"/>
      <c r="M122" s="122"/>
      <c r="N122" s="4447"/>
      <c r="O122" s="4441"/>
      <c r="P122" s="122"/>
      <c r="Q122" s="1060" t="s">
        <v>3</v>
      </c>
      <c r="R122" s="574" t="b">
        <f t="shared" si="8"/>
        <v>0</v>
      </c>
      <c r="S122" s="44"/>
      <c r="T122" s="44"/>
      <c r="U122" s="122"/>
      <c r="V122" s="4447"/>
      <c r="W122" s="4468"/>
      <c r="X122" s="261"/>
      <c r="Y122" s="44"/>
      <c r="Z122" s="122"/>
    </row>
    <row r="123" spans="2:26" s="28" customFormat="1" ht="29" x14ac:dyDescent="0.3">
      <c r="B123" s="1504"/>
      <c r="C123" s="1717" t="s">
        <v>1751</v>
      </c>
      <c r="D123" s="319" t="s">
        <v>3</v>
      </c>
      <c r="E123" s="67" t="b">
        <f t="shared" si="5"/>
        <v>0</v>
      </c>
      <c r="F123" s="44"/>
      <c r="G123" s="44" t="str">
        <f t="shared" si="9"/>
        <v/>
      </c>
      <c r="H123" s="44"/>
      <c r="I123" s="44"/>
      <c r="J123" s="44" t="str">
        <f t="shared" si="7"/>
        <v/>
      </c>
      <c r="K123" s="44"/>
      <c r="L123" s="44"/>
      <c r="M123" s="122"/>
      <c r="N123" s="4447"/>
      <c r="O123" s="4441"/>
      <c r="P123" s="122"/>
      <c r="Q123" s="1060" t="s">
        <v>3</v>
      </c>
      <c r="R123" s="574" t="b">
        <f t="shared" si="8"/>
        <v>0</v>
      </c>
      <c r="S123" s="44"/>
      <c r="T123" s="44"/>
      <c r="U123" s="122"/>
      <c r="V123" s="4447"/>
      <c r="W123" s="4468"/>
      <c r="X123" s="261"/>
      <c r="Y123" s="44"/>
      <c r="Z123" s="122"/>
    </row>
    <row r="124" spans="2:26" s="28" customFormat="1" ht="29" x14ac:dyDescent="0.3">
      <c r="B124" s="1504"/>
      <c r="C124" s="1717" t="s">
        <v>1778</v>
      </c>
      <c r="D124" s="319" t="s">
        <v>3</v>
      </c>
      <c r="E124" s="67" t="b">
        <f t="shared" si="5"/>
        <v>0</v>
      </c>
      <c r="F124" s="44"/>
      <c r="G124" s="44" t="str">
        <f t="shared" si="9"/>
        <v/>
      </c>
      <c r="H124" s="44"/>
      <c r="I124" s="44"/>
      <c r="J124" s="44" t="str">
        <f t="shared" si="7"/>
        <v/>
      </c>
      <c r="K124" s="44"/>
      <c r="L124" s="44"/>
      <c r="M124" s="122"/>
      <c r="N124" s="4447"/>
      <c r="O124" s="4441"/>
      <c r="P124" s="122"/>
      <c r="Q124" s="1060" t="s">
        <v>3</v>
      </c>
      <c r="R124" s="574" t="b">
        <f t="shared" si="8"/>
        <v>0</v>
      </c>
      <c r="S124" s="44"/>
      <c r="T124" s="44"/>
      <c r="U124" s="122"/>
      <c r="V124" s="4447"/>
      <c r="W124" s="4468"/>
      <c r="X124" s="261"/>
      <c r="Y124" s="44"/>
      <c r="Z124" s="122"/>
    </row>
    <row r="125" spans="2:26" s="28" customFormat="1" ht="58" x14ac:dyDescent="0.3">
      <c r="B125" s="1504"/>
      <c r="C125" s="1717" t="s">
        <v>134</v>
      </c>
      <c r="D125" s="319" t="s">
        <v>3</v>
      </c>
      <c r="E125" s="67" t="b">
        <f t="shared" si="5"/>
        <v>0</v>
      </c>
      <c r="F125" s="44"/>
      <c r="G125" s="44" t="str">
        <f t="shared" si="9"/>
        <v/>
      </c>
      <c r="H125" s="44"/>
      <c r="I125" s="44"/>
      <c r="J125" s="44" t="str">
        <f t="shared" si="7"/>
        <v/>
      </c>
      <c r="K125" s="44"/>
      <c r="L125" s="44"/>
      <c r="M125" s="122"/>
      <c r="N125" s="4447"/>
      <c r="O125" s="4441"/>
      <c r="P125" s="122"/>
      <c r="Q125" s="1060" t="s">
        <v>3</v>
      </c>
      <c r="R125" s="574" t="b">
        <f t="shared" si="8"/>
        <v>0</v>
      </c>
      <c r="S125" s="44"/>
      <c r="T125" s="44"/>
      <c r="U125" s="122"/>
      <c r="V125" s="4447"/>
      <c r="W125" s="4468"/>
      <c r="X125" s="261"/>
      <c r="Y125" s="44"/>
      <c r="Z125" s="122"/>
    </row>
    <row r="126" spans="2:26" s="28" customFormat="1" ht="29" x14ac:dyDescent="0.3">
      <c r="B126" s="1504"/>
      <c r="C126" s="1717" t="s">
        <v>1749</v>
      </c>
      <c r="D126" s="319" t="s">
        <v>3</v>
      </c>
      <c r="E126" s="67" t="b">
        <f t="shared" si="5"/>
        <v>0</v>
      </c>
      <c r="F126" s="44"/>
      <c r="G126" s="44" t="str">
        <f t="shared" si="9"/>
        <v/>
      </c>
      <c r="H126" s="44"/>
      <c r="I126" s="44"/>
      <c r="J126" s="44" t="str">
        <f t="shared" si="7"/>
        <v/>
      </c>
      <c r="K126" s="44"/>
      <c r="L126" s="44"/>
      <c r="M126" s="122"/>
      <c r="N126" s="4447"/>
      <c r="O126" s="4441"/>
      <c r="P126" s="122"/>
      <c r="Q126" s="1060" t="s">
        <v>3</v>
      </c>
      <c r="R126" s="574" t="b">
        <f t="shared" si="8"/>
        <v>0</v>
      </c>
      <c r="S126" s="44"/>
      <c r="T126" s="44"/>
      <c r="U126" s="122"/>
      <c r="V126" s="4447"/>
      <c r="W126" s="4468"/>
      <c r="X126" s="261"/>
      <c r="Y126" s="44"/>
      <c r="Z126" s="122"/>
    </row>
    <row r="127" spans="2:26" s="28" customFormat="1" ht="29" x14ac:dyDescent="0.3">
      <c r="B127" s="1504"/>
      <c r="C127" s="1717" t="s">
        <v>138</v>
      </c>
      <c r="D127" s="319" t="s">
        <v>3</v>
      </c>
      <c r="E127" s="67" t="b">
        <f t="shared" si="5"/>
        <v>0</v>
      </c>
      <c r="F127" s="44"/>
      <c r="G127" s="44" t="str">
        <f t="shared" si="9"/>
        <v/>
      </c>
      <c r="H127" s="44"/>
      <c r="I127" s="44"/>
      <c r="J127" s="44" t="str">
        <f t="shared" si="7"/>
        <v/>
      </c>
      <c r="K127" s="44"/>
      <c r="L127" s="44"/>
      <c r="M127" s="122"/>
      <c r="N127" s="4447"/>
      <c r="O127" s="4441"/>
      <c r="P127" s="122"/>
      <c r="Q127" s="1060" t="s">
        <v>3</v>
      </c>
      <c r="R127" s="574" t="b">
        <f t="shared" si="8"/>
        <v>0</v>
      </c>
      <c r="S127" s="44"/>
      <c r="T127" s="44"/>
      <c r="U127" s="122"/>
      <c r="V127" s="4447"/>
      <c r="W127" s="4468"/>
      <c r="X127" s="261"/>
      <c r="Y127" s="44"/>
      <c r="Z127" s="122"/>
    </row>
    <row r="128" spans="2:26" s="28" customFormat="1" ht="43.5" x14ac:dyDescent="0.3">
      <c r="B128" s="1504"/>
      <c r="C128" s="1717" t="s">
        <v>139</v>
      </c>
      <c r="D128" s="319" t="s">
        <v>3</v>
      </c>
      <c r="E128" s="67" t="b">
        <f t="shared" si="5"/>
        <v>0</v>
      </c>
      <c r="F128" s="44"/>
      <c r="G128" s="44" t="str">
        <f t="shared" si="9"/>
        <v/>
      </c>
      <c r="H128" s="44"/>
      <c r="I128" s="44"/>
      <c r="J128" s="44" t="str">
        <f t="shared" si="7"/>
        <v/>
      </c>
      <c r="K128" s="44"/>
      <c r="L128" s="44"/>
      <c r="M128" s="122"/>
      <c r="N128" s="4447"/>
      <c r="O128" s="4441"/>
      <c r="P128" s="122"/>
      <c r="Q128" s="1060" t="s">
        <v>3</v>
      </c>
      <c r="R128" s="574" t="b">
        <f t="shared" si="8"/>
        <v>0</v>
      </c>
      <c r="S128" s="44"/>
      <c r="T128" s="44"/>
      <c r="U128" s="122"/>
      <c r="V128" s="4447"/>
      <c r="W128" s="4468"/>
      <c r="X128" s="261"/>
      <c r="Y128" s="44"/>
      <c r="Z128" s="122"/>
    </row>
    <row r="129" spans="1:26" s="28" customFormat="1" ht="43.5" x14ac:dyDescent="0.3">
      <c r="B129" s="1504"/>
      <c r="C129" s="1717" t="s">
        <v>140</v>
      </c>
      <c r="D129" s="319" t="s">
        <v>3</v>
      </c>
      <c r="E129" s="67" t="b">
        <f t="shared" si="5"/>
        <v>0</v>
      </c>
      <c r="F129" s="44"/>
      <c r="G129" s="44" t="str">
        <f t="shared" si="9"/>
        <v/>
      </c>
      <c r="H129" s="44"/>
      <c r="I129" s="44"/>
      <c r="J129" s="44" t="str">
        <f t="shared" si="7"/>
        <v/>
      </c>
      <c r="K129" s="44"/>
      <c r="L129" s="44"/>
      <c r="M129" s="122"/>
      <c r="N129" s="4447"/>
      <c r="O129" s="4441"/>
      <c r="P129" s="122"/>
      <c r="Q129" s="1060" t="s">
        <v>3</v>
      </c>
      <c r="R129" s="574" t="b">
        <f t="shared" si="8"/>
        <v>0</v>
      </c>
      <c r="S129" s="44"/>
      <c r="T129" s="44"/>
      <c r="U129" s="122"/>
      <c r="V129" s="4447"/>
      <c r="W129" s="4468"/>
      <c r="X129" s="261"/>
      <c r="Y129" s="44"/>
      <c r="Z129" s="122"/>
    </row>
    <row r="130" spans="1:26" s="28" customFormat="1" ht="29" x14ac:dyDescent="0.3">
      <c r="B130" s="1504"/>
      <c r="C130" s="1717" t="s">
        <v>1747</v>
      </c>
      <c r="D130" s="319" t="s">
        <v>3</v>
      </c>
      <c r="E130" s="67" t="b">
        <f t="shared" si="5"/>
        <v>0</v>
      </c>
      <c r="F130" s="44"/>
      <c r="G130" s="44" t="str">
        <f t="shared" si="9"/>
        <v/>
      </c>
      <c r="H130" s="44"/>
      <c r="I130" s="44"/>
      <c r="J130" s="44" t="str">
        <f t="shared" si="7"/>
        <v/>
      </c>
      <c r="K130" s="44"/>
      <c r="L130" s="44"/>
      <c r="M130" s="122"/>
      <c r="N130" s="4447"/>
      <c r="O130" s="4441"/>
      <c r="P130" s="122"/>
      <c r="Q130" s="1060" t="s">
        <v>3</v>
      </c>
      <c r="R130" s="574" t="b">
        <f t="shared" si="8"/>
        <v>0</v>
      </c>
      <c r="S130" s="44"/>
      <c r="T130" s="44"/>
      <c r="U130" s="122"/>
      <c r="V130" s="4447"/>
      <c r="W130" s="4468"/>
      <c r="X130" s="261"/>
      <c r="Y130" s="44"/>
      <c r="Z130" s="122"/>
    </row>
    <row r="131" spans="1:26" s="28" customFormat="1" ht="16" thickBot="1" x14ac:dyDescent="0.35">
      <c r="B131" s="1505"/>
      <c r="C131" s="1800" t="s">
        <v>142</v>
      </c>
      <c r="D131" s="230" t="s">
        <v>3</v>
      </c>
      <c r="E131" s="161" t="b">
        <f t="shared" si="5"/>
        <v>0</v>
      </c>
      <c r="F131" s="124"/>
      <c r="G131" s="124" t="str">
        <f t="shared" si="9"/>
        <v/>
      </c>
      <c r="H131" s="124"/>
      <c r="I131" s="124"/>
      <c r="J131" s="124" t="str">
        <f t="shared" si="7"/>
        <v/>
      </c>
      <c r="K131" s="124"/>
      <c r="L131" s="124"/>
      <c r="M131" s="125"/>
      <c r="N131" s="4448"/>
      <c r="O131" s="4442"/>
      <c r="P131" s="125"/>
      <c r="Q131" s="1017" t="s">
        <v>3</v>
      </c>
      <c r="R131" s="922" t="b">
        <f t="shared" si="8"/>
        <v>0</v>
      </c>
      <c r="S131" s="124"/>
      <c r="T131" s="124"/>
      <c r="U131" s="125"/>
      <c r="V131" s="4448"/>
      <c r="W131" s="4660"/>
      <c r="X131" s="1555"/>
      <c r="Y131" s="124"/>
      <c r="Z131" s="125"/>
    </row>
    <row r="132" spans="1:26" s="3634" customFormat="1" ht="15" thickTop="1" x14ac:dyDescent="0.3">
      <c r="A132" s="3679"/>
      <c r="B132" s="3679"/>
      <c r="V132" s="3635"/>
    </row>
    <row r="133" spans="1:26" s="3650" customFormat="1" ht="18.5" x14ac:dyDescent="0.3">
      <c r="A133" s="4482" t="s">
        <v>1245</v>
      </c>
      <c r="B133" s="4483"/>
      <c r="C133" s="4483"/>
      <c r="D133" s="4483"/>
      <c r="E133" s="4483"/>
      <c r="F133" s="4483"/>
      <c r="G133" s="4483"/>
      <c r="H133" s="4483"/>
      <c r="I133" s="4483"/>
      <c r="J133" s="4483"/>
      <c r="K133" s="4483"/>
      <c r="L133" s="4483"/>
      <c r="M133" s="4483"/>
      <c r="N133" s="4483"/>
      <c r="O133" s="3669"/>
      <c r="P133" s="3683"/>
      <c r="Q133" s="3683"/>
      <c r="R133" s="3683"/>
      <c r="S133" s="3684"/>
      <c r="T133" s="3685"/>
      <c r="U133" s="3685"/>
      <c r="V133" s="3669"/>
      <c r="W133" s="3683"/>
      <c r="X133" s="3683"/>
      <c r="Y133" s="3684"/>
      <c r="Z133" s="3685"/>
    </row>
    <row r="134" spans="1:26" s="3634" customFormat="1" ht="15" thickBot="1" x14ac:dyDescent="0.35">
      <c r="A134" s="3638"/>
      <c r="B134" s="3638"/>
      <c r="C134" s="3638"/>
      <c r="D134" s="3638"/>
      <c r="E134" s="3638"/>
      <c r="F134" s="3638"/>
      <c r="G134" s="3638"/>
      <c r="H134" s="3638"/>
      <c r="I134" s="3638"/>
      <c r="J134" s="3638"/>
      <c r="K134" s="3638"/>
      <c r="L134" s="3740"/>
      <c r="M134" s="3638"/>
      <c r="N134" s="3638"/>
      <c r="V134" s="3635"/>
    </row>
    <row r="135" spans="1:26" s="1414" customFormat="1" ht="44.5" thickTop="1" thickBot="1" x14ac:dyDescent="0.35">
      <c r="A135" s="2990" t="s">
        <v>205</v>
      </c>
      <c r="B135" s="1509"/>
      <c r="C135" s="3024" t="s">
        <v>1796</v>
      </c>
      <c r="D135" s="3029" t="s">
        <v>565</v>
      </c>
      <c r="E135" s="2919" t="b">
        <f>IF(AND(E136=TRUE,E145=TRUE),TRUE,FALSE)</f>
        <v>0</v>
      </c>
      <c r="F135" s="2919">
        <f>SUM(F136,F145)</f>
        <v>0</v>
      </c>
      <c r="G135" s="2919">
        <f>SUM(G136,G145)</f>
        <v>0</v>
      </c>
      <c r="H135" s="2919">
        <f>SUM(H136,H145)</f>
        <v>0</v>
      </c>
      <c r="I135" s="1519" t="str">
        <f xml:space="preserve">
IF(F135&gt;18,"Too Many Entries - Check Red Lines",
IF(G135&lt;F135,"Valid Entry required below - Check Amber Line/s",
IF(AND(E135=FALSE,G135=0,H135=0),"Nothing Entered below Yet",
IF(G135&lt;F135,"Valid Entry required below - Check Amber Line/s",
IF(AND(G135=0,H135&gt;0),"**Non-Valid Entry/ies below - Check Yellow Line/s",
IF(AND(G135&gt;0,H135&gt;0),"**Valid and Non-Valid Entries made below - Check Yellow Line/s",
IF(AND(E135=FALSE,F135&lt;18),"Not all requirements addressed below - Check Pink Line/s",
IF(AND(E135=FALSE,G135&lt;18,G135&gt;0,H135=0),"More entries to come",
IF(AND(E135,TRUE,G135=18,H135=0),"Valid Entries made below"
)))))))))</f>
        <v>Nothing Entered below Yet</v>
      </c>
      <c r="J135" s="3030">
        <f>SUM(J136,J145)</f>
        <v>0</v>
      </c>
      <c r="K135" s="3030">
        <f>SUM(K136,K145)</f>
        <v>0</v>
      </c>
      <c r="L135" s="1946" t="str">
        <f xml:space="preserve">
IF(J135&gt;18,"Too Many Entries - Check Red Lines",
IF(J135&lt;F135,"Valid Entry required below - Check Amber Line/s",
IF(AND(E135=FALSE,J135=0,K135=0),"Nothing Entered below Yet",
IF(AND(J135=0,K135&gt;0),"**Non-Valid Entry/ies below - Check Yellow Line/s",
IF(AND(J135&gt;0,K135&gt;0),"**Valid and Non-Valid Entries made below - Check Yellow Line/s",
IF(AND(E135=FALSE,J135&lt;18),"Not all requirements addressed below - Check Pink Line/s",
IF(AND(E135=FALSE,J135&lt;18,J135&gt;0,K135=0),"More entries to come",
IF(AND(E135,TRUE,J135=18,K135=0),"Valid Entries made below"
))))))))</f>
        <v>Nothing Entered below Yet</v>
      </c>
      <c r="M135" s="2674"/>
      <c r="N135" s="4138" t="s">
        <v>565</v>
      </c>
      <c r="O135" s="748" t="b">
        <f>IF(AND(O136=TRUE,O145=TRUE),TRUE,FALSE)</f>
        <v>0</v>
      </c>
      <c r="P135" s="2663"/>
      <c r="Q135" s="4138" t="s">
        <v>565</v>
      </c>
      <c r="R135" s="816" t="b">
        <f>IF(AND(R136=TRUE,R145=TRUE),TRUE,FALSE)</f>
        <v>0</v>
      </c>
      <c r="S135" s="2675"/>
      <c r="T135" s="2675"/>
      <c r="U135" s="2676"/>
      <c r="V135" s="4201" t="s">
        <v>565</v>
      </c>
      <c r="W135" s="335" t="b">
        <f>IF(AND(W136=TRUE,W145=TRUE),TRUE,FALSE)</f>
        <v>0</v>
      </c>
      <c r="X135" s="336"/>
      <c r="Y135" s="2675"/>
      <c r="Z135" s="2676"/>
    </row>
    <row r="136" spans="1:26" s="1414" customFormat="1" ht="29.5" thickTop="1" x14ac:dyDescent="0.3">
      <c r="A136" s="1751" t="s">
        <v>207</v>
      </c>
      <c r="B136" s="2065"/>
      <c r="C136" s="2175" t="s">
        <v>877</v>
      </c>
      <c r="D136" s="2037" t="s">
        <v>565</v>
      </c>
      <c r="E136" s="1514" t="b">
        <f>IF(AND(E137=TRUE,E138=TRUE,E139=TRUE,E140=TRUE,E141=TRUE,E142=TRUE,E143=TRUE,E144=TRUE),TRUE,FALSE)</f>
        <v>0</v>
      </c>
      <c r="F136" s="1514">
        <f>COUNTIF(E137:E144,TRUE)</f>
        <v>0</v>
      </c>
      <c r="G136" s="1514">
        <f>COUNTIFS(E137:E144,TRUE,G137:G144,"Not Blank")</f>
        <v>0</v>
      </c>
      <c r="H136" s="1514">
        <f>COUNTIFS(E137:E144,FALSE,G137:G144,"Not Blank")</f>
        <v>0</v>
      </c>
      <c r="I136" s="2155" t="str">
        <f xml:space="preserve">
IF(F136&gt;8,"Too Many Entries - Check Red Lines",
IF(G136&lt;F136,"Valid Entry required below - Check Amber Line/s",
IF(AND(E136=FALSE,G136=0,H136=0),"Nothing Entered below Yet",
IF(G136&lt;F136,"Valid Entry required below - Check Amber Line/s",
IF(AND(G136=0,H136&gt;0),"**Non-Valid Entry/ies below - Check Yellow Line/s",
IF(AND(G136&gt;0,H136&gt;0),"**Valid and Non-Valid Entries made below - Check Yellow Line/s",
IF(AND(E136=FALSE,F136&lt;8),"Not all requirements addressed below - Check Pink Line/s",
IF(AND(E136=FALSE,G136&lt;8,G136&gt;0,H136=0),"More entries to come",
IF(AND(E136,TRUE,G136=8,H136=0),"Valid Entries made below"
)))))))))</f>
        <v>Nothing Entered below Yet</v>
      </c>
      <c r="J136" s="1514">
        <f>COUNTIFS(E137:E144,TRUE,J137:J144,"Not Blank")</f>
        <v>0</v>
      </c>
      <c r="K136" s="1514">
        <f>COUNTIFS(E137:E144,FALSE,J137:J144,"Not Blank")</f>
        <v>0</v>
      </c>
      <c r="L136" s="2155" t="str">
        <f xml:space="preserve">
IF(J136&gt;8,"Too Many Entries - Check Red Lines",
IF(J136&lt;F136,"Valid Entry required below - Check Amber Line/s",
IF(AND(E136=FALSE,J136=0,K136=0),"Nothing Entered below Yet",
IF(AND(J136=0,K136&gt;0),"**Non-Valid Entry/ies below - Check Yellow Line/s",
IF(AND(J136&gt;0,K136&gt;0),"**Valid and Non-Valid Entries made below - Check Yellow Line/s",
IF(AND(E136=FALSE,J136&lt;8),"Not all requirements addressed below - Check Pink Line/s",
IF(AND(E136=FALSE,J136&lt;8,J136&gt;0,K136=0),"More entries to come",
IF(AND(E136,TRUE,J136=8,K136=0),"Valid Entries made below"
))))))))</f>
        <v>Nothing Entered below Yet</v>
      </c>
      <c r="M136" s="807"/>
      <c r="N136" s="4446" t="s">
        <v>3</v>
      </c>
      <c r="O136" s="4440" t="b">
        <f>IF(OR(N136="Compliant",N136="FE with work-a-round",N136="Functionally Equivalent"),TRUE,FALSE)</f>
        <v>0</v>
      </c>
      <c r="P136" s="2677"/>
      <c r="Q136" s="4175" t="s">
        <v>565</v>
      </c>
      <c r="R136" s="994" t="b">
        <f>IF(AND(R137=TRUE,R138=TRUE,R139=TRUE,R140=TRUE,R141=TRUE,R142=TRUE,R143=TRUE,R144=TRUE),TRUE,FALSE)</f>
        <v>0</v>
      </c>
      <c r="S136" s="2678"/>
      <c r="T136" s="111"/>
      <c r="U136" s="2666"/>
      <c r="V136" s="4446" t="s">
        <v>3</v>
      </c>
      <c r="W136" s="4659" t="b">
        <f>IF(OR(V136="Compliant",V136="FE with work-a-round",V136="Functionally Equivalent",V136="Not Required/Applicable"),TRUE,FALSE)</f>
        <v>0</v>
      </c>
      <c r="X136" s="186"/>
      <c r="Y136" s="1753"/>
      <c r="Z136" s="2666"/>
    </row>
    <row r="137" spans="1:26" s="1394" customFormat="1" ht="156" x14ac:dyDescent="0.3">
      <c r="A137" s="2585" t="s">
        <v>285</v>
      </c>
      <c r="B137" s="1504"/>
      <c r="C137" s="3025" t="s">
        <v>359</v>
      </c>
      <c r="D137" s="2240" t="s">
        <v>3</v>
      </c>
      <c r="E137" s="44" t="b">
        <f t="shared" ref="E137:E144" si="10">IF(D137="Compliant",TRUE,FALSE)</f>
        <v>0</v>
      </c>
      <c r="F137" s="361"/>
      <c r="G137" s="361" t="str">
        <f t="shared" ref="G137:G144" si="11">IF(I137&lt;&gt;"", "Not Blank", "")</f>
        <v/>
      </c>
      <c r="H137" s="361"/>
      <c r="I137" s="2130"/>
      <c r="J137" s="1534" t="str">
        <f t="shared" ref="J137:J144" si="12">IF(L137&lt;&gt;"", "Not Blank", "")</f>
        <v/>
      </c>
      <c r="K137" s="1534"/>
      <c r="L137" s="2130"/>
      <c r="M137" s="2679"/>
      <c r="N137" s="4447"/>
      <c r="O137" s="4441"/>
      <c r="P137" s="2339"/>
      <c r="Q137" s="1863" t="s">
        <v>3</v>
      </c>
      <c r="R137" s="574" t="b">
        <f t="shared" ref="R137:R144" si="13">IF(OR(Q137="Compliant",Q137="FE with work-a-round",Q137="Functionally Equivalent"),TRUE,FALSE)</f>
        <v>0</v>
      </c>
      <c r="S137" s="1534"/>
      <c r="T137" s="44"/>
      <c r="U137" s="2680"/>
      <c r="V137" s="4447"/>
      <c r="W137" s="4468"/>
      <c r="X137" s="261"/>
      <c r="Y137" s="1404"/>
      <c r="Z137" s="2680"/>
    </row>
    <row r="138" spans="1:26" s="1394" customFormat="1" ht="91" x14ac:dyDescent="0.3">
      <c r="A138" s="2566" t="s">
        <v>286</v>
      </c>
      <c r="B138" s="1504"/>
      <c r="C138" s="3026" t="s">
        <v>287</v>
      </c>
      <c r="D138" s="121" t="s">
        <v>3</v>
      </c>
      <c r="E138" s="44" t="b">
        <f t="shared" si="10"/>
        <v>0</v>
      </c>
      <c r="F138" s="361"/>
      <c r="G138" s="361" t="str">
        <f t="shared" si="11"/>
        <v/>
      </c>
      <c r="H138" s="361"/>
      <c r="I138" s="361"/>
      <c r="J138" s="361" t="str">
        <f t="shared" si="12"/>
        <v/>
      </c>
      <c r="K138" s="361"/>
      <c r="L138" s="361"/>
      <c r="M138" s="362"/>
      <c r="N138" s="4447"/>
      <c r="O138" s="4441"/>
      <c r="P138" s="362"/>
      <c r="Q138" s="1060" t="s">
        <v>3</v>
      </c>
      <c r="R138" s="574" t="b">
        <f t="shared" si="13"/>
        <v>0</v>
      </c>
      <c r="S138" s="1534"/>
      <c r="T138" s="44"/>
      <c r="U138" s="2680"/>
      <c r="V138" s="4447"/>
      <c r="W138" s="4468"/>
      <c r="X138" s="261"/>
      <c r="Y138" s="1404"/>
      <c r="Z138" s="2680"/>
    </row>
    <row r="139" spans="1:26" s="1394" customFormat="1" ht="39" x14ac:dyDescent="0.3">
      <c r="A139" s="2566" t="s">
        <v>288</v>
      </c>
      <c r="B139" s="1504"/>
      <c r="C139" s="3026" t="s">
        <v>289</v>
      </c>
      <c r="D139" s="121" t="s">
        <v>3</v>
      </c>
      <c r="E139" s="44" t="b">
        <f t="shared" si="10"/>
        <v>0</v>
      </c>
      <c r="F139" s="361"/>
      <c r="G139" s="361" t="str">
        <f t="shared" si="11"/>
        <v/>
      </c>
      <c r="H139" s="361"/>
      <c r="I139" s="361"/>
      <c r="J139" s="361" t="str">
        <f t="shared" si="12"/>
        <v/>
      </c>
      <c r="K139" s="361"/>
      <c r="L139" s="361"/>
      <c r="M139" s="362"/>
      <c r="N139" s="4447"/>
      <c r="O139" s="4441"/>
      <c r="P139" s="362"/>
      <c r="Q139" s="1060" t="s">
        <v>3</v>
      </c>
      <c r="R139" s="574" t="b">
        <f t="shared" si="13"/>
        <v>0</v>
      </c>
      <c r="S139" s="1534"/>
      <c r="T139" s="44"/>
      <c r="U139" s="2680"/>
      <c r="V139" s="4447"/>
      <c r="W139" s="4468"/>
      <c r="X139" s="261"/>
      <c r="Y139" s="1404"/>
      <c r="Z139" s="2680"/>
    </row>
    <row r="140" spans="1:26" s="1394" customFormat="1" ht="26" x14ac:dyDescent="0.3">
      <c r="A140" s="2566" t="s">
        <v>290</v>
      </c>
      <c r="B140" s="1504"/>
      <c r="C140" s="3027" t="s">
        <v>214</v>
      </c>
      <c r="D140" s="67" t="s">
        <v>3</v>
      </c>
      <c r="E140" s="44" t="b">
        <f t="shared" si="10"/>
        <v>0</v>
      </c>
      <c r="F140" s="361"/>
      <c r="G140" s="361" t="str">
        <f t="shared" si="11"/>
        <v/>
      </c>
      <c r="H140" s="361"/>
      <c r="I140" s="361"/>
      <c r="J140" s="361" t="str">
        <f t="shared" si="12"/>
        <v/>
      </c>
      <c r="K140" s="361"/>
      <c r="L140" s="361"/>
      <c r="M140" s="362"/>
      <c r="N140" s="4447"/>
      <c r="O140" s="4441"/>
      <c r="P140" s="362"/>
      <c r="Q140" s="1060" t="s">
        <v>3</v>
      </c>
      <c r="R140" s="574" t="b">
        <f t="shared" si="13"/>
        <v>0</v>
      </c>
      <c r="S140" s="1534"/>
      <c r="T140" s="44"/>
      <c r="U140" s="2680"/>
      <c r="V140" s="4447"/>
      <c r="W140" s="4468"/>
      <c r="X140" s="261"/>
      <c r="Y140" s="1404"/>
      <c r="Z140" s="2680"/>
    </row>
    <row r="141" spans="1:26" s="1394" customFormat="1" ht="39" x14ac:dyDescent="0.3">
      <c r="A141" s="2566" t="s">
        <v>291</v>
      </c>
      <c r="B141" s="1504"/>
      <c r="C141" s="3027" t="s">
        <v>292</v>
      </c>
      <c r="D141" s="67" t="s">
        <v>3</v>
      </c>
      <c r="E141" s="44" t="b">
        <f t="shared" si="10"/>
        <v>0</v>
      </c>
      <c r="F141" s="361"/>
      <c r="G141" s="361" t="str">
        <f t="shared" si="11"/>
        <v/>
      </c>
      <c r="H141" s="361"/>
      <c r="I141" s="361"/>
      <c r="J141" s="361" t="str">
        <f t="shared" si="12"/>
        <v/>
      </c>
      <c r="K141" s="361"/>
      <c r="L141" s="361"/>
      <c r="M141" s="362"/>
      <c r="N141" s="4447"/>
      <c r="O141" s="4441"/>
      <c r="P141" s="362"/>
      <c r="Q141" s="1060" t="s">
        <v>3</v>
      </c>
      <c r="R141" s="574" t="b">
        <f t="shared" si="13"/>
        <v>0</v>
      </c>
      <c r="S141" s="1534"/>
      <c r="T141" s="44"/>
      <c r="U141" s="2680"/>
      <c r="V141" s="4447"/>
      <c r="W141" s="4468"/>
      <c r="X141" s="261"/>
      <c r="Y141" s="1404"/>
      <c r="Z141" s="2680"/>
    </row>
    <row r="142" spans="1:26" s="1394" customFormat="1" ht="65" x14ac:dyDescent="0.3">
      <c r="A142" s="2566" t="s">
        <v>293</v>
      </c>
      <c r="B142" s="1504"/>
      <c r="C142" s="3028" t="s">
        <v>309</v>
      </c>
      <c r="D142" s="67" t="s">
        <v>3</v>
      </c>
      <c r="E142" s="399" t="b">
        <f t="shared" si="10"/>
        <v>0</v>
      </c>
      <c r="F142" s="1534"/>
      <c r="G142" s="1534" t="str">
        <f t="shared" si="11"/>
        <v/>
      </c>
      <c r="H142" s="1534"/>
      <c r="I142" s="1534"/>
      <c r="J142" s="1534" t="str">
        <f t="shared" si="12"/>
        <v/>
      </c>
      <c r="K142" s="1534"/>
      <c r="L142" s="1534"/>
      <c r="M142" s="2681"/>
      <c r="N142" s="4447"/>
      <c r="O142" s="4441"/>
      <c r="P142" s="362"/>
      <c r="Q142" s="1060" t="s">
        <v>3</v>
      </c>
      <c r="R142" s="574" t="b">
        <f t="shared" si="13"/>
        <v>0</v>
      </c>
      <c r="S142" s="1534"/>
      <c r="T142" s="44"/>
      <c r="U142" s="2680"/>
      <c r="V142" s="4447"/>
      <c r="W142" s="4468"/>
      <c r="X142" s="261"/>
      <c r="Y142" s="1404"/>
      <c r="Z142" s="2680"/>
    </row>
    <row r="143" spans="1:26" s="1394" customFormat="1" ht="52" x14ac:dyDescent="0.3">
      <c r="A143" s="2566" t="s">
        <v>294</v>
      </c>
      <c r="B143" s="1504"/>
      <c r="C143" s="3027" t="s">
        <v>263</v>
      </c>
      <c r="D143" s="67" t="s">
        <v>3</v>
      </c>
      <c r="E143" s="44" t="b">
        <f t="shared" si="10"/>
        <v>0</v>
      </c>
      <c r="F143" s="361"/>
      <c r="G143" s="361" t="str">
        <f t="shared" si="11"/>
        <v/>
      </c>
      <c r="H143" s="361"/>
      <c r="I143" s="361"/>
      <c r="J143" s="361" t="str">
        <f t="shared" si="12"/>
        <v/>
      </c>
      <c r="K143" s="361"/>
      <c r="L143" s="361"/>
      <c r="M143" s="362"/>
      <c r="N143" s="4447"/>
      <c r="O143" s="4441"/>
      <c r="P143" s="362"/>
      <c r="Q143" s="1060" t="s">
        <v>3</v>
      </c>
      <c r="R143" s="574" t="b">
        <f t="shared" si="13"/>
        <v>0</v>
      </c>
      <c r="S143" s="1534"/>
      <c r="T143" s="44"/>
      <c r="U143" s="2680"/>
      <c r="V143" s="4447"/>
      <c r="W143" s="4468"/>
      <c r="X143" s="261"/>
      <c r="Y143" s="1404"/>
      <c r="Z143" s="2680"/>
    </row>
    <row r="144" spans="1:26" ht="91.5" thickBot="1" x14ac:dyDescent="0.35">
      <c r="A144" s="2991"/>
      <c r="B144" s="1505"/>
      <c r="C144" s="1723" t="s">
        <v>358</v>
      </c>
      <c r="D144" s="161" t="s">
        <v>3</v>
      </c>
      <c r="E144" s="124" t="b">
        <f t="shared" si="10"/>
        <v>0</v>
      </c>
      <c r="F144" s="258"/>
      <c r="G144" s="258" t="str">
        <f t="shared" si="11"/>
        <v/>
      </c>
      <c r="H144" s="258"/>
      <c r="I144" s="1423"/>
      <c r="J144" s="1423" t="str">
        <f t="shared" si="12"/>
        <v/>
      </c>
      <c r="K144" s="1423"/>
      <c r="L144" s="1423"/>
      <c r="M144" s="2682"/>
      <c r="N144" s="4448"/>
      <c r="O144" s="4442"/>
      <c r="P144" s="363"/>
      <c r="Q144" s="1017" t="s">
        <v>3</v>
      </c>
      <c r="R144" s="922" t="b">
        <f t="shared" si="13"/>
        <v>0</v>
      </c>
      <c r="S144" s="2131"/>
      <c r="T144" s="124"/>
      <c r="U144" s="2682"/>
      <c r="V144" s="4448"/>
      <c r="W144" s="4660"/>
      <c r="X144" s="1555"/>
      <c r="Y144" s="1423"/>
      <c r="Z144" s="2682"/>
    </row>
    <row r="145" spans="1:26" s="1579" customFormat="1" ht="32" thickTop="1" thickBot="1" x14ac:dyDescent="0.35">
      <c r="A145" s="2992" t="s">
        <v>1724</v>
      </c>
      <c r="B145" s="3002"/>
      <c r="C145" s="3031" t="s">
        <v>1725</v>
      </c>
      <c r="D145" s="3034" t="s">
        <v>565</v>
      </c>
      <c r="E145" s="3035" t="b">
        <f>IF(AND(E146=TRUE,E147=TRUE,E148=TRUE,E149=TRUE,E150=TRUE,E151=TRUE,E152=TRUE,E153=TRUE,E154=TRUE,E155=TRUE),TRUE,FALSE)</f>
        <v>0</v>
      </c>
      <c r="F145" s="3036">
        <f>COUNTIF(E146:E155,TRUE)</f>
        <v>0</v>
      </c>
      <c r="G145" s="3036">
        <f>COUNTIFS(E146:E155,TRUE,G146:G155,"Not Blank")</f>
        <v>0</v>
      </c>
      <c r="H145" s="3036">
        <f>COUNTIFS(E146:E155,FALSE,G146:G155,"Not Blank")</f>
        <v>0</v>
      </c>
      <c r="I145" s="2017" t="str">
        <f xml:space="preserve">
IF(F145&gt;10,"Too Many Entries - Check Red Lines",
IF(G145&lt;F145,"Valid Entry required below - Check Amber Line/s",
IF(AND(E145=FALSE,G145=0,H145=0),"Nothing Entered below Yet",
IF(G145&lt;F145,"Valid Entry required below - Check Amber Line/s",
IF(AND(G145=0,H145&gt;0),"**Non-Valid Entry/ies below - Check Yellow Line/s",
IF(AND(G145&gt;0,H145&gt;0),"**Valid and Non-Valid Entries made below - Check Yellow Line/s",
IF(AND(E145=FALSE,F145&lt;10),"Not all requirements addressed below - Check Pink Line/s",
IF(AND(E145=FALSE,G145&lt;10,G145&gt;0,H145=0),"More entries to come",
IF(AND(E145,TRUE,G145=10,H145=0),"Valid Entries made below"
)))))))))</f>
        <v>Nothing Entered below Yet</v>
      </c>
      <c r="J145" s="3036">
        <f>COUNTIFS(E146:E155,TRUE,J146:J155,"Not Blank")</f>
        <v>0</v>
      </c>
      <c r="K145" s="3036">
        <f>COUNTIFS(E146:E155,FALSE,J146:J155,"Not Blank")</f>
        <v>0</v>
      </c>
      <c r="L145" s="2017" t="str">
        <f xml:space="preserve">
IF(J145&gt;10,"Too Many Entries - Check Red Lines",
IF(J145&lt;F145,"Valid Entry required below - Check Amber Line/s",
IF(AND(E145=FALSE,J145=0,K145=0),"Nothing Entered below Yet",
IF(AND(J145=0,K145&gt;0),"**Non-Valid Entry/ies below - Check Yellow Line/s",
IF(AND(J145&gt;0,K145&gt;0),"**Valid and Non-Valid Entries made below - Check Yellow Line/s",
IF(AND(E145=FALSE,J145&lt;10),"Not all requirements addressed below - Check Pink Line/s",
IF(AND(E145=FALSE,J145&lt;10,J145&gt;0,K145=0),"More entries to come",
IF(AND(E145,TRUE,J145=10,K145=0),"Valid Entries made below"
))))))))</f>
        <v>Nothing Entered below Yet</v>
      </c>
      <c r="M145" s="2683"/>
      <c r="N145" s="4446" t="s">
        <v>3</v>
      </c>
      <c r="O145" s="4440" t="b">
        <f>IF(OR(N145="Compliant",N145="FE with work-a-round",N145="Functionally Equivalent"),TRUE,FALSE)</f>
        <v>0</v>
      </c>
      <c r="P145" s="2683"/>
      <c r="Q145" s="4200" t="s">
        <v>565</v>
      </c>
      <c r="R145" s="773" t="b">
        <f>IF(AND(R146=TRUE,R147=TRUE,R148=TRUE,R149=TRUE,R150=TRUE,R151=TRUE,R152=TRUE,R153=TRUE,R154=TRUE,R155=TRUE),TRUE,FALSE)</f>
        <v>0</v>
      </c>
      <c r="S145" s="2684"/>
      <c r="T145" s="2684"/>
      <c r="U145" s="2685"/>
      <c r="V145" s="4446" t="s">
        <v>3</v>
      </c>
      <c r="W145" s="4742" t="b">
        <f>IF(OR(V145="Compliant",V145="FE with work-a-round",V145="Functionally Equivalent",V145="Not Required/Applicable"),TRUE,FALSE)</f>
        <v>0</v>
      </c>
      <c r="X145" s="1540"/>
      <c r="Y145" s="2686"/>
      <c r="Z145" s="2687"/>
    </row>
    <row r="146" spans="1:26" s="1394" customFormat="1" ht="78.5" thickTop="1" x14ac:dyDescent="0.3">
      <c r="A146" s="2585" t="s">
        <v>295</v>
      </c>
      <c r="B146" s="1504"/>
      <c r="C146" s="3032" t="s">
        <v>311</v>
      </c>
      <c r="D146" s="1013" t="s">
        <v>3</v>
      </c>
      <c r="E146" s="67" t="b">
        <f t="shared" ref="E146:E155" si="14">IF(D146="Compliant",TRUE,FALSE)</f>
        <v>0</v>
      </c>
      <c r="F146" s="361"/>
      <c r="G146" s="361" t="str">
        <f t="shared" ref="G146:G155" si="15">IF(I146&lt;&gt;"", "Not Blank", "")</f>
        <v/>
      </c>
      <c r="H146" s="361"/>
      <c r="I146" s="2688"/>
      <c r="J146" s="1534" t="str">
        <f t="shared" ref="J146:J155" si="16">IF(L146&lt;&gt;"", "Not Blank", "")</f>
        <v/>
      </c>
      <c r="K146" s="1534"/>
      <c r="L146" s="2688"/>
      <c r="M146" s="2679"/>
      <c r="N146" s="4447"/>
      <c r="O146" s="4441"/>
      <c r="P146" s="2339"/>
      <c r="Q146" s="1060" t="s">
        <v>3</v>
      </c>
      <c r="R146" s="574" t="b">
        <f>IF(OR(Q146="Compliant",Q146="FE with work-a-round",Q146="Functionally Equivalent"),TRUE,FALSE)</f>
        <v>0</v>
      </c>
      <c r="S146" s="1534"/>
      <c r="T146" s="44"/>
      <c r="U146" s="2680"/>
      <c r="V146" s="4447"/>
      <c r="W146" s="4468"/>
      <c r="X146" s="261"/>
      <c r="Y146" s="1404"/>
      <c r="Z146" s="2680"/>
    </row>
    <row r="147" spans="1:26" s="1394" customFormat="1" ht="39" x14ac:dyDescent="0.3">
      <c r="A147" s="2566" t="s">
        <v>296</v>
      </c>
      <c r="B147" s="1504"/>
      <c r="C147" s="3026" t="s">
        <v>2054</v>
      </c>
      <c r="D147" s="319" t="s">
        <v>3</v>
      </c>
      <c r="E147" s="67" t="b">
        <f t="shared" si="14"/>
        <v>0</v>
      </c>
      <c r="F147" s="361"/>
      <c r="G147" s="361" t="str">
        <f t="shared" si="15"/>
        <v/>
      </c>
      <c r="H147" s="361"/>
      <c r="I147" s="361"/>
      <c r="J147" s="361" t="str">
        <f t="shared" si="16"/>
        <v/>
      </c>
      <c r="K147" s="361"/>
      <c r="L147" s="361"/>
      <c r="M147" s="362"/>
      <c r="N147" s="4447"/>
      <c r="O147" s="4441"/>
      <c r="P147" s="362"/>
      <c r="Q147" s="1060" t="s">
        <v>3</v>
      </c>
      <c r="R147" s="574" t="b">
        <f t="shared" ref="R147:R155" si="17">IF(OR(Q147="Compliant",Q147="FE with work-a-round",Q147="Functionally Equivalent"),TRUE,FALSE)</f>
        <v>0</v>
      </c>
      <c r="S147" s="1534"/>
      <c r="T147" s="44"/>
      <c r="U147" s="2680"/>
      <c r="V147" s="4447"/>
      <c r="W147" s="4468"/>
      <c r="X147" s="261"/>
      <c r="Y147" s="1404"/>
      <c r="Z147" s="2680"/>
    </row>
    <row r="148" spans="1:26" s="1394" customFormat="1" ht="39" x14ac:dyDescent="0.3">
      <c r="A148" s="2566" t="s">
        <v>297</v>
      </c>
      <c r="B148" s="1504"/>
      <c r="C148" s="3026" t="s">
        <v>298</v>
      </c>
      <c r="D148" s="319" t="s">
        <v>3</v>
      </c>
      <c r="E148" s="67" t="b">
        <f t="shared" si="14"/>
        <v>0</v>
      </c>
      <c r="F148" s="361"/>
      <c r="G148" s="361" t="str">
        <f t="shared" si="15"/>
        <v/>
      </c>
      <c r="H148" s="361"/>
      <c r="I148" s="361"/>
      <c r="J148" s="361" t="str">
        <f t="shared" si="16"/>
        <v/>
      </c>
      <c r="K148" s="361"/>
      <c r="L148" s="361"/>
      <c r="M148" s="362"/>
      <c r="N148" s="4447"/>
      <c r="O148" s="4441"/>
      <c r="P148" s="362"/>
      <c r="Q148" s="1060" t="s">
        <v>3</v>
      </c>
      <c r="R148" s="574" t="b">
        <f t="shared" si="17"/>
        <v>0</v>
      </c>
      <c r="S148" s="1534"/>
      <c r="T148" s="44"/>
      <c r="U148" s="2680"/>
      <c r="V148" s="4447"/>
      <c r="W148" s="4468"/>
      <c r="X148" s="261"/>
      <c r="Y148" s="1404"/>
      <c r="Z148" s="2680"/>
    </row>
    <row r="149" spans="1:26" s="1394" customFormat="1" ht="39" x14ac:dyDescent="0.3">
      <c r="A149" s="2566" t="s">
        <v>299</v>
      </c>
      <c r="B149" s="1504"/>
      <c r="C149" s="3026" t="s">
        <v>312</v>
      </c>
      <c r="D149" s="319" t="s">
        <v>3</v>
      </c>
      <c r="E149" s="67" t="b">
        <f t="shared" si="14"/>
        <v>0</v>
      </c>
      <c r="F149" s="361"/>
      <c r="G149" s="361" t="str">
        <f t="shared" si="15"/>
        <v/>
      </c>
      <c r="H149" s="361"/>
      <c r="I149" s="1534"/>
      <c r="J149" s="1534" t="str">
        <f t="shared" si="16"/>
        <v/>
      </c>
      <c r="K149" s="1534"/>
      <c r="L149" s="1534"/>
      <c r="M149" s="2681"/>
      <c r="N149" s="4447"/>
      <c r="O149" s="4441"/>
      <c r="P149" s="362"/>
      <c r="Q149" s="1060" t="s">
        <v>3</v>
      </c>
      <c r="R149" s="574" t="b">
        <f t="shared" si="17"/>
        <v>0</v>
      </c>
      <c r="S149" s="1534"/>
      <c r="T149" s="44"/>
      <c r="U149" s="2680"/>
      <c r="V149" s="4447"/>
      <c r="W149" s="4468"/>
      <c r="X149" s="261"/>
      <c r="Y149" s="1404"/>
      <c r="Z149" s="2680"/>
    </row>
    <row r="150" spans="1:26" s="1394" customFormat="1" ht="78" x14ac:dyDescent="0.3">
      <c r="A150" s="2566" t="s">
        <v>300</v>
      </c>
      <c r="B150" s="1504"/>
      <c r="C150" s="3033" t="s">
        <v>310</v>
      </c>
      <c r="D150" s="319" t="s">
        <v>3</v>
      </c>
      <c r="E150" s="2837" t="b">
        <f t="shared" si="14"/>
        <v>0</v>
      </c>
      <c r="F150" s="1534"/>
      <c r="G150" s="1534" t="str">
        <f t="shared" si="15"/>
        <v/>
      </c>
      <c r="H150" s="1534"/>
      <c r="I150" s="1534"/>
      <c r="J150" s="1534" t="str">
        <f t="shared" si="16"/>
        <v/>
      </c>
      <c r="K150" s="1534"/>
      <c r="L150" s="1534"/>
      <c r="M150" s="2681"/>
      <c r="N150" s="4447"/>
      <c r="O150" s="4441"/>
      <c r="P150" s="362"/>
      <c r="Q150" s="1060" t="s">
        <v>3</v>
      </c>
      <c r="R150" s="574" t="b">
        <f t="shared" si="17"/>
        <v>0</v>
      </c>
      <c r="S150" s="1534"/>
      <c r="T150" s="44"/>
      <c r="U150" s="2680"/>
      <c r="V150" s="4447"/>
      <c r="W150" s="4468"/>
      <c r="X150" s="261"/>
      <c r="Y150" s="1404"/>
      <c r="Z150" s="2680"/>
    </row>
    <row r="151" spans="1:26" s="1394" customFormat="1" ht="52" x14ac:dyDescent="0.3">
      <c r="A151" s="2566" t="s">
        <v>301</v>
      </c>
      <c r="B151" s="1504"/>
      <c r="C151" s="3026" t="s">
        <v>302</v>
      </c>
      <c r="D151" s="319" t="s">
        <v>3</v>
      </c>
      <c r="E151" s="67" t="b">
        <f t="shared" si="14"/>
        <v>0</v>
      </c>
      <c r="F151" s="361"/>
      <c r="G151" s="361" t="str">
        <f t="shared" si="15"/>
        <v/>
      </c>
      <c r="H151" s="361"/>
      <c r="I151" s="361"/>
      <c r="J151" s="361" t="str">
        <f t="shared" si="16"/>
        <v/>
      </c>
      <c r="K151" s="361"/>
      <c r="L151" s="361"/>
      <c r="M151" s="362"/>
      <c r="N151" s="4447"/>
      <c r="O151" s="4441"/>
      <c r="P151" s="362"/>
      <c r="Q151" s="1060" t="s">
        <v>3</v>
      </c>
      <c r="R151" s="574" t="b">
        <f t="shared" si="17"/>
        <v>0</v>
      </c>
      <c r="S151" s="1534"/>
      <c r="T151" s="44"/>
      <c r="U151" s="2680"/>
      <c r="V151" s="4447"/>
      <c r="W151" s="4468"/>
      <c r="X151" s="261"/>
      <c r="Y151" s="1404"/>
      <c r="Z151" s="2680"/>
    </row>
    <row r="152" spans="1:26" s="1394" customFormat="1" ht="26" x14ac:dyDescent="0.3">
      <c r="A152" s="2566" t="s">
        <v>303</v>
      </c>
      <c r="B152" s="1504"/>
      <c r="C152" s="3026" t="s">
        <v>273</v>
      </c>
      <c r="D152" s="319" t="s">
        <v>3</v>
      </c>
      <c r="E152" s="67" t="b">
        <f t="shared" si="14"/>
        <v>0</v>
      </c>
      <c r="F152" s="361"/>
      <c r="G152" s="361" t="str">
        <f t="shared" si="15"/>
        <v/>
      </c>
      <c r="H152" s="361"/>
      <c r="I152" s="1534"/>
      <c r="J152" s="1534" t="str">
        <f t="shared" si="16"/>
        <v/>
      </c>
      <c r="K152" s="1534"/>
      <c r="L152" s="1534"/>
      <c r="M152" s="2681"/>
      <c r="N152" s="4447"/>
      <c r="O152" s="4441"/>
      <c r="P152" s="362"/>
      <c r="Q152" s="1060" t="s">
        <v>3</v>
      </c>
      <c r="R152" s="574" t="b">
        <f t="shared" si="17"/>
        <v>0</v>
      </c>
      <c r="S152" s="1534"/>
      <c r="T152" s="44"/>
      <c r="U152" s="2680"/>
      <c r="V152" s="4447"/>
      <c r="W152" s="4468"/>
      <c r="X152" s="261"/>
      <c r="Y152" s="1404"/>
      <c r="Z152" s="2680"/>
    </row>
    <row r="153" spans="1:26" s="1394" customFormat="1" ht="26" x14ac:dyDescent="0.3">
      <c r="A153" s="2566" t="s">
        <v>304</v>
      </c>
      <c r="B153" s="1504"/>
      <c r="C153" s="3026" t="s">
        <v>305</v>
      </c>
      <c r="D153" s="319" t="s">
        <v>3</v>
      </c>
      <c r="E153" s="67" t="b">
        <f t="shared" si="14"/>
        <v>0</v>
      </c>
      <c r="F153" s="361"/>
      <c r="G153" s="361" t="str">
        <f t="shared" si="15"/>
        <v/>
      </c>
      <c r="H153" s="361"/>
      <c r="I153" s="361"/>
      <c r="J153" s="361" t="str">
        <f t="shared" si="16"/>
        <v/>
      </c>
      <c r="K153" s="361"/>
      <c r="L153" s="361"/>
      <c r="M153" s="362"/>
      <c r="N153" s="4447"/>
      <c r="O153" s="4441"/>
      <c r="P153" s="362"/>
      <c r="Q153" s="1060" t="s">
        <v>3</v>
      </c>
      <c r="R153" s="574" t="b">
        <f t="shared" si="17"/>
        <v>0</v>
      </c>
      <c r="S153" s="1534"/>
      <c r="T153" s="44"/>
      <c r="U153" s="2680"/>
      <c r="V153" s="4447"/>
      <c r="W153" s="4468"/>
      <c r="X153" s="261"/>
      <c r="Y153" s="1404"/>
      <c r="Z153" s="2680"/>
    </row>
    <row r="154" spans="1:26" s="1394" customFormat="1" ht="26" x14ac:dyDescent="0.3">
      <c r="A154" s="2566" t="s">
        <v>306</v>
      </c>
      <c r="B154" s="1504"/>
      <c r="C154" s="3026" t="s">
        <v>307</v>
      </c>
      <c r="D154" s="319" t="s">
        <v>3</v>
      </c>
      <c r="E154" s="67" t="b">
        <f t="shared" si="14"/>
        <v>0</v>
      </c>
      <c r="F154" s="361"/>
      <c r="G154" s="361" t="str">
        <f t="shared" si="15"/>
        <v/>
      </c>
      <c r="H154" s="361"/>
      <c r="I154" s="361"/>
      <c r="J154" s="361" t="str">
        <f t="shared" si="16"/>
        <v/>
      </c>
      <c r="K154" s="361"/>
      <c r="L154" s="361"/>
      <c r="M154" s="362"/>
      <c r="N154" s="4447"/>
      <c r="O154" s="4441"/>
      <c r="P154" s="362"/>
      <c r="Q154" s="1060" t="s">
        <v>3</v>
      </c>
      <c r="R154" s="574" t="b">
        <f t="shared" si="17"/>
        <v>0</v>
      </c>
      <c r="S154" s="1534"/>
      <c r="T154" s="44"/>
      <c r="U154" s="2680"/>
      <c r="V154" s="4447"/>
      <c r="W154" s="4468"/>
      <c r="X154" s="261"/>
      <c r="Y154" s="1404"/>
      <c r="Z154" s="2680"/>
    </row>
    <row r="155" spans="1:26" s="1394" customFormat="1" ht="331.5" customHeight="1" thickBot="1" x14ac:dyDescent="0.35">
      <c r="A155" s="2993" t="s">
        <v>308</v>
      </c>
      <c r="B155" s="1505"/>
      <c r="C155" s="1674" t="s">
        <v>357</v>
      </c>
      <c r="D155" s="1054" t="s">
        <v>3</v>
      </c>
      <c r="E155" s="161" t="b">
        <f t="shared" si="14"/>
        <v>0</v>
      </c>
      <c r="F155" s="258"/>
      <c r="G155" s="258" t="str">
        <f t="shared" si="15"/>
        <v/>
      </c>
      <c r="H155" s="258"/>
      <c r="I155" s="258"/>
      <c r="J155" s="258" t="str">
        <f t="shared" si="16"/>
        <v/>
      </c>
      <c r="K155" s="258"/>
      <c r="L155" s="258"/>
      <c r="M155" s="363"/>
      <c r="N155" s="4448"/>
      <c r="O155" s="4442"/>
      <c r="P155" s="363"/>
      <c r="Q155" s="1017" t="s">
        <v>3</v>
      </c>
      <c r="R155" s="922" t="b">
        <f t="shared" si="17"/>
        <v>0</v>
      </c>
      <c r="S155" s="2131"/>
      <c r="T155" s="124"/>
      <c r="U155" s="2689"/>
      <c r="V155" s="4448"/>
      <c r="W155" s="4660"/>
      <c r="X155" s="1555"/>
      <c r="Y155" s="2690"/>
      <c r="Z155" s="2689"/>
    </row>
    <row r="156" spans="1:26" ht="13.5" thickTop="1" x14ac:dyDescent="0.3">
      <c r="A156" s="2994"/>
      <c r="B156" s="2995"/>
      <c r="C156" s="2995"/>
      <c r="D156" s="2995"/>
      <c r="E156" s="2995"/>
      <c r="F156" s="2995"/>
      <c r="G156" s="2995"/>
      <c r="H156" s="2995"/>
      <c r="I156" s="2995"/>
      <c r="J156" s="2995"/>
      <c r="K156" s="2995"/>
      <c r="L156" s="1387"/>
      <c r="M156" s="1387"/>
      <c r="N156" s="1387"/>
      <c r="O156" s="1387"/>
      <c r="P156" s="2995"/>
      <c r="Q156" s="1387"/>
      <c r="R156" s="1387"/>
      <c r="S156" s="1387"/>
    </row>
    <row r="157" spans="1:26" x14ac:dyDescent="0.3">
      <c r="A157" s="4720"/>
      <c r="B157" s="4720"/>
      <c r="C157" s="4720"/>
      <c r="D157" s="4720"/>
      <c r="E157" s="4720"/>
      <c r="F157" s="4720"/>
      <c r="G157" s="4720"/>
      <c r="H157" s="4720"/>
      <c r="I157" s="4720"/>
      <c r="J157" s="4720"/>
      <c r="K157" s="4720"/>
      <c r="L157" s="4720"/>
      <c r="M157" s="4720"/>
      <c r="N157" s="4720"/>
      <c r="O157" s="4720"/>
      <c r="P157" s="4720"/>
      <c r="Q157" s="4720"/>
      <c r="R157" s="4720"/>
      <c r="S157" s="4720"/>
      <c r="T157" s="4720"/>
    </row>
    <row r="158" spans="1:26" x14ac:dyDescent="0.3">
      <c r="A158" s="4720"/>
      <c r="B158" s="4720"/>
      <c r="C158" s="4720"/>
      <c r="D158" s="4720"/>
      <c r="E158" s="4720"/>
      <c r="F158" s="4720"/>
      <c r="G158" s="4720"/>
      <c r="H158" s="4720"/>
      <c r="I158" s="4720"/>
      <c r="J158" s="4720"/>
      <c r="K158" s="4720"/>
      <c r="L158" s="4720"/>
      <c r="M158" s="4720"/>
      <c r="N158" s="4720"/>
      <c r="O158" s="4720"/>
      <c r="P158" s="4720"/>
      <c r="Q158" s="4720"/>
      <c r="R158" s="4720"/>
      <c r="S158" s="4720"/>
      <c r="T158" s="4720"/>
    </row>
  </sheetData>
  <sheetProtection algorithmName="SHA-512" hashValue="Mri3T016c0HM3tuxP5W7GjtjSmNgiuTnOdxncY6diJolpP4Cajm3oYR7Gb/FAkTQ+YZ4LG/CtgkYoDgYdtp8Vg==" saltValue="GdHhEDKeMs/a3m529OXKqw==" spinCount="100000" sheet="1" formatCells="0" insertHyperlinks="0" selectLockedCells="1" autoFilter="0"/>
  <mergeCells count="82">
    <mergeCell ref="B1:D1"/>
    <mergeCell ref="W87:W89"/>
    <mergeCell ref="O87:O89"/>
    <mergeCell ref="W78:W80"/>
    <mergeCell ref="V78:V80"/>
    <mergeCell ref="O78:O80"/>
    <mergeCell ref="N68:N71"/>
    <mergeCell ref="O64:O67"/>
    <mergeCell ref="O60:O63"/>
    <mergeCell ref="N60:N63"/>
    <mergeCell ref="N64:N67"/>
    <mergeCell ref="N15:N16"/>
    <mergeCell ref="N54:N56"/>
    <mergeCell ref="O54:O56"/>
    <mergeCell ref="N47:N53"/>
    <mergeCell ref="O30:O34"/>
    <mergeCell ref="O47:O53"/>
    <mergeCell ref="B2:D2"/>
    <mergeCell ref="B3:D3"/>
    <mergeCell ref="Q15:Q16"/>
    <mergeCell ref="V15:V16"/>
    <mergeCell ref="O9:O11"/>
    <mergeCell ref="Q9:Q11"/>
    <mergeCell ref="R9:R11"/>
    <mergeCell ref="V9:V11"/>
    <mergeCell ref="A4:D4"/>
    <mergeCell ref="A36:C36"/>
    <mergeCell ref="A44:C44"/>
    <mergeCell ref="D44:N44"/>
    <mergeCell ref="W145:W155"/>
    <mergeCell ref="V145:V155"/>
    <mergeCell ref="W91:W131"/>
    <mergeCell ref="V91:V131"/>
    <mergeCell ref="W47:W53"/>
    <mergeCell ref="V64:V67"/>
    <mergeCell ref="V54:V56"/>
    <mergeCell ref="V47:V53"/>
    <mergeCell ref="W136:W144"/>
    <mergeCell ref="V136:V144"/>
    <mergeCell ref="W54:W56"/>
    <mergeCell ref="W68:W71"/>
    <mergeCell ref="W72:W77"/>
    <mergeCell ref="W60:W63"/>
    <mergeCell ref="V60:V63"/>
    <mergeCell ref="W64:W67"/>
    <mergeCell ref="N78:N80"/>
    <mergeCell ref="O72:O77"/>
    <mergeCell ref="N72:N77"/>
    <mergeCell ref="O68:O71"/>
    <mergeCell ref="V87:V89"/>
    <mergeCell ref="V68:V71"/>
    <mergeCell ref="V72:V77"/>
    <mergeCell ref="W30:W34"/>
    <mergeCell ref="V30:V34"/>
    <mergeCell ref="W38:W42"/>
    <mergeCell ref="N30:N34"/>
    <mergeCell ref="O38:O42"/>
    <mergeCell ref="D36:N36"/>
    <mergeCell ref="V38:V42"/>
    <mergeCell ref="N38:N42"/>
    <mergeCell ref="A158:T158"/>
    <mergeCell ref="A157:T157"/>
    <mergeCell ref="A133:N133"/>
    <mergeCell ref="A84:C84"/>
    <mergeCell ref="D84:N84"/>
    <mergeCell ref="N87:N89"/>
    <mergeCell ref="O91:O131"/>
    <mergeCell ref="N91:N131"/>
    <mergeCell ref="N145:N155"/>
    <mergeCell ref="O145:O155"/>
    <mergeCell ref="N136:N144"/>
    <mergeCell ref="O136:O144"/>
    <mergeCell ref="W6:Y6"/>
    <mergeCell ref="N9:N11"/>
    <mergeCell ref="A28:C28"/>
    <mergeCell ref="D28:N28"/>
    <mergeCell ref="B23:D23"/>
    <mergeCell ref="U6:V6"/>
    <mergeCell ref="A6:C6"/>
    <mergeCell ref="D6:M6"/>
    <mergeCell ref="N6:T6"/>
    <mergeCell ref="W9:W11"/>
  </mergeCells>
  <conditionalFormatting sqref="P27">
    <cfRule type="beginsWith" dxfId="3927" priority="769" operator="beginsWith" text="Likely">
      <formula>LEFT(P27,LEN("Likely"))="Likely"</formula>
    </cfRule>
    <cfRule type="beginsWith" dxfId="3926" priority="770" operator="beginsWith" text="Not Applicable">
      <formula>LEFT(P27,LEN("Not Applicable"))="Not Applicable"</formula>
    </cfRule>
    <cfRule type="beginsWith" dxfId="3925" priority="771" operator="beginsWith" text="Applicable">
      <formula>LEFT(P27,LEN("Applicable"))="Applicable"</formula>
    </cfRule>
    <cfRule type="beginsWith" dxfId="3924" priority="772" operator="beginsWith" text="Partly">
      <formula>LEFT(P27,LEN("Partly"))="Partly"</formula>
    </cfRule>
    <cfRule type="beginsWith" dxfId="3923" priority="773" operator="beginsWith" text="Missing">
      <formula>LEFT(P27,LEN("Missing"))="Missing"</formula>
    </cfRule>
    <cfRule type="beginsWith" dxfId="3922" priority="774" operator="beginsWith" text="Not">
      <formula>LEFT(P27,LEN("Not"))="Not"</formula>
    </cfRule>
    <cfRule type="beginsWith" dxfId="3921" priority="775" operator="beginsWith" text="Compliant">
      <formula>LEFT(P27,LEN("Compliant"))="Compliant"</formula>
    </cfRule>
    <cfRule type="containsText" dxfId="3920" priority="776" operator="containsText" text="Equivalent">
      <formula>NOT(ISERROR(SEARCH("Equivalent",P27)))</formula>
    </cfRule>
  </conditionalFormatting>
  <conditionalFormatting sqref="B27">
    <cfRule type="expression" dxfId="3919" priority="768">
      <formula>IF($E27,TRUE)</formula>
    </cfRule>
  </conditionalFormatting>
  <conditionalFormatting sqref="B27">
    <cfRule type="expression" dxfId="3918" priority="777">
      <formula>IF(AND($E27=FALSE,$N27="Not Applicable"),TRUE,FALSE)</formula>
    </cfRule>
    <cfRule type="expression" dxfId="3917" priority="778">
      <formula>IF(AND($E27,TRUE,$N27="Not Applicable"),TRUE,FALSE)</formula>
    </cfRule>
    <cfRule type="expression" dxfId="3916" priority="779">
      <formula>IF($E27=TRUE,TRUE,FALSE)</formula>
    </cfRule>
    <cfRule type="expression" dxfId="3915" priority="780">
      <formula>IF(AND($E27=FALSE,$N27&lt;&gt;""),TRUE,FALSE)</formula>
    </cfRule>
  </conditionalFormatting>
  <conditionalFormatting sqref="N27:O27">
    <cfRule type="expression" dxfId="3914" priority="781">
      <formula>IF(AND($E27=FALSE,$N27="Not Applicable"),TRUE,FALSE)</formula>
    </cfRule>
    <cfRule type="expression" dxfId="3913" priority="782">
      <formula>IF(AND($E27=TRUE,$L27="",$N27="Applicable"),TRUE,FALSE)</formula>
    </cfRule>
    <cfRule type="expression" dxfId="3912" priority="783">
      <formula>IF(AND($E27=TRUE,$L27&lt;&gt;"",$N27="Applicable"),TRUE,FALSE)</formula>
    </cfRule>
    <cfRule type="expression" dxfId="3911" priority="784">
      <formula>IF(AND($E27=FALSE,$N27&lt;&gt;""),TRUE,FALSE)</formula>
    </cfRule>
    <cfRule type="expression" dxfId="3910" priority="785">
      <formula>IF(AND($L27&lt;&gt;"",$N27&lt;&gt;""),TRUE,FALSE)</formula>
    </cfRule>
  </conditionalFormatting>
  <conditionalFormatting sqref="V83 V85">
    <cfRule type="containsText" dxfId="3909" priority="758" operator="containsText" text="Applicable">
      <formula>NOT(ISERROR(SEARCH("Applicable",V83)))</formula>
    </cfRule>
    <cfRule type="containsText" dxfId="3908" priority="759" operator="containsText" text="Functionally">
      <formula>NOT(ISERROR(SEARCH("Functionally",V83)))</formula>
    </cfRule>
    <cfRule type="containsText" dxfId="3907" priority="760" operator="containsText" text="Not Compliant">
      <formula>NOT(ISERROR(SEARCH("Not Compliant",V83)))</formula>
    </cfRule>
    <cfRule type="containsText" dxfId="3906" priority="761" operator="containsText" text="Compliant">
      <formula>NOT(ISERROR(SEARCH("Compliant",V83)))</formula>
    </cfRule>
  </conditionalFormatting>
  <conditionalFormatting sqref="B87 D87">
    <cfRule type="expression" dxfId="3905" priority="753">
      <formula>IF($E87,TRUE)</formula>
    </cfRule>
  </conditionalFormatting>
  <conditionalFormatting sqref="B91 D91">
    <cfRule type="expression" dxfId="3904" priority="752">
      <formula>IF($E91,TRUE)</formula>
    </cfRule>
  </conditionalFormatting>
  <conditionalFormatting sqref="N83:O83 N85:O85">
    <cfRule type="containsText" dxfId="3903" priority="762" operator="containsText" text="Not Compliant">
      <formula>NOT(ISERROR(SEARCH("Not Compliant",N83)))</formula>
    </cfRule>
    <cfRule type="expression" dxfId="3902" priority="763">
      <formula>IF(AND($E83=TRUE,$I83="",$N83="Compliant"),TRUE,FALSE)</formula>
    </cfRule>
    <cfRule type="expression" dxfId="3901" priority="764">
      <formula>IF(AND($E83=TRUE,$I83&lt;&gt;"",$N83="Compliant"),TRUE,FALSE)</formula>
    </cfRule>
    <cfRule type="expression" dxfId="3900" priority="765">
      <formula>IF($N83&lt;&gt;"",TRUE,FALSE)</formula>
    </cfRule>
    <cfRule type="expression" dxfId="3899" priority="766">
      <formula>IF(AND($E83=FALSE,$N83&lt;&gt;""),TRUE,FALSE)</formula>
    </cfRule>
    <cfRule type="expression" dxfId="3898" priority="767">
      <formula>IF(AND($I83&lt;&gt;"",$N83&lt;&gt;""),TRUE,FALSE)</formula>
    </cfRule>
  </conditionalFormatting>
  <conditionalFormatting sqref="B88:B90">
    <cfRule type="expression" dxfId="3897" priority="754">
      <formula>IF(AND($E88=FALSE,OR($I88&lt;&gt;"",$L88&lt;&gt;"")),TRUE,FALSE)</formula>
    </cfRule>
    <cfRule type="expression" dxfId="3896" priority="755">
      <formula>IF(AND($E88=TRUE,OR($I88="",$J88="")),TRUE,FALSE)</formula>
    </cfRule>
    <cfRule type="expression" dxfId="3895" priority="756">
      <formula>IF(AND($E88=TRUE,OR($I88&lt;&gt;"",$L88="")),TRUE,FALSE)</formula>
    </cfRule>
    <cfRule type="expression" dxfId="3894" priority="757">
      <formula>IF(AND($E88=FALSE,$E$92=TRUE),TRUE,FALSE)</formula>
    </cfRule>
  </conditionalFormatting>
  <conditionalFormatting sqref="D31:D34">
    <cfRule type="expression" dxfId="3893" priority="724">
      <formula>IF($D31="Compliant",TRUE)</formula>
    </cfRule>
    <cfRule type="expression" dxfId="3892" priority="725">
      <formula>IF($D31=" ",TRUE)</formula>
    </cfRule>
    <cfRule type="expression" dxfId="3891" priority="731">
      <formula>IF($D31="Not Compliant",TRUE)</formula>
    </cfRule>
  </conditionalFormatting>
  <conditionalFormatting sqref="D15:D16">
    <cfRule type="expression" dxfId="3890" priority="628">
      <formula>IF($D15="Compliant",TRUE)</formula>
    </cfRule>
    <cfRule type="expression" dxfId="3889" priority="629">
      <formula>IF($D15=" ",TRUE)</formula>
    </cfRule>
    <cfRule type="expression" dxfId="3888" priority="635">
      <formula>IF($D15="Not Compliant",TRUE)</formula>
    </cfRule>
  </conditionalFormatting>
  <conditionalFormatting sqref="B20">
    <cfRule type="expression" dxfId="3887" priority="627">
      <formula>IF($E20=TRUE,TRUE,FALSE)</formula>
    </cfRule>
  </conditionalFormatting>
  <conditionalFormatting sqref="B18">
    <cfRule type="expression" dxfId="3886" priority="626">
      <formula>IF($E18=TRUE,TRUE,FALSE)</formula>
    </cfRule>
  </conditionalFormatting>
  <conditionalFormatting sqref="B19">
    <cfRule type="expression" dxfId="3885" priority="625">
      <formula>IF($E19=TRUE,TRUE,FALSE)</formula>
    </cfRule>
  </conditionalFormatting>
  <conditionalFormatting sqref="B21">
    <cfRule type="expression" dxfId="3884" priority="624">
      <formula>IF($E21=TRUE,TRUE,FALSE)</formula>
    </cfRule>
  </conditionalFormatting>
  <conditionalFormatting sqref="D18:D21">
    <cfRule type="expression" dxfId="3883" priority="623">
      <formula>IF($E18,TRUE)</formula>
    </cfRule>
  </conditionalFormatting>
  <conditionalFormatting sqref="B39:B42">
    <cfRule type="expression" dxfId="3882" priority="620">
      <formula>IF(AND($E39=FALSE,OR($I39&lt;&gt;"",$L39&lt;&gt;"")),TRUE,FALSE)</formula>
    </cfRule>
    <cfRule type="expression" dxfId="3881" priority="621">
      <formula>IF(AND($E39=TRUE,$I39&lt;&gt;"",$L39&lt;&gt;""),TRUE,FALSE)</formula>
    </cfRule>
    <cfRule type="expression" dxfId="3880" priority="622">
      <formula>IF(AND($E39=TRUE,OR($I39="",$L39="")),TRUE,FALSE)</formula>
    </cfRule>
  </conditionalFormatting>
  <conditionalFormatting sqref="B48">
    <cfRule type="expression" dxfId="3879" priority="617">
      <formula>IF(AND($E48=FALSE,OR($I48&lt;&gt;"",$L48&lt;&gt;"")),TRUE,FALSE)</formula>
    </cfRule>
    <cfRule type="expression" dxfId="3878" priority="618">
      <formula>IF(AND($E48=TRUE,$I48&lt;&gt;"",$L48&lt;&gt;""),TRUE,FALSE)</formula>
    </cfRule>
    <cfRule type="expression" dxfId="3877" priority="619">
      <formula>IF(AND($E48=TRUE,OR($I48="",$L48="")),TRUE,FALSE)</formula>
    </cfRule>
  </conditionalFormatting>
  <conditionalFormatting sqref="B50:B54">
    <cfRule type="expression" dxfId="3876" priority="614">
      <formula>IF(AND($E50=FALSE,OR($I50&lt;&gt;"",$L50&lt;&gt;"")),TRUE,FALSE)</formula>
    </cfRule>
    <cfRule type="expression" dxfId="3875" priority="615">
      <formula>IF(AND($E50=TRUE,$I50&lt;&gt;"",$L50&lt;&gt;""),TRUE,FALSE)</formula>
    </cfRule>
    <cfRule type="expression" dxfId="3874" priority="616">
      <formula>IF(AND($E50=TRUE,OR($I50="",$L50="")),TRUE,FALSE)</formula>
    </cfRule>
  </conditionalFormatting>
  <conditionalFormatting sqref="B55:B56">
    <cfRule type="expression" dxfId="3873" priority="611">
      <formula>IF(AND($E55=FALSE,OR($I55&lt;&gt;"",$L55&lt;&gt;"")),TRUE,FALSE)</formula>
    </cfRule>
    <cfRule type="expression" dxfId="3872" priority="612">
      <formula>IF(AND($E55=TRUE,$I55&lt;&gt;"",$L55&lt;&gt;""),TRUE,FALSE)</formula>
    </cfRule>
    <cfRule type="expression" dxfId="3871" priority="613">
      <formula>IF(AND($E55=TRUE,OR($I55="",$L55="")),TRUE,FALSE)</formula>
    </cfRule>
  </conditionalFormatting>
  <conditionalFormatting sqref="B59">
    <cfRule type="expression" dxfId="3870" priority="608">
      <formula>IF(AND($E59=FALSE,OR($I59&lt;&gt;"",$L59&lt;&gt;"")),TRUE,FALSE)</formula>
    </cfRule>
    <cfRule type="expression" dxfId="3869" priority="609">
      <formula>IF(AND($E59=TRUE,$I59&lt;&gt;"",$L59&lt;&gt;""),TRUE,FALSE)</formula>
    </cfRule>
    <cfRule type="expression" dxfId="3868" priority="610">
      <formula>IF(AND($E59=TRUE,OR($I59="",$L59="")),TRUE,FALSE)</formula>
    </cfRule>
  </conditionalFormatting>
  <conditionalFormatting sqref="B61:B63">
    <cfRule type="expression" dxfId="3867" priority="605">
      <formula>IF(AND($E61=FALSE,OR($I61&lt;&gt;"",$L61&lt;&gt;"")),TRUE,FALSE)</formula>
    </cfRule>
    <cfRule type="expression" dxfId="3866" priority="606">
      <formula>IF(AND($E61=TRUE,$I61&lt;&gt;"",$L61&lt;&gt;""),TRUE,FALSE)</formula>
    </cfRule>
    <cfRule type="expression" dxfId="3865" priority="607">
      <formula>IF(AND($E61=TRUE,OR($I61="",$L61="")),TRUE,FALSE)</formula>
    </cfRule>
  </conditionalFormatting>
  <conditionalFormatting sqref="B65:B67">
    <cfRule type="expression" dxfId="3864" priority="602">
      <formula>IF(AND($E65=FALSE,OR($I65&lt;&gt;"",$L65&lt;&gt;"")),TRUE,FALSE)</formula>
    </cfRule>
    <cfRule type="expression" dxfId="3863" priority="603">
      <formula>IF(AND($E65=TRUE,$I65&lt;&gt;"",$L65&lt;&gt;""),TRUE,FALSE)</formula>
    </cfRule>
    <cfRule type="expression" dxfId="3862" priority="604">
      <formula>IF(AND($E65=TRUE,OR($I65="",$L65="")),TRUE,FALSE)</formula>
    </cfRule>
  </conditionalFormatting>
  <conditionalFormatting sqref="B69:B71">
    <cfRule type="expression" dxfId="3861" priority="599">
      <formula>IF(AND($E69=FALSE,OR($I69&lt;&gt;"",$L69&lt;&gt;"")),TRUE,FALSE)</formula>
    </cfRule>
    <cfRule type="expression" dxfId="3860" priority="600">
      <formula>IF(AND($E69=TRUE,$I69&lt;&gt;"",$L69&lt;&gt;""),TRUE,FALSE)</formula>
    </cfRule>
    <cfRule type="expression" dxfId="3859" priority="601">
      <formula>IF(AND($E69=TRUE,OR($I69="",$L69="")),TRUE,FALSE)</formula>
    </cfRule>
  </conditionalFormatting>
  <conditionalFormatting sqref="B73:B77">
    <cfRule type="expression" dxfId="3858" priority="596">
      <formula>IF(AND($E73=FALSE,OR($I73&lt;&gt;"",$L73&lt;&gt;"")),TRUE,FALSE)</formula>
    </cfRule>
    <cfRule type="expression" dxfId="3857" priority="597">
      <formula>IF(AND($E73=TRUE,$I73&lt;&gt;"",$L73&lt;&gt;""),TRUE,FALSE)</formula>
    </cfRule>
    <cfRule type="expression" dxfId="3856" priority="598">
      <formula>IF(AND($E73=TRUE,OR($I73="",$L73="")),TRUE,FALSE)</formula>
    </cfRule>
  </conditionalFormatting>
  <conditionalFormatting sqref="B79:B80">
    <cfRule type="expression" dxfId="3855" priority="593">
      <formula>IF(AND($E79=FALSE,OR($I79&lt;&gt;"",$L79&lt;&gt;"")),TRUE,FALSE)</formula>
    </cfRule>
    <cfRule type="expression" dxfId="3854" priority="594">
      <formula>IF(AND($E79=TRUE,$I79&lt;&gt;"",$L79&lt;&gt;""),TRUE,FALSE)</formula>
    </cfRule>
    <cfRule type="expression" dxfId="3853" priority="595">
      <formula>IF(AND($E79=TRUE,OR($I79="",$L79="")),TRUE,FALSE)</formula>
    </cfRule>
  </conditionalFormatting>
  <conditionalFormatting sqref="B137:B142">
    <cfRule type="expression" dxfId="3852" priority="587">
      <formula>IF(AND($E137=FALSE,OR($I137&lt;&gt;"",$L137&lt;&gt;"")),TRUE,FALSE)</formula>
    </cfRule>
    <cfRule type="expression" dxfId="3851" priority="588">
      <formula>IF(AND($E137=TRUE,$I137&lt;&gt;"",$L137&lt;&gt;""),TRUE,FALSE)</formula>
    </cfRule>
    <cfRule type="expression" dxfId="3850" priority="589">
      <formula>IF(AND($E137=TRUE,OR($I137="",$L137="")),TRUE,FALSE)</formula>
    </cfRule>
  </conditionalFormatting>
  <conditionalFormatting sqref="B143:B144">
    <cfRule type="expression" dxfId="3849" priority="584">
      <formula>IF(AND($E143=FALSE,OR($I143&lt;&gt;"",$L143&lt;&gt;"")),TRUE,FALSE)</formula>
    </cfRule>
    <cfRule type="expression" dxfId="3848" priority="585">
      <formula>IF(AND($E143=TRUE,$I143&lt;&gt;"",$L143&lt;&gt;""),TRUE,FALSE)</formula>
    </cfRule>
    <cfRule type="expression" dxfId="3847" priority="586">
      <formula>IF(AND($E143=TRUE,OR($I143="",$L143="")),TRUE,FALSE)</formula>
    </cfRule>
  </conditionalFormatting>
  <conditionalFormatting sqref="B146:B154">
    <cfRule type="expression" dxfId="3846" priority="581">
      <formula>IF(AND($E146=FALSE,OR($I146&lt;&gt;"",$L146&lt;&gt;"")),TRUE,FALSE)</formula>
    </cfRule>
    <cfRule type="expression" dxfId="3845" priority="582">
      <formula>IF(AND($E146=TRUE,$I146&lt;&gt;"",$L146&lt;&gt;""),TRUE,FALSE)</formula>
    </cfRule>
    <cfRule type="expression" dxfId="3844" priority="583">
      <formula>IF(AND($E146=TRUE,OR($I146="",$L146="")),TRUE,FALSE)</formula>
    </cfRule>
  </conditionalFormatting>
  <conditionalFormatting sqref="B155">
    <cfRule type="expression" dxfId="3843" priority="578">
      <formula>IF(AND($E155=FALSE,OR($I155&lt;&gt;"",$L155&lt;&gt;"")),TRUE,FALSE)</formula>
    </cfRule>
    <cfRule type="expression" dxfId="3842" priority="579">
      <formula>IF(AND($E155=TRUE,$I155&lt;&gt;"",$L155&lt;&gt;""),TRUE,FALSE)</formula>
    </cfRule>
    <cfRule type="expression" dxfId="3841" priority="580">
      <formula>IF(AND($E155=TRUE,OR($I155="",$L155="")),TRUE,FALSE)</formula>
    </cfRule>
  </conditionalFormatting>
  <conditionalFormatting sqref="B38 D38">
    <cfRule type="expression" dxfId="3840" priority="560">
      <formula>IF($E38,TRUE)</formula>
    </cfRule>
  </conditionalFormatting>
  <conditionalFormatting sqref="B46 D46">
    <cfRule type="expression" dxfId="3839" priority="558">
      <formula>IF($E46,TRUE)</formula>
    </cfRule>
  </conditionalFormatting>
  <conditionalFormatting sqref="B47 D47">
    <cfRule type="expression" dxfId="3838" priority="557">
      <formula>IF($E47,TRUE)</formula>
    </cfRule>
  </conditionalFormatting>
  <conditionalFormatting sqref="B49 D49">
    <cfRule type="expression" dxfId="3837" priority="556">
      <formula>IF($E49,TRUE)</formula>
    </cfRule>
  </conditionalFormatting>
  <conditionalFormatting sqref="B58 D58">
    <cfRule type="expression" dxfId="3836" priority="555">
      <formula>IF($E58,TRUE)</formula>
    </cfRule>
  </conditionalFormatting>
  <conditionalFormatting sqref="B60 D60">
    <cfRule type="expression" dxfId="3835" priority="554">
      <formula>IF($E60,TRUE)</formula>
    </cfRule>
  </conditionalFormatting>
  <conditionalFormatting sqref="B64 D64">
    <cfRule type="expression" dxfId="3834" priority="553">
      <formula>IF($E64,TRUE)</formula>
    </cfRule>
  </conditionalFormatting>
  <conditionalFormatting sqref="B68 D68">
    <cfRule type="expression" dxfId="3833" priority="552">
      <formula>IF($E68,TRUE)</formula>
    </cfRule>
  </conditionalFormatting>
  <conditionalFormatting sqref="B72 D72">
    <cfRule type="expression" dxfId="3832" priority="551">
      <formula>IF($E72,TRUE)</formula>
    </cfRule>
  </conditionalFormatting>
  <conditionalFormatting sqref="B78 D78">
    <cfRule type="expression" dxfId="3831" priority="550">
      <formula>IF($E78,TRUE)</formula>
    </cfRule>
  </conditionalFormatting>
  <conditionalFormatting sqref="B82">
    <cfRule type="expression" dxfId="3830" priority="549">
      <formula>IF($E82,TRUE)</formula>
    </cfRule>
  </conditionalFormatting>
  <conditionalFormatting sqref="B135 D135">
    <cfRule type="expression" dxfId="3829" priority="548">
      <formula>IF($E135,TRUE)</formula>
    </cfRule>
  </conditionalFormatting>
  <conditionalFormatting sqref="B136 D136">
    <cfRule type="expression" dxfId="3828" priority="547">
      <formula>IF($E136,TRUE)</formula>
    </cfRule>
  </conditionalFormatting>
  <conditionalFormatting sqref="B145 D145">
    <cfRule type="expression" dxfId="3827" priority="546">
      <formula>IF($E145,TRUE)</formula>
    </cfRule>
  </conditionalFormatting>
  <conditionalFormatting sqref="B22:B23">
    <cfRule type="expression" dxfId="3826" priority="542">
      <formula>IF($E22=TRUE,TRUE,FALSE)</formula>
    </cfRule>
  </conditionalFormatting>
  <conditionalFormatting sqref="D22">
    <cfRule type="expression" dxfId="3825" priority="541">
      <formula>IF($E22,TRUE)</formula>
    </cfRule>
  </conditionalFormatting>
  <conditionalFormatting sqref="B25:B26">
    <cfRule type="expression" dxfId="3824" priority="538">
      <formula>IF(AND($E25=FALSE,OR($I25&lt;&gt;"",$L25&lt;&gt;"")),TRUE,FALSE)</formula>
    </cfRule>
    <cfRule type="expression" dxfId="3823" priority="539">
      <formula>IF(AND($E25=TRUE,$I25&lt;&gt;"",$L25&lt;&gt;""),TRUE,FALSE)</formula>
    </cfRule>
    <cfRule type="expression" dxfId="3822" priority="540">
      <formula>IF(AND($E25=TRUE,OR($I25="",$L25="")),TRUE,FALSE)</formula>
    </cfRule>
  </conditionalFormatting>
  <conditionalFormatting sqref="B15:B16">
    <cfRule type="expression" dxfId="3821" priority="527">
      <formula>IF(AND($E15=FALSE,OR($I15&lt;&gt;"",$L15&lt;&gt;"")),TRUE,FALSE)</formula>
    </cfRule>
    <cfRule type="expression" dxfId="3820" priority="528">
      <formula>IF(AND($E15=TRUE,$I15&lt;&gt;"",$L15&lt;&gt;""),TRUE,FALSE)</formula>
    </cfRule>
    <cfRule type="expression" dxfId="3819" priority="529">
      <formula>IF(AND($E15=TRUE,OR($I15="",$L15="")),TRUE,FALSE)</formula>
    </cfRule>
  </conditionalFormatting>
  <conditionalFormatting sqref="B31:B34">
    <cfRule type="expression" dxfId="3818" priority="517">
      <formula>IF(AND($E31=TRUE,$F$30&gt;1),TRUE,FALSE)</formula>
    </cfRule>
    <cfRule type="expression" dxfId="3817" priority="518">
      <formula>IF(AND($E31=TRUE,$I31&lt;&gt;"",$L31&lt;&gt;""),TRUE,FALSE)</formula>
    </cfRule>
    <cfRule type="expression" dxfId="3816" priority="519">
      <formula>IF(AND($E31=TRUE,OR($I31="",$L31="")),TRUE,FALSE)</formula>
    </cfRule>
    <cfRule type="expression" dxfId="3815" priority="520">
      <formula>IF(AND($E31=FALSE,OR($G31="Not Blank",$J31="Not Blank")),TRUE,FALSE)</formula>
    </cfRule>
    <cfRule type="expression" dxfId="3814" priority="521">
      <formula>IF(AND($E31=FALSE,$F$30&gt;0),TRUE,FALSE)</formula>
    </cfRule>
  </conditionalFormatting>
  <conditionalFormatting sqref="B30 D30">
    <cfRule type="expression" dxfId="3813" priority="522">
      <formula>IF($F30&gt;1,TRUE)</formula>
    </cfRule>
    <cfRule type="expression" dxfId="3812" priority="523">
      <formula>IF(AND($E30,TRUE,$F30=1),TRUE)</formula>
    </cfRule>
  </conditionalFormatting>
  <conditionalFormatting sqref="B86 D86">
    <cfRule type="expression" dxfId="3811" priority="512">
      <formula>IF($E86,TRUE)</formula>
    </cfRule>
  </conditionalFormatting>
  <conditionalFormatting sqref="B92:B131">
    <cfRule type="expression" dxfId="3810" priority="508">
      <formula>IF(AND($E92=FALSE,OR($I92&lt;&gt;"",$L92&lt;&gt;"")),TRUE,FALSE)</formula>
    </cfRule>
    <cfRule type="expression" dxfId="3809" priority="509">
      <formula>IF(AND($E92=TRUE,OR($I92="",$J92="")),TRUE,FALSE)</formula>
    </cfRule>
    <cfRule type="expression" dxfId="3808" priority="510">
      <formula>IF(AND($E92=TRUE,OR($I92&lt;&gt;"",$L92="")),TRUE,FALSE)</formula>
    </cfRule>
    <cfRule type="expression" dxfId="3807" priority="511">
      <formula>IF(AND($E92=FALSE,$E$92=TRUE),TRUE,FALSE)</formula>
    </cfRule>
  </conditionalFormatting>
  <conditionalFormatting sqref="N30 N47 N87 N54 N59:N60">
    <cfRule type="expression" dxfId="3806" priority="496">
      <formula>IF($N30="Compliant",TRUE)</formula>
    </cfRule>
    <cfRule type="expression" dxfId="3805" priority="497">
      <formula>IF($N30="FE with work-a-round",TRUE)</formula>
    </cfRule>
    <cfRule type="expression" dxfId="3804" priority="498">
      <formula>IF($N30="Functionally Equivalent",TRUE)</formula>
    </cfRule>
    <cfRule type="expression" dxfId="3803" priority="499">
      <formula>IF($N30="Likely to become compliant",TRUE)</formula>
    </cfRule>
    <cfRule type="expression" dxfId="3802" priority="500">
      <formula>IF($N30="Partly Compliant",TRUE)</formula>
    </cfRule>
    <cfRule type="expression" dxfId="3801" priority="501">
      <formula>IF($N30="Unknown/Missing",TRUE)</formula>
    </cfRule>
    <cfRule type="expression" dxfId="3800" priority="502">
      <formula>IF($N30="Not Required/Applicable",TRUE)</formula>
    </cfRule>
    <cfRule type="expression" dxfId="3799" priority="503">
      <formula>IF($N30="Not Compliant",TRUE)</formula>
    </cfRule>
    <cfRule type="expression" dxfId="3798" priority="504">
      <formula>IF($N30=" ",TRUE)</formula>
    </cfRule>
  </conditionalFormatting>
  <conditionalFormatting sqref="V30 V47 Q54 V54">
    <cfRule type="expression" dxfId="3797" priority="460">
      <formula>IF(Q30="Compliant",TRUE)</formula>
    </cfRule>
    <cfRule type="expression" dxfId="3796" priority="461">
      <formula>IF(Q30="FE with work-a-round",TRUE)</formula>
    </cfRule>
    <cfRule type="expression" dxfId="3795" priority="462">
      <formula>IF(Q30="Functionally Equivalent",TRUE)</formula>
    </cfRule>
    <cfRule type="expression" dxfId="3794" priority="463">
      <formula>IF(Q30="Likely to become compliant",TRUE)</formula>
    </cfRule>
    <cfRule type="expression" dxfId="3793" priority="464">
      <formula>IF(Q30="Partly Compliant",TRUE)</formula>
    </cfRule>
    <cfRule type="expression" dxfId="3792" priority="465">
      <formula>IF(Q30="Unknown/Missing",TRUE)</formula>
    </cfRule>
    <cfRule type="expression" dxfId="3791" priority="466">
      <formula>IF(Q30="Not Required/Applicable",TRUE)</formula>
    </cfRule>
    <cfRule type="expression" dxfId="3790" priority="467">
      <formula>IF(Q30="Not Compliant",TRUE)</formula>
    </cfRule>
    <cfRule type="expression" dxfId="3789" priority="468">
      <formula>IF($N30=" ",TRUE)</formula>
    </cfRule>
  </conditionalFormatting>
  <conditionalFormatting sqref="N38">
    <cfRule type="expression" dxfId="3788" priority="442">
      <formula>IF($N38="Compliant",TRUE)</formula>
    </cfRule>
    <cfRule type="expression" dxfId="3787" priority="443">
      <formula>IF($N38="FE with work-a-round",TRUE)</formula>
    </cfRule>
    <cfRule type="expression" dxfId="3786" priority="444">
      <formula>IF($N38="Functionally Equivalent",TRUE)</formula>
    </cfRule>
    <cfRule type="expression" dxfId="3785" priority="445">
      <formula>IF($N38="Likely to become compliant",TRUE)</formula>
    </cfRule>
    <cfRule type="expression" dxfId="3784" priority="446">
      <formula>IF($N38="Partly Compliant",TRUE)</formula>
    </cfRule>
    <cfRule type="expression" dxfId="3783" priority="447">
      <formula>IF($N38="Unknown/Missing",TRUE)</formula>
    </cfRule>
    <cfRule type="expression" dxfId="3782" priority="448">
      <formula>IF($N38="Not Required/Applicable",TRUE)</formula>
    </cfRule>
    <cfRule type="expression" dxfId="3781" priority="449">
      <formula>IF($N38="Not Compliant",TRUE)</formula>
    </cfRule>
    <cfRule type="expression" dxfId="3780" priority="450">
      <formula>IF($N38=" ",TRUE)</formula>
    </cfRule>
  </conditionalFormatting>
  <conditionalFormatting sqref="Q39:Q42">
    <cfRule type="expression" dxfId="3779" priority="433">
      <formula>IF(Q39="Compliant",TRUE)</formula>
    </cfRule>
    <cfRule type="expression" dxfId="3778" priority="434">
      <formula>IF(Q39="FE with work-a-round",TRUE)</formula>
    </cfRule>
    <cfRule type="expression" dxfId="3777" priority="435">
      <formula>IF(Q39="Functionally Equivalent",TRUE)</formula>
    </cfRule>
    <cfRule type="expression" dxfId="3776" priority="436">
      <formula>IF($Q39="Likely to become compliant",TRUE)</formula>
    </cfRule>
    <cfRule type="expression" dxfId="3775" priority="437">
      <formula>IF($Q39="Partly Compliant",TRUE)</formula>
    </cfRule>
    <cfRule type="expression" dxfId="3774" priority="438">
      <formula>IF($Q39="Unknown/Missing",TRUE)</formula>
    </cfRule>
    <cfRule type="expression" dxfId="3773" priority="439">
      <formula>IF($Q39="Not Required/Applicable",TRUE)</formula>
    </cfRule>
    <cfRule type="expression" dxfId="3772" priority="440">
      <formula>IF(Q39="Not Compliant",TRUE)</formula>
    </cfRule>
    <cfRule type="expression" dxfId="3771" priority="441">
      <formula>IF(Q39=" ",TRUE)</formula>
    </cfRule>
  </conditionalFormatting>
  <conditionalFormatting sqref="V38">
    <cfRule type="expression" dxfId="3770" priority="424">
      <formula>IF(V38="Compliant",TRUE)</formula>
    </cfRule>
    <cfRule type="expression" dxfId="3769" priority="425">
      <formula>IF(V38="FE with work-a-round",TRUE)</formula>
    </cfRule>
    <cfRule type="expression" dxfId="3768" priority="426">
      <formula>IF(V38="Functionally Equivalent",TRUE)</formula>
    </cfRule>
    <cfRule type="expression" dxfId="3767" priority="427">
      <formula>IF(V38="Likely to become compliant",TRUE)</formula>
    </cfRule>
    <cfRule type="expression" dxfId="3766" priority="428">
      <formula>IF(V38="Partly Compliant",TRUE)</formula>
    </cfRule>
    <cfRule type="expression" dxfId="3765" priority="429">
      <formula>IF(V38="Unknown/Missing",TRUE)</formula>
    </cfRule>
    <cfRule type="expression" dxfId="3764" priority="430">
      <formula>IF(V38="Not Required/Applicable",TRUE)</formula>
    </cfRule>
    <cfRule type="expression" dxfId="3763" priority="431">
      <formula>IF(V38="Not Compliant",TRUE)</formula>
    </cfRule>
    <cfRule type="expression" dxfId="3762" priority="432">
      <formula>IF($N38=" ",TRUE)</formula>
    </cfRule>
  </conditionalFormatting>
  <conditionalFormatting sqref="Q38">
    <cfRule type="expression" dxfId="3761" priority="423">
      <formula>IF(R38=TRUE,TRUE,FALSE)</formula>
    </cfRule>
  </conditionalFormatting>
  <conditionalFormatting sqref="Q38">
    <cfRule type="expression" dxfId="3760" priority="422">
      <formula>IF(R38=FALSE,TRUE,FALSE)</formula>
    </cfRule>
  </conditionalFormatting>
  <conditionalFormatting sqref="O46">
    <cfRule type="expression" dxfId="3759" priority="418">
      <formula>IF(AND($E46=TRUE,$I46="Valid Entry required below - Check amber box",#REF!="Compliant"),TRUE,FALSE)</formula>
    </cfRule>
    <cfRule type="expression" dxfId="3758" priority="419">
      <formula>IF(AND($E46=TRUE,$I46="Valid Entry made below",#REF!="Compliant"),TRUE,FALSE)</formula>
    </cfRule>
    <cfRule type="expression" dxfId="3757" priority="420">
      <formula>IF(AND($E46=FALSE,#REF!&lt;&gt;""),TRUE,FALSE)</formula>
    </cfRule>
    <cfRule type="expression" dxfId="3756" priority="421">
      <formula>IF(AND($I46&lt;&gt;"",#REF!&lt;&gt;""),TRUE,FALSE)</formula>
    </cfRule>
  </conditionalFormatting>
  <conditionalFormatting sqref="N46 N86">
    <cfRule type="expression" dxfId="3755" priority="416">
      <formula>IF(O46=FALSE,TRUE,FALSE)</formula>
    </cfRule>
    <cfRule type="expression" dxfId="3754" priority="417">
      <formula>IF(O46=TRUE,TRUE,FALSE)</formula>
    </cfRule>
  </conditionalFormatting>
  <conditionalFormatting sqref="Q46:Q47">
    <cfRule type="expression" dxfId="3753" priority="415">
      <formula>IF(R46=TRUE,TRUE,FALSE)</formula>
    </cfRule>
  </conditionalFormatting>
  <conditionalFormatting sqref="V46">
    <cfRule type="expression" dxfId="3752" priority="412">
      <formula>IF(W46=FALSE,TRUE,FALSE)</formula>
    </cfRule>
    <cfRule type="expression" dxfId="3751" priority="413">
      <formula>IF(W46=TRUE,TRUE,FALSE)</formula>
    </cfRule>
  </conditionalFormatting>
  <conditionalFormatting sqref="Q46:Q47">
    <cfRule type="expression" dxfId="3750" priority="414">
      <formula>IF(R46=FALSE,TRUE,FALSE)</formula>
    </cfRule>
  </conditionalFormatting>
  <conditionalFormatting sqref="V18:V21 Q18:Q21 N18:N21">
    <cfRule type="expression" dxfId="3749" priority="410">
      <formula>IF(O18=FALSE,TRUE,FALSE)</formula>
    </cfRule>
    <cfRule type="expression" dxfId="3748" priority="411">
      <formula>IF(O18=TRUE,TRUE,FALSE)</formula>
    </cfRule>
  </conditionalFormatting>
  <conditionalFormatting sqref="B13">
    <cfRule type="expression" dxfId="3747" priority="407">
      <formula>IF(AND($E13=FALSE,OR($I13&lt;&gt;"",$L13&lt;&gt;"")),TRUE,FALSE)</formula>
    </cfRule>
    <cfRule type="expression" dxfId="3746" priority="408">
      <formula>IF(AND($E13=TRUE,$I13&lt;&gt;"",$L13&lt;&gt;""),TRUE,FALSE)</formula>
    </cfRule>
    <cfRule type="expression" dxfId="3745" priority="409">
      <formula>IF(AND($E13=TRUE,OR($I13="",$L13="")),TRUE,FALSE)</formula>
    </cfRule>
  </conditionalFormatting>
  <conditionalFormatting sqref="D13">
    <cfRule type="beginsWith" dxfId="3744" priority="399" operator="beginsWith" text="Likely">
      <formula>LEFT(D13,LEN("Likely"))="Likely"</formula>
    </cfRule>
    <cfRule type="beginsWith" dxfId="3743" priority="400" operator="beginsWith" text="Not Applicable">
      <formula>LEFT(D13,LEN("Not Applicable"))="Not Applicable"</formula>
    </cfRule>
    <cfRule type="beginsWith" dxfId="3742" priority="401" operator="beginsWith" text="Applicable">
      <formula>LEFT(D13,LEN("Applicable"))="Applicable"</formula>
    </cfRule>
    <cfRule type="beginsWith" dxfId="3741" priority="402" operator="beginsWith" text="Partly">
      <formula>LEFT(D13,LEN("Partly"))="Partly"</formula>
    </cfRule>
    <cfRule type="beginsWith" dxfId="3740" priority="403" operator="beginsWith" text="Missing">
      <formula>LEFT(D13,LEN("Missing"))="Missing"</formula>
    </cfRule>
    <cfRule type="beginsWith" dxfId="3739" priority="404" operator="beginsWith" text="Not">
      <formula>LEFT(D13,LEN("Not"))="Not"</formula>
    </cfRule>
    <cfRule type="beginsWith" dxfId="3738" priority="405" operator="beginsWith" text="Compliant">
      <formula>LEFT(D13,LEN("Compliant"))="Compliant"</formula>
    </cfRule>
    <cfRule type="containsText" dxfId="3737" priority="406" operator="containsText" text="Equivalent">
      <formula>NOT(ISERROR(SEARCH("Equivalent",D13)))</formula>
    </cfRule>
  </conditionalFormatting>
  <conditionalFormatting sqref="N13">
    <cfRule type="beginsWith" dxfId="3736" priority="391" operator="beginsWith" text="Likely">
      <formula>LEFT(N13,LEN("Likely"))="Likely"</formula>
    </cfRule>
    <cfRule type="beginsWith" dxfId="3735" priority="392" operator="beginsWith" text="Not Applicable">
      <formula>LEFT(N13,LEN("Not Applicable"))="Not Applicable"</formula>
    </cfRule>
    <cfRule type="beginsWith" dxfId="3734" priority="393" operator="beginsWith" text="Applicable">
      <formula>LEFT(N13,LEN("Applicable"))="Applicable"</formula>
    </cfRule>
    <cfRule type="beginsWith" dxfId="3733" priority="394" operator="beginsWith" text="Partly">
      <formula>LEFT(N13,LEN("Partly"))="Partly"</formula>
    </cfRule>
    <cfRule type="beginsWith" dxfId="3732" priority="395" operator="beginsWith" text="Missing">
      <formula>LEFT(N13,LEN("Missing"))="Missing"</formula>
    </cfRule>
    <cfRule type="beginsWith" dxfId="3731" priority="396" operator="beginsWith" text="Not">
      <formula>LEFT(N13,LEN("Not"))="Not"</formula>
    </cfRule>
    <cfRule type="beginsWith" dxfId="3730" priority="397" operator="beginsWith" text="Compliant">
      <formula>LEFT(N13,LEN("Compliant"))="Compliant"</formula>
    </cfRule>
    <cfRule type="containsText" dxfId="3729" priority="398" operator="containsText" text="Equivalent">
      <formula>NOT(ISERROR(SEARCH("Equivalent",N13)))</formula>
    </cfRule>
  </conditionalFormatting>
  <conditionalFormatting sqref="V13">
    <cfRule type="beginsWith" dxfId="3728" priority="383" operator="beginsWith" text="Likely">
      <formula>LEFT(V13,LEN("Likely"))="Likely"</formula>
    </cfRule>
    <cfRule type="beginsWith" dxfId="3727" priority="384" operator="beginsWith" text="Not Applicable">
      <formula>LEFT(V13,LEN("Not Applicable"))="Not Applicable"</formula>
    </cfRule>
    <cfRule type="beginsWith" dxfId="3726" priority="385" operator="beginsWith" text="Applicable">
      <formula>LEFT(V13,LEN("Applicable"))="Applicable"</formula>
    </cfRule>
    <cfRule type="beginsWith" dxfId="3725" priority="386" operator="beginsWith" text="Partly">
      <formula>LEFT(V13,LEN("Partly"))="Partly"</formula>
    </cfRule>
    <cfRule type="beginsWith" dxfId="3724" priority="387" operator="beginsWith" text="Missing">
      <formula>LEFT(V13,LEN("Missing"))="Missing"</formula>
    </cfRule>
    <cfRule type="beginsWith" dxfId="3723" priority="388" operator="beginsWith" text="Not">
      <formula>LEFT(V13,LEN("Not"))="Not"</formula>
    </cfRule>
    <cfRule type="beginsWith" dxfId="3722" priority="389" operator="beginsWith" text="Compliant">
      <formula>LEFT(V13,LEN("Compliant"))="Compliant"</formula>
    </cfRule>
    <cfRule type="containsText" dxfId="3721" priority="390" operator="containsText" text="Equivalent">
      <formula>NOT(ISERROR(SEARCH("Equivalent",V13)))</formula>
    </cfRule>
  </conditionalFormatting>
  <conditionalFormatting sqref="Q13">
    <cfRule type="beginsWith" dxfId="3720" priority="375" operator="beginsWith" text="Likely">
      <formula>LEFT(Q13,LEN("Likely"))="Likely"</formula>
    </cfRule>
    <cfRule type="beginsWith" dxfId="3719" priority="376" operator="beginsWith" text="Not Applicable">
      <formula>LEFT(Q13,LEN("Not Applicable"))="Not Applicable"</formula>
    </cfRule>
    <cfRule type="beginsWith" dxfId="3718" priority="377" operator="beginsWith" text="Applicable">
      <formula>LEFT(Q13,LEN("Applicable"))="Applicable"</formula>
    </cfRule>
    <cfRule type="beginsWith" dxfId="3717" priority="378" operator="beginsWith" text="Partly">
      <formula>LEFT(Q13,LEN("Partly"))="Partly"</formula>
    </cfRule>
    <cfRule type="beginsWith" dxfId="3716" priority="379" operator="beginsWith" text="Missing">
      <formula>LEFT(Q13,LEN("Missing"))="Missing"</formula>
    </cfRule>
    <cfRule type="beginsWith" dxfId="3715" priority="380" operator="beginsWith" text="Not">
      <formula>LEFT(Q13,LEN("Not"))="Not"</formula>
    </cfRule>
    <cfRule type="beginsWith" dxfId="3714" priority="381" operator="beginsWith" text="Compliant">
      <formula>LEFT(Q13,LEN("Compliant"))="Compliant"</formula>
    </cfRule>
    <cfRule type="containsText" dxfId="3713" priority="382" operator="containsText" text="Equivalent">
      <formula>NOT(ISERROR(SEARCH("Equivalent",Q13)))</formula>
    </cfRule>
  </conditionalFormatting>
  <conditionalFormatting sqref="D8">
    <cfRule type="expression" dxfId="3712" priority="367">
      <formula>IF($D8="Compliant",TRUE)</formula>
    </cfRule>
    <cfRule type="expression" dxfId="3711" priority="368">
      <formula>IF($D8=" ",TRUE)</formula>
    </cfRule>
    <cfRule type="expression" dxfId="3710" priority="374">
      <formula>IF($D8="Not Compliant",TRUE)</formula>
    </cfRule>
  </conditionalFormatting>
  <conditionalFormatting sqref="B10:B11">
    <cfRule type="expression" dxfId="3709" priority="360">
      <formula>IF(AND($E$10=TRUE,$E$11=TRUE),TRUE,FALSE)</formula>
    </cfRule>
    <cfRule type="expression" dxfId="3708" priority="361">
      <formula>IF(AND($E10=FALSE,OR($I10&lt;&gt;"",$L10&lt;&gt;"")),TRUE,FALSE)</formula>
    </cfRule>
    <cfRule type="expression" dxfId="3707" priority="362">
      <formula>IF(AND($E10=TRUE,OR($I10="",$J10="")),TRUE,FALSE)</formula>
    </cfRule>
    <cfRule type="expression" dxfId="3706" priority="363">
      <formula>IF(AND($E10=TRUE,OR($I10&lt;&gt;"",$L10="")),TRUE,FALSE)</formula>
    </cfRule>
    <cfRule type="expression" dxfId="3705" priority="364">
      <formula>IF(AND($F$9&gt;0,$D10=" ",$E10=FALSE),TRUE,FALSE)</formula>
    </cfRule>
  </conditionalFormatting>
  <conditionalFormatting sqref="B9">
    <cfRule type="expression" dxfId="3704" priority="365">
      <formula>IF(AND($E10,TRUE,$E11,TRUE),TRUE,FALSE)</formula>
    </cfRule>
    <cfRule type="expression" dxfId="3703" priority="366">
      <formula>IF($E9,TRUE)</formula>
    </cfRule>
  </conditionalFormatting>
  <conditionalFormatting sqref="B8">
    <cfRule type="expression" dxfId="3702" priority="359">
      <formula>IF($E8=TRUE,TRUE,FALSE)</formula>
    </cfRule>
  </conditionalFormatting>
  <conditionalFormatting sqref="N8:N9">
    <cfRule type="expression" dxfId="3701" priority="350">
      <formula>IF($N8="Compliant",TRUE)</formula>
    </cfRule>
    <cfRule type="expression" dxfId="3700" priority="351">
      <formula>IF($N8="FE with work-a-round",TRUE)</formula>
    </cfRule>
    <cfRule type="expression" dxfId="3699" priority="352">
      <formula>IF($N8="Functionally Equivalent",TRUE)</formula>
    </cfRule>
    <cfRule type="expression" dxfId="3698" priority="353">
      <formula>IF($N8="Likely to become compliant",TRUE)</formula>
    </cfRule>
    <cfRule type="expression" dxfId="3697" priority="354">
      <formula>IF($N8="Partly Compliant",TRUE)</formula>
    </cfRule>
    <cfRule type="expression" dxfId="3696" priority="355">
      <formula>IF($N8="Unknown/Missing",TRUE)</formula>
    </cfRule>
    <cfRule type="expression" dxfId="3695" priority="356">
      <formula>IF($N8="Not Required/Applicable",TRUE)</formula>
    </cfRule>
    <cfRule type="expression" dxfId="3694" priority="357">
      <formula>IF($N8="Not Compliant",TRUE)</formula>
    </cfRule>
    <cfRule type="expression" dxfId="3693" priority="358">
      <formula>IF($N8=" ",TRUE)</formula>
    </cfRule>
  </conditionalFormatting>
  <conditionalFormatting sqref="V8:V9">
    <cfRule type="expression" dxfId="3692" priority="341">
      <formula>IF(V8="Compliant",TRUE)</formula>
    </cfRule>
    <cfRule type="expression" dxfId="3691" priority="342">
      <formula>IF(V8="FE with work-a-round",TRUE)</formula>
    </cfRule>
    <cfRule type="expression" dxfId="3690" priority="343">
      <formula>IF(V8="Functionally Equivalent",TRUE)</formula>
    </cfRule>
    <cfRule type="expression" dxfId="3689" priority="344">
      <formula>IF(V8="Likely to become compliant",TRUE)</formula>
    </cfRule>
    <cfRule type="expression" dxfId="3688" priority="345">
      <formula>IF(V8="Partly Compliant",TRUE)</formula>
    </cfRule>
    <cfRule type="expression" dxfId="3687" priority="346">
      <formula>IF(V8="Unknown/Missing",TRUE)</formula>
    </cfRule>
    <cfRule type="expression" dxfId="3686" priority="347">
      <formula>IF(V8="Not Required/Applicable",TRUE)</formula>
    </cfRule>
    <cfRule type="expression" dxfId="3685" priority="348">
      <formula>IF(V8="Not Compliant",TRUE)</formula>
    </cfRule>
    <cfRule type="expression" dxfId="3684" priority="349">
      <formula>IF($N8=" ",TRUE)</formula>
    </cfRule>
  </conditionalFormatting>
  <conditionalFormatting sqref="Q8:Q9">
    <cfRule type="expression" dxfId="3683" priority="332">
      <formula>IF(Q8="Compliant",TRUE)</formula>
    </cfRule>
    <cfRule type="expression" dxfId="3682" priority="333">
      <formula>IF(Q8="FE with work-a-round",TRUE)</formula>
    </cfRule>
    <cfRule type="expression" dxfId="3681" priority="334">
      <formula>IF(Q8="Functionally Equivalent",TRUE)</formula>
    </cfRule>
    <cfRule type="expression" dxfId="3680" priority="335">
      <formula>IF($Q8="Likely to become compliant",TRUE)</formula>
    </cfRule>
    <cfRule type="expression" dxfId="3679" priority="336">
      <formula>IF($Q8="Partly Compliant",TRUE)</formula>
    </cfRule>
    <cfRule type="expression" dxfId="3678" priority="337">
      <formula>IF($Q8="Unknown/Missing",TRUE)</formula>
    </cfRule>
    <cfRule type="expression" dxfId="3677" priority="338">
      <formula>IF($Q8="Not Required/Applicable",TRUE)</formula>
    </cfRule>
    <cfRule type="expression" dxfId="3676" priority="339">
      <formula>IF(Q8="Not Compliant",TRUE)</formula>
    </cfRule>
    <cfRule type="expression" dxfId="3675" priority="340">
      <formula>IF(Q8=" ",TRUE)</formula>
    </cfRule>
  </conditionalFormatting>
  <conditionalFormatting sqref="D10:D11">
    <cfRule type="expression" dxfId="3674" priority="324">
      <formula>IF($D10="Compliant",TRUE)</formula>
    </cfRule>
    <cfRule type="expression" dxfId="3673" priority="325">
      <formula>IF($D10=" ",TRUE)</formula>
    </cfRule>
    <cfRule type="expression" dxfId="3672" priority="331">
      <formula>IF($D10="Not Compliant",TRUE)</formula>
    </cfRule>
  </conditionalFormatting>
  <conditionalFormatting sqref="D9">
    <cfRule type="expression" dxfId="3671" priority="322">
      <formula>IF($F$9&gt;1,TRUE)</formula>
    </cfRule>
    <cfRule type="expression" dxfId="3670" priority="323">
      <formula>IF(AND($F$9=1,$E9=TRUE),TRUE)</formula>
    </cfRule>
  </conditionalFormatting>
  <conditionalFormatting sqref="D26">
    <cfRule type="expression" dxfId="3669" priority="314">
      <formula>IF($D26="Compliant",TRUE)</formula>
    </cfRule>
    <cfRule type="expression" dxfId="3668" priority="315">
      <formula>IF($D26=" ",TRUE)</formula>
    </cfRule>
    <cfRule type="expression" dxfId="3667" priority="321">
      <formula>IF($D26="Not Compliant",TRUE)</formula>
    </cfRule>
  </conditionalFormatting>
  <conditionalFormatting sqref="N26">
    <cfRule type="expression" dxfId="3666" priority="305">
      <formula>IF($N26="Compliant",TRUE)</formula>
    </cfRule>
    <cfRule type="expression" dxfId="3665" priority="306">
      <formula>IF($N26="FE with work-a-round",TRUE)</formula>
    </cfRule>
    <cfRule type="expression" dxfId="3664" priority="307">
      <formula>IF($N26="Functionally Equivalent",TRUE)</formula>
    </cfRule>
    <cfRule type="expression" dxfId="3663" priority="308">
      <formula>IF($N26="Likely to become compliant",TRUE)</formula>
    </cfRule>
    <cfRule type="expression" dxfId="3662" priority="309">
      <formula>IF($N26="Partly Compliant",TRUE)</formula>
    </cfRule>
    <cfRule type="expression" dxfId="3661" priority="310">
      <formula>IF($N26="Unknown/Missing",TRUE)</formula>
    </cfRule>
    <cfRule type="expression" dxfId="3660" priority="311">
      <formula>IF($N26="Not Required/Applicable",TRUE)</formula>
    </cfRule>
    <cfRule type="expression" dxfId="3659" priority="312">
      <formula>IF($N26="Not Compliant",TRUE)</formula>
    </cfRule>
    <cfRule type="expression" dxfId="3658" priority="313">
      <formula>IF($N26=" ",TRUE)</formula>
    </cfRule>
  </conditionalFormatting>
  <conditionalFormatting sqref="V26">
    <cfRule type="expression" dxfId="3657" priority="296">
      <formula>IF(V26="Compliant",TRUE)</formula>
    </cfRule>
    <cfRule type="expression" dxfId="3656" priority="297">
      <formula>IF(V26="FE with work-a-round",TRUE)</formula>
    </cfRule>
    <cfRule type="expression" dxfId="3655" priority="298">
      <formula>IF(V26="Functionally Equivalent",TRUE)</formula>
    </cfRule>
    <cfRule type="expression" dxfId="3654" priority="299">
      <formula>IF(V26="Likely to become compliant",TRUE)</formula>
    </cfRule>
    <cfRule type="expression" dxfId="3653" priority="300">
      <formula>IF(V26="Partly Compliant",TRUE)</formula>
    </cfRule>
    <cfRule type="expression" dxfId="3652" priority="301">
      <formula>IF(V26="Unknown/Missing",TRUE)</formula>
    </cfRule>
    <cfRule type="expression" dxfId="3651" priority="302">
      <formula>IF(V26="Not Required/Applicable",TRUE)</formula>
    </cfRule>
    <cfRule type="expression" dxfId="3650" priority="303">
      <formula>IF(V26="Not Compliant",TRUE)</formula>
    </cfRule>
    <cfRule type="expression" dxfId="3649" priority="304">
      <formula>IF($N26=" ",TRUE)</formula>
    </cfRule>
  </conditionalFormatting>
  <conditionalFormatting sqref="Q26">
    <cfRule type="expression" dxfId="3648" priority="287">
      <formula>IF(Q26="Compliant",TRUE)</formula>
    </cfRule>
    <cfRule type="expression" dxfId="3647" priority="288">
      <formula>IF(Q26="FE with work-a-round",TRUE)</formula>
    </cfRule>
    <cfRule type="expression" dxfId="3646" priority="289">
      <formula>IF(Q26="Functionally Equivalent",TRUE)</formula>
    </cfRule>
    <cfRule type="expression" dxfId="3645" priority="290">
      <formula>IF($Q26="Likely to become compliant",TRUE)</formula>
    </cfRule>
    <cfRule type="expression" dxfId="3644" priority="291">
      <formula>IF($Q26="Partly Compliant",TRUE)</formula>
    </cfRule>
    <cfRule type="expression" dxfId="3643" priority="292">
      <formula>IF($Q26="Unknown/Missing",TRUE)</formula>
    </cfRule>
    <cfRule type="expression" dxfId="3642" priority="293">
      <formula>IF($Q26="Not Required/Applicable",TRUE)</formula>
    </cfRule>
    <cfRule type="expression" dxfId="3641" priority="294">
      <formula>IF(Q26="Not Compliant",TRUE)</formula>
    </cfRule>
    <cfRule type="expression" dxfId="3640" priority="295">
      <formula>IF(Q26=" ",TRUE)</formula>
    </cfRule>
  </conditionalFormatting>
  <conditionalFormatting sqref="V25 Q25 N25 D25">
    <cfRule type="beginsWith" dxfId="3639" priority="279" operator="beginsWith" text="Likely">
      <formula>LEFT(D25,LEN("Likely"))="Likely"</formula>
    </cfRule>
    <cfRule type="beginsWith" dxfId="3638" priority="280" operator="beginsWith" text="Not Applicable">
      <formula>LEFT(D25,LEN("Not Applicable"))="Not Applicable"</formula>
    </cfRule>
    <cfRule type="beginsWith" dxfId="3637" priority="281" operator="beginsWith" text="Applicable">
      <formula>LEFT(D25,LEN("Applicable"))="Applicable"</formula>
    </cfRule>
    <cfRule type="beginsWith" dxfId="3636" priority="282" operator="beginsWith" text="Partly">
      <formula>LEFT(D25,LEN("Partly"))="Partly"</formula>
    </cfRule>
    <cfRule type="beginsWith" dxfId="3635" priority="283" operator="beginsWith" text="Missing">
      <formula>LEFT(D25,LEN("Missing"))="Missing"</formula>
    </cfRule>
    <cfRule type="beginsWith" dxfId="3634" priority="284" operator="beginsWith" text="Not">
      <formula>LEFT(D25,LEN("Not"))="Not"</formula>
    </cfRule>
    <cfRule type="beginsWith" dxfId="3633" priority="285" operator="beginsWith" text="Compliant">
      <formula>LEFT(D25,LEN("Compliant"))="Compliant"</formula>
    </cfRule>
    <cfRule type="containsText" dxfId="3632" priority="286" operator="containsText" text="Equivalent">
      <formula>NOT(ISERROR(SEARCH("Equivalent",D25)))</formula>
    </cfRule>
  </conditionalFormatting>
  <conditionalFormatting sqref="N15">
    <cfRule type="expression" dxfId="3631" priority="270">
      <formula>IF($N15="Compliant",TRUE)</formula>
    </cfRule>
    <cfRule type="expression" dxfId="3630" priority="271">
      <formula>IF($N15="FE with work-a-round",TRUE)</formula>
    </cfRule>
    <cfRule type="expression" dxfId="3629" priority="272">
      <formula>IF($N15="Functionally Equivalent",TRUE)</formula>
    </cfRule>
    <cfRule type="expression" dxfId="3628" priority="273">
      <formula>IF($N15="Likely to become compliant",TRUE)</formula>
    </cfRule>
    <cfRule type="expression" dxfId="3627" priority="274">
      <formula>IF($N15="Partly Compliant",TRUE)</formula>
    </cfRule>
    <cfRule type="expression" dxfId="3626" priority="275">
      <formula>IF($N15="Unknown/Missing",TRUE)</formula>
    </cfRule>
    <cfRule type="expression" dxfId="3625" priority="276">
      <formula>IF($N15="Not Required/Applicable",TRUE)</formula>
    </cfRule>
    <cfRule type="expression" dxfId="3624" priority="277">
      <formula>IF($N15="Not Compliant",TRUE)</formula>
    </cfRule>
    <cfRule type="expression" dxfId="3623" priority="278">
      <formula>IF($N15=" ",TRUE)</formula>
    </cfRule>
  </conditionalFormatting>
  <conditionalFormatting sqref="V15">
    <cfRule type="expression" dxfId="3622" priority="261">
      <formula>IF(V15="Compliant",TRUE)</formula>
    </cfRule>
    <cfRule type="expression" dxfId="3621" priority="262">
      <formula>IF(V15="FE with work-a-round",TRUE)</formula>
    </cfRule>
    <cfRule type="expression" dxfId="3620" priority="263">
      <formula>IF(V15="Functionally Equivalent",TRUE)</formula>
    </cfRule>
    <cfRule type="expression" dxfId="3619" priority="264">
      <formula>IF(V15="Likely to become compliant",TRUE)</formula>
    </cfRule>
    <cfRule type="expression" dxfId="3618" priority="265">
      <formula>IF(V15="Partly Compliant",TRUE)</formula>
    </cfRule>
    <cfRule type="expression" dxfId="3617" priority="266">
      <formula>IF(V15="Unknown/Missing",TRUE)</formula>
    </cfRule>
    <cfRule type="expression" dxfId="3616" priority="267">
      <formula>IF(V15="Not Required/Applicable",TRUE)</formula>
    </cfRule>
    <cfRule type="expression" dxfId="3615" priority="268">
      <formula>IF(V15="Not Compliant",TRUE)</formula>
    </cfRule>
    <cfRule type="expression" dxfId="3614" priority="269">
      <formula>IF($N15=" ",TRUE)</formula>
    </cfRule>
  </conditionalFormatting>
  <conditionalFormatting sqref="Q15">
    <cfRule type="expression" dxfId="3613" priority="252">
      <formula>IF(Q15="Compliant",TRUE)</formula>
    </cfRule>
    <cfRule type="expression" dxfId="3612" priority="253">
      <formula>IF(Q15="FE with work-a-round",TRUE)</formula>
    </cfRule>
    <cfRule type="expression" dxfId="3611" priority="254">
      <formula>IF(Q15="Functionally Equivalent",TRUE)</formula>
    </cfRule>
    <cfRule type="expression" dxfId="3610" priority="255">
      <formula>IF($Q15="Likely to become compliant",TRUE)</formula>
    </cfRule>
    <cfRule type="expression" dxfId="3609" priority="256">
      <formula>IF($Q15="Partly Compliant",TRUE)</formula>
    </cfRule>
    <cfRule type="expression" dxfId="3608" priority="257">
      <formula>IF($Q15="Unknown/Missing",TRUE)</formula>
    </cfRule>
    <cfRule type="expression" dxfId="3607" priority="258">
      <formula>IF($Q15="Not Required/Applicable",TRUE)</formula>
    </cfRule>
    <cfRule type="expression" dxfId="3606" priority="259">
      <formula>IF(Q15="Not Compliant",TRUE)</formula>
    </cfRule>
    <cfRule type="expression" dxfId="3605" priority="260">
      <formula>IF(Q15=" ",TRUE)</formula>
    </cfRule>
  </conditionalFormatting>
  <conditionalFormatting sqref="Q48 Q56 Q50:Q53 Q31:Q34">
    <cfRule type="expression" dxfId="3604" priority="14978">
      <formula>IF(Q31="Compliant",TRUE)</formula>
    </cfRule>
    <cfRule type="expression" dxfId="3603" priority="14979">
      <formula>IF(Q31="FE with work-a-round",TRUE)</formula>
    </cfRule>
    <cfRule type="expression" dxfId="3602" priority="14980">
      <formula>IF(Q31="Functionally Equivalent",TRUE)</formula>
    </cfRule>
    <cfRule type="expression" dxfId="3601" priority="14981">
      <formula>IF(Q31="Likely to become compliant",TRUE)</formula>
    </cfRule>
    <cfRule type="expression" dxfId="3600" priority="14982">
      <formula>IF(Q31="Partly Compliant",TRUE)</formula>
    </cfRule>
    <cfRule type="expression" dxfId="3599" priority="14983">
      <formula>IF(Q31="Unknown/Missing",TRUE)</formula>
    </cfRule>
    <cfRule type="expression" dxfId="3598" priority="14984">
      <formula>IF(Q31="Not Required/Applicable",TRUE)</formula>
    </cfRule>
    <cfRule type="expression" dxfId="3597" priority="14985">
      <formula>IF(Q31="Not Compliant",TRUE)</formula>
    </cfRule>
    <cfRule type="expression" dxfId="3596" priority="14986">
      <formula>IF($N30=" ",TRUE)</formula>
    </cfRule>
  </conditionalFormatting>
  <conditionalFormatting sqref="Q30">
    <cfRule type="expression" dxfId="3595" priority="251">
      <formula>IF(R30=TRUE,TRUE,FALSE)</formula>
    </cfRule>
  </conditionalFormatting>
  <conditionalFormatting sqref="Q30">
    <cfRule type="expression" dxfId="3594" priority="250">
      <formula>IF(R30=FALSE,TRUE,FALSE)</formula>
    </cfRule>
  </conditionalFormatting>
  <conditionalFormatting sqref="Q78 Q72 Q68 Q64 Q60 Q58">
    <cfRule type="expression" dxfId="3593" priority="222">
      <formula>IF(R58=TRUE,TRUE,FALSE)</formula>
    </cfRule>
  </conditionalFormatting>
  <conditionalFormatting sqref="Q78 Q72 Q68 Q64 Q60 Q58">
    <cfRule type="expression" dxfId="3592" priority="221">
      <formula>IF(R58=FALSE,TRUE,FALSE)</formula>
    </cfRule>
  </conditionalFormatting>
  <conditionalFormatting sqref="N82">
    <cfRule type="expression" dxfId="3591" priority="194">
      <formula>IF($N82="Compliant",TRUE)</formula>
    </cfRule>
    <cfRule type="expression" dxfId="3590" priority="195">
      <formula>IF($N82="FE with work-a-round",TRUE)</formula>
    </cfRule>
    <cfRule type="expression" dxfId="3589" priority="196">
      <formula>IF($N82="Functionally Equivalent",TRUE)</formula>
    </cfRule>
    <cfRule type="expression" dxfId="3588" priority="197">
      <formula>IF($N82="Likely to become compliant",TRUE)</formula>
    </cfRule>
    <cfRule type="expression" dxfId="3587" priority="198">
      <formula>IF($N82="Partly Compliant",TRUE)</formula>
    </cfRule>
    <cfRule type="expression" dxfId="3586" priority="199">
      <formula>IF($N82="Unknown/Missing",TRUE)</formula>
    </cfRule>
    <cfRule type="expression" dxfId="3585" priority="200">
      <formula>IF($N82="Not Required/Applicable",TRUE)</formula>
    </cfRule>
    <cfRule type="expression" dxfId="3584" priority="201">
      <formula>IF($N82="Not Compliant",TRUE)</formula>
    </cfRule>
    <cfRule type="expression" dxfId="3583" priority="202">
      <formula>IF($N82=" ",TRUE)</formula>
    </cfRule>
  </conditionalFormatting>
  <conditionalFormatting sqref="V82">
    <cfRule type="expression" dxfId="3582" priority="185">
      <formula>IF(V82="Compliant",TRUE)</formula>
    </cfRule>
    <cfRule type="expression" dxfId="3581" priority="186">
      <formula>IF(V82="FE with work-a-round",TRUE)</formula>
    </cfRule>
    <cfRule type="expression" dxfId="3580" priority="187">
      <formula>IF(V82="Functionally Equivalent",TRUE)</formula>
    </cfRule>
    <cfRule type="expression" dxfId="3579" priority="188">
      <formula>IF(V82="Likely to become compliant",TRUE)</formula>
    </cfRule>
    <cfRule type="expression" dxfId="3578" priority="189">
      <formula>IF(V82="Partly Compliant",TRUE)</formula>
    </cfRule>
    <cfRule type="expression" dxfId="3577" priority="190">
      <formula>IF(V82="Unknown/Missing",TRUE)</formula>
    </cfRule>
    <cfRule type="expression" dxfId="3576" priority="191">
      <formula>IF(V82="Not Required/Applicable",TRUE)</formula>
    </cfRule>
    <cfRule type="expression" dxfId="3575" priority="192">
      <formula>IF(V82="Not Compliant",TRUE)</formula>
    </cfRule>
    <cfRule type="expression" dxfId="3574" priority="193">
      <formula>IF($N82=" ",TRUE)</formula>
    </cfRule>
  </conditionalFormatting>
  <conditionalFormatting sqref="Q86:Q87">
    <cfRule type="expression" dxfId="3573" priority="175">
      <formula>IF(R86=TRUE,TRUE,FALSE)</formula>
    </cfRule>
  </conditionalFormatting>
  <conditionalFormatting sqref="Q86:Q87">
    <cfRule type="expression" dxfId="3572" priority="174">
      <formula>IF(R86=FALSE,TRUE,FALSE)</formula>
    </cfRule>
  </conditionalFormatting>
  <conditionalFormatting sqref="Q91">
    <cfRule type="expression" dxfId="3571" priority="164">
      <formula>IF(R91=TRUE,TRUE,FALSE)</formula>
    </cfRule>
  </conditionalFormatting>
  <conditionalFormatting sqref="Q91">
    <cfRule type="expression" dxfId="3570" priority="163">
      <formula>IF(R91=FALSE,TRUE,FALSE)</formula>
    </cfRule>
  </conditionalFormatting>
  <conditionalFormatting sqref="Q135:Q136">
    <cfRule type="expression" dxfId="3569" priority="153">
      <formula>IF(R135=TRUE,TRUE,FALSE)</formula>
    </cfRule>
  </conditionalFormatting>
  <conditionalFormatting sqref="Q135:Q136">
    <cfRule type="expression" dxfId="3568" priority="152">
      <formula>IF(R135=FALSE,TRUE,FALSE)</formula>
    </cfRule>
  </conditionalFormatting>
  <conditionalFormatting sqref="Q145">
    <cfRule type="expression" dxfId="3567" priority="142">
      <formula>IF(R145=TRUE,TRUE,FALSE)</formula>
    </cfRule>
  </conditionalFormatting>
  <conditionalFormatting sqref="Q145">
    <cfRule type="expression" dxfId="3566" priority="141">
      <formula>IF(R145=FALSE,TRUE,FALSE)</formula>
    </cfRule>
  </conditionalFormatting>
  <conditionalFormatting sqref="Q146:Q155">
    <cfRule type="expression" dxfId="3565" priority="143">
      <formula>IF(Q146="Compliant",TRUE)</formula>
    </cfRule>
    <cfRule type="expression" dxfId="3564" priority="144">
      <formula>IF(Q146="FE with work-a-round",TRUE)</formula>
    </cfRule>
    <cfRule type="expression" dxfId="3563" priority="145">
      <formula>IF(Q146="Functionally Equivalent",TRUE)</formula>
    </cfRule>
    <cfRule type="expression" dxfId="3562" priority="146">
      <formula>IF(Q146="Likely to become compliant",TRUE)</formula>
    </cfRule>
    <cfRule type="expression" dxfId="3561" priority="147">
      <formula>IF(Q146="Partly Compliant",TRUE)</formula>
    </cfRule>
    <cfRule type="expression" dxfId="3560" priority="148">
      <formula>IF(Q146="Unknown/Missing",TRUE)</formula>
    </cfRule>
    <cfRule type="expression" dxfId="3559" priority="149">
      <formula>IF(Q146="Not Required/Applicable",TRUE)</formula>
    </cfRule>
    <cfRule type="expression" dxfId="3558" priority="150">
      <formula>IF(Q146="Not Compliant",TRUE)</formula>
    </cfRule>
    <cfRule type="expression" dxfId="3557" priority="151">
      <formula>IF($N145=" ",TRUE)</formula>
    </cfRule>
  </conditionalFormatting>
  <conditionalFormatting sqref="O86:O87">
    <cfRule type="expression" dxfId="3556" priority="128">
      <formula>IF(AND($E86=TRUE,$I86="Valid Entry required below - Check amber box",#REF!="Compliant"),TRUE,FALSE)</formula>
    </cfRule>
    <cfRule type="expression" dxfId="3555" priority="129">
      <formula>IF(AND($E86=TRUE,$I86="Valid Entry made below",#REF!="Compliant"),TRUE,FALSE)</formula>
    </cfRule>
    <cfRule type="expression" dxfId="3554" priority="130">
      <formula>IF(AND($E86=FALSE,#REF!&lt;&gt;""),TRUE,FALSE)</formula>
    </cfRule>
    <cfRule type="expression" dxfId="3553" priority="131">
      <formula>IF(AND($I86&lt;&gt;"",#REF!&lt;&gt;""),TRUE,FALSE)</formula>
    </cfRule>
  </conditionalFormatting>
  <conditionalFormatting sqref="N91">
    <cfRule type="expression" dxfId="3552" priority="117">
      <formula>IF($N91="Compliant",TRUE)</formula>
    </cfRule>
    <cfRule type="expression" dxfId="3551" priority="118">
      <formula>IF($N91="FE with work-a-round",TRUE)</formula>
    </cfRule>
    <cfRule type="expression" dxfId="3550" priority="119">
      <formula>IF($N91="Functionally Equivalent",TRUE)</formula>
    </cfRule>
    <cfRule type="expression" dxfId="3549" priority="120">
      <formula>IF($N91="Likely to become compliant",TRUE)</formula>
    </cfRule>
    <cfRule type="expression" dxfId="3548" priority="121">
      <formula>IF($N91="Partly Compliant",TRUE)</formula>
    </cfRule>
    <cfRule type="expression" dxfId="3547" priority="122">
      <formula>IF($N91="Unknown/Missing",TRUE)</formula>
    </cfRule>
    <cfRule type="expression" dxfId="3546" priority="123">
      <formula>IF($N91="Not Required/Applicable",TRUE)</formula>
    </cfRule>
    <cfRule type="expression" dxfId="3545" priority="124">
      <formula>IF($N91="Not Compliant",TRUE)</formula>
    </cfRule>
    <cfRule type="expression" dxfId="3544" priority="125">
      <formula>IF($N91=" ",TRUE)</formula>
    </cfRule>
  </conditionalFormatting>
  <conditionalFormatting sqref="N136">
    <cfRule type="expression" dxfId="3543" priority="108">
      <formula>IF($N136="Compliant",TRUE)</formula>
    </cfRule>
    <cfRule type="expression" dxfId="3542" priority="109">
      <formula>IF($N136="FE with work-a-round",TRUE)</formula>
    </cfRule>
    <cfRule type="expression" dxfId="3541" priority="110">
      <formula>IF($N136="Functionally Equivalent",TRUE)</formula>
    </cfRule>
    <cfRule type="expression" dxfId="3540" priority="111">
      <formula>IF($N136="Likely to become compliant",TRUE)</formula>
    </cfRule>
    <cfRule type="expression" dxfId="3539" priority="112">
      <formula>IF($N136="Partly Compliant",TRUE)</formula>
    </cfRule>
    <cfRule type="expression" dxfId="3538" priority="113">
      <formula>IF($N136="Unknown/Missing",TRUE)</formula>
    </cfRule>
    <cfRule type="expression" dxfId="3537" priority="114">
      <formula>IF($N136="Not Required/Applicable",TRUE)</formula>
    </cfRule>
    <cfRule type="expression" dxfId="3536" priority="115">
      <formula>IF($N136="Not Compliant",TRUE)</formula>
    </cfRule>
    <cfRule type="expression" dxfId="3535" priority="116">
      <formula>IF($N136=" ",TRUE)</formula>
    </cfRule>
  </conditionalFormatting>
  <conditionalFormatting sqref="O135">
    <cfRule type="expression" dxfId="3534" priority="104">
      <formula>IF(AND($E135=TRUE,$I135="Valid Entry required below - Check amber box",#REF!="Compliant"),TRUE,FALSE)</formula>
    </cfRule>
    <cfRule type="expression" dxfId="3533" priority="105">
      <formula>IF(AND($E135=TRUE,$I135="Valid Entry made below",#REF!="Compliant"),TRUE,FALSE)</formula>
    </cfRule>
    <cfRule type="expression" dxfId="3532" priority="106">
      <formula>IF(AND($E135=FALSE,#REF!&lt;&gt;""),TRUE,FALSE)</formula>
    </cfRule>
    <cfRule type="expression" dxfId="3531" priority="107">
      <formula>IF(AND($I135&lt;&gt;"",#REF!&lt;&gt;""),TRUE,FALSE)</formula>
    </cfRule>
  </conditionalFormatting>
  <conditionalFormatting sqref="N135">
    <cfRule type="expression" dxfId="3530" priority="102">
      <formula>IF(O135=FALSE,TRUE,FALSE)</formula>
    </cfRule>
    <cfRule type="expression" dxfId="3529" priority="103">
      <formula>IF(O135=TRUE,TRUE,FALSE)</formula>
    </cfRule>
  </conditionalFormatting>
  <conditionalFormatting sqref="N145">
    <cfRule type="expression" dxfId="3528" priority="93">
      <formula>IF($N145="Compliant",TRUE)</formula>
    </cfRule>
    <cfRule type="expression" dxfId="3527" priority="94">
      <formula>IF($N145="FE with work-a-round",TRUE)</formula>
    </cfRule>
    <cfRule type="expression" dxfId="3526" priority="95">
      <formula>IF($N145="Functionally Equivalent",TRUE)</formula>
    </cfRule>
    <cfRule type="expression" dxfId="3525" priority="96">
      <formula>IF($N145="Likely to become compliant",TRUE)</formula>
    </cfRule>
    <cfRule type="expression" dxfId="3524" priority="97">
      <formula>IF($N145="Partly Compliant",TRUE)</formula>
    </cfRule>
    <cfRule type="expression" dxfId="3523" priority="98">
      <formula>IF($N145="Unknown/Missing",TRUE)</formula>
    </cfRule>
    <cfRule type="expression" dxfId="3522" priority="99">
      <formula>IF($N145="Not Required/Applicable",TRUE)</formula>
    </cfRule>
    <cfRule type="expression" dxfId="3521" priority="100">
      <formula>IF($N145="Not Compliant",TRUE)</formula>
    </cfRule>
    <cfRule type="expression" dxfId="3520" priority="101">
      <formula>IF($N145=" ",TRUE)</formula>
    </cfRule>
  </conditionalFormatting>
  <conditionalFormatting sqref="V145 V136 V91">
    <cfRule type="expression" dxfId="3519" priority="84">
      <formula>IF(V91="Compliant",TRUE)</formula>
    </cfRule>
    <cfRule type="expression" dxfId="3518" priority="85">
      <formula>IF(V91="FE with work-a-round",TRUE)</formula>
    </cfRule>
    <cfRule type="expression" dxfId="3517" priority="86">
      <formula>IF(V91="Functionally Equivalent",TRUE)</formula>
    </cfRule>
    <cfRule type="expression" dxfId="3516" priority="87">
      <formula>IF(V91="Likely to become compliant",TRUE)</formula>
    </cfRule>
    <cfRule type="expression" dxfId="3515" priority="88">
      <formula>IF(V91="Partly Compliant",TRUE)</formula>
    </cfRule>
    <cfRule type="expression" dxfId="3514" priority="89">
      <formula>IF(V91="Unknown/Missing",TRUE)</formula>
    </cfRule>
    <cfRule type="expression" dxfId="3513" priority="90">
      <formula>IF(V91="Not Required/Applicable",TRUE)</formula>
    </cfRule>
    <cfRule type="expression" dxfId="3512" priority="91">
      <formula>IF(V91="Not Compliant",TRUE)</formula>
    </cfRule>
    <cfRule type="expression" dxfId="3511" priority="92">
      <formula>IF($N91=" ",TRUE)</formula>
    </cfRule>
  </conditionalFormatting>
  <conditionalFormatting sqref="Q55">
    <cfRule type="expression" dxfId="3510" priority="14987">
      <formula>IF(Q55="Compliant",TRUE)</formula>
    </cfRule>
    <cfRule type="expression" dxfId="3509" priority="14988">
      <formula>IF(Q55="FE with work-a-round",TRUE)</formula>
    </cfRule>
    <cfRule type="expression" dxfId="3508" priority="14989">
      <formula>IF(Q55="Functionally Equivalent",TRUE)</formula>
    </cfRule>
    <cfRule type="expression" dxfId="3507" priority="14990">
      <formula>IF(Q55="Likely to become compliant",TRUE)</formula>
    </cfRule>
    <cfRule type="expression" dxfId="3506" priority="14991">
      <formula>IF(Q55="Partly Compliant",TRUE)</formula>
    </cfRule>
    <cfRule type="expression" dxfId="3505" priority="14992">
      <formula>IF(Q55="Unknown/Missing",TRUE)</formula>
    </cfRule>
    <cfRule type="expression" dxfId="3504" priority="14993">
      <formula>IF(Q55="Not Required/Applicable",TRUE)</formula>
    </cfRule>
    <cfRule type="expression" dxfId="3503" priority="14994">
      <formula>IF(Q55="Not Compliant",TRUE)</formula>
    </cfRule>
    <cfRule type="expression" dxfId="3502" priority="14995">
      <formula>IF(#REF!=" ",TRUE)</formula>
    </cfRule>
  </conditionalFormatting>
  <conditionalFormatting sqref="V87">
    <cfRule type="expression" dxfId="3501" priority="15007">
      <formula>IF(V87="Compliant",TRUE)</formula>
    </cfRule>
    <cfRule type="expression" dxfId="3500" priority="15008">
      <formula>IF(V87="FE with work-a-round",TRUE)</formula>
    </cfRule>
    <cfRule type="expression" dxfId="3499" priority="15009">
      <formula>IF(V87="Functionally Equivalent",TRUE)</formula>
    </cfRule>
    <cfRule type="expression" dxfId="3498" priority="15010">
      <formula>IF(V87="Likely to become compliant",TRUE)</formula>
    </cfRule>
    <cfRule type="expression" dxfId="3497" priority="15011">
      <formula>IF(V87="Partly Compliant",TRUE)</formula>
    </cfRule>
    <cfRule type="expression" dxfId="3496" priority="15012">
      <formula>IF(V87="Unknown/Missing",TRUE)</formula>
    </cfRule>
    <cfRule type="expression" dxfId="3495" priority="15013">
      <formula>IF(V87="Not Required/Applicable",TRUE)</formula>
    </cfRule>
    <cfRule type="expression" dxfId="3494" priority="15014">
      <formula>IF(V87="Not Compliant",TRUE)</formula>
    </cfRule>
    <cfRule type="expression" dxfId="3493" priority="15015">
      <formula>IF(#REF!=" ",TRUE)</formula>
    </cfRule>
  </conditionalFormatting>
  <conditionalFormatting sqref="V86">
    <cfRule type="expression" dxfId="3492" priority="82">
      <formula>IF(W86=FALSE,TRUE,FALSE)</formula>
    </cfRule>
    <cfRule type="expression" dxfId="3491" priority="83">
      <formula>IF(W86=TRUE,TRUE,FALSE)</formula>
    </cfRule>
  </conditionalFormatting>
  <conditionalFormatting sqref="V135">
    <cfRule type="expression" dxfId="3490" priority="80">
      <formula>IF(W135=FALSE,TRUE,FALSE)</formula>
    </cfRule>
    <cfRule type="expression" dxfId="3489" priority="81">
      <formula>IF(W135=TRUE,TRUE,FALSE)</formula>
    </cfRule>
  </conditionalFormatting>
  <conditionalFormatting sqref="V59:V60">
    <cfRule type="expression" dxfId="3488" priority="15025">
      <formula>IF(V59="Compliant",TRUE)</formula>
    </cfRule>
    <cfRule type="expression" dxfId="3487" priority="15026">
      <formula>IF(V59="FE with work-a-round",TRUE)</formula>
    </cfRule>
    <cfRule type="expression" dxfId="3486" priority="15027">
      <formula>IF(V59="Functionally Equivalent",TRUE)</formula>
    </cfRule>
    <cfRule type="expression" dxfId="3485" priority="15028">
      <formula>IF(V59="Likely to become compliant",TRUE)</formula>
    </cfRule>
    <cfRule type="expression" dxfId="3484" priority="15029">
      <formula>IF(V59="Partly Compliant",TRUE)</formula>
    </cfRule>
    <cfRule type="expression" dxfId="3483" priority="15030">
      <formula>IF(V59="Unknown/Missing",TRUE)</formula>
    </cfRule>
    <cfRule type="expression" dxfId="3482" priority="15031">
      <formula>IF(V59="Not Required/Applicable",TRUE)</formula>
    </cfRule>
    <cfRule type="expression" dxfId="3481" priority="15032">
      <formula>IF(V59="Not Compliant",TRUE)</formula>
    </cfRule>
    <cfRule type="expression" dxfId="3480" priority="15033">
      <formula>IF($N59=" ",TRUE)</formula>
    </cfRule>
  </conditionalFormatting>
  <conditionalFormatting sqref="O58">
    <cfRule type="expression" dxfId="3479" priority="58">
      <formula>IF(AND($E58=TRUE,$I58="Valid Entry required below - Check amber box",#REF!="Compliant"),TRUE,FALSE)</formula>
    </cfRule>
    <cfRule type="expression" dxfId="3478" priority="59">
      <formula>IF(AND($E58=TRUE,$I58="Valid Entry made below",#REF!="Compliant"),TRUE,FALSE)</formula>
    </cfRule>
    <cfRule type="expression" dxfId="3477" priority="60">
      <formula>IF(AND($E58=FALSE,#REF!&lt;&gt;""),TRUE,FALSE)</formula>
    </cfRule>
    <cfRule type="expression" dxfId="3476" priority="61">
      <formula>IF(AND($I58&lt;&gt;"",#REF!&lt;&gt;""),TRUE,FALSE)</formula>
    </cfRule>
  </conditionalFormatting>
  <conditionalFormatting sqref="N58">
    <cfRule type="expression" dxfId="3475" priority="56">
      <formula>IF(O58=FALSE,TRUE,FALSE)</formula>
    </cfRule>
    <cfRule type="expression" dxfId="3474" priority="57">
      <formula>IF(O58=TRUE,TRUE,FALSE)</formula>
    </cfRule>
  </conditionalFormatting>
  <conditionalFormatting sqref="V58">
    <cfRule type="expression" dxfId="3473" priority="54">
      <formula>IF(W58=FALSE,TRUE,FALSE)</formula>
    </cfRule>
    <cfRule type="expression" dxfId="3472" priority="55">
      <formula>IF(W58=TRUE,TRUE,FALSE)</formula>
    </cfRule>
  </conditionalFormatting>
  <conditionalFormatting sqref="N78 N72 N68 N64">
    <cfRule type="expression" dxfId="3471" priority="45">
      <formula>IF($N64="Compliant",TRUE)</formula>
    </cfRule>
    <cfRule type="expression" dxfId="3470" priority="46">
      <formula>IF($N64="FE with work-a-round",TRUE)</formula>
    </cfRule>
    <cfRule type="expression" dxfId="3469" priority="47">
      <formula>IF($N64="Functionally Equivalent",TRUE)</formula>
    </cfRule>
    <cfRule type="expression" dxfId="3468" priority="48">
      <formula>IF($N64="Likely to become compliant",TRUE)</formula>
    </cfRule>
    <cfRule type="expression" dxfId="3467" priority="49">
      <formula>IF($N64="Partly Compliant",TRUE)</formula>
    </cfRule>
    <cfRule type="expression" dxfId="3466" priority="50">
      <formula>IF($N64="Unknown/Missing",TRUE)</formula>
    </cfRule>
    <cfRule type="expression" dxfId="3465" priority="51">
      <formula>IF($N64="Not Required/Applicable",TRUE)</formula>
    </cfRule>
    <cfRule type="expression" dxfId="3464" priority="52">
      <formula>IF($N64="Not Compliant",TRUE)</formula>
    </cfRule>
    <cfRule type="expression" dxfId="3463" priority="53">
      <formula>IF($N64=" ",TRUE)</formula>
    </cfRule>
  </conditionalFormatting>
  <conditionalFormatting sqref="V78 V72 V68 V64">
    <cfRule type="expression" dxfId="3462" priority="36">
      <formula>IF(V64="Compliant",TRUE)</formula>
    </cfRule>
    <cfRule type="expression" dxfId="3461" priority="37">
      <formula>IF(V64="FE with work-a-round",TRUE)</formula>
    </cfRule>
    <cfRule type="expression" dxfId="3460" priority="38">
      <formula>IF(V64="Functionally Equivalent",TRUE)</formula>
    </cfRule>
    <cfRule type="expression" dxfId="3459" priority="39">
      <formula>IF(V64="Likely to become compliant",TRUE)</formula>
    </cfRule>
    <cfRule type="expression" dxfId="3458" priority="40">
      <formula>IF(V64="Partly Compliant",TRUE)</formula>
    </cfRule>
    <cfRule type="expression" dxfId="3457" priority="41">
      <formula>IF(V64="Unknown/Missing",TRUE)</formula>
    </cfRule>
    <cfRule type="expression" dxfId="3456" priority="42">
      <formula>IF(V64="Not Required/Applicable",TRUE)</formula>
    </cfRule>
    <cfRule type="expression" dxfId="3455" priority="43">
      <formula>IF(V64="Not Compliant",TRUE)</formula>
    </cfRule>
    <cfRule type="expression" dxfId="3454" priority="44">
      <formula>IF($N64=" ",TRUE)</formula>
    </cfRule>
  </conditionalFormatting>
  <conditionalFormatting sqref="N90">
    <cfRule type="expression" dxfId="3453" priority="27">
      <formula>IF($N90="Compliant",TRUE)</formula>
    </cfRule>
    <cfRule type="expression" dxfId="3452" priority="28">
      <formula>IF($N90="FE with work-a-round",TRUE)</formula>
    </cfRule>
    <cfRule type="expression" dxfId="3451" priority="29">
      <formula>IF($N90="Functionally Equivalent",TRUE)</formula>
    </cfRule>
    <cfRule type="expression" dxfId="3450" priority="30">
      <formula>IF($N90="Likely to become compliant",TRUE)</formula>
    </cfRule>
    <cfRule type="expression" dxfId="3449" priority="31">
      <formula>IF($N90="Partly Compliant",TRUE)</formula>
    </cfRule>
    <cfRule type="expression" dxfId="3448" priority="32">
      <formula>IF($N90="Unknown/Missing",TRUE)</formula>
    </cfRule>
    <cfRule type="expression" dxfId="3447" priority="33">
      <formula>IF($N90="Not Required/Applicable",TRUE)</formula>
    </cfRule>
    <cfRule type="expression" dxfId="3446" priority="34">
      <formula>IF($N90="Not Compliant",TRUE)</formula>
    </cfRule>
    <cfRule type="expression" dxfId="3445" priority="35">
      <formula>IF($N90=" ",TRUE)</formula>
    </cfRule>
  </conditionalFormatting>
  <conditionalFormatting sqref="O90">
    <cfRule type="expression" dxfId="3444" priority="23">
      <formula>IF(AND($E90=TRUE,$I90="Valid Entry required below - Check amber box",#REF!="Compliant"),TRUE,FALSE)</formula>
    </cfRule>
    <cfRule type="expression" dxfId="3443" priority="24">
      <formula>IF(AND($E90=TRUE,$I90="Valid Entry made below",#REF!="Compliant"),TRUE,FALSE)</formula>
    </cfRule>
    <cfRule type="expression" dxfId="3442" priority="25">
      <formula>IF(AND($E90=FALSE,#REF!&lt;&gt;""),TRUE,FALSE)</formula>
    </cfRule>
    <cfRule type="expression" dxfId="3441" priority="26">
      <formula>IF(AND($I90&lt;&gt;"",#REF!&lt;&gt;""),TRUE,FALSE)</formula>
    </cfRule>
  </conditionalFormatting>
  <conditionalFormatting sqref="V90">
    <cfRule type="expression" dxfId="3440" priority="14">
      <formula>IF(V90="Compliant",TRUE)</formula>
    </cfRule>
    <cfRule type="expression" dxfId="3439" priority="15">
      <formula>IF(V90="FE with work-a-round",TRUE)</formula>
    </cfRule>
    <cfRule type="expression" dxfId="3438" priority="16">
      <formula>IF(V90="Functionally Equivalent",TRUE)</formula>
    </cfRule>
    <cfRule type="expression" dxfId="3437" priority="17">
      <formula>IF(V90="Likely to become compliant",TRUE)</formula>
    </cfRule>
    <cfRule type="expression" dxfId="3436" priority="18">
      <formula>IF(V90="Partly Compliant",TRUE)</formula>
    </cfRule>
    <cfRule type="expression" dxfId="3435" priority="19">
      <formula>IF(V90="Unknown/Missing",TRUE)</formula>
    </cfRule>
    <cfRule type="expression" dxfId="3434" priority="20">
      <formula>IF(V90="Not Required/Applicable",TRUE)</formula>
    </cfRule>
    <cfRule type="expression" dxfId="3433" priority="21">
      <formula>IF(V90="Not Compliant",TRUE)</formula>
    </cfRule>
    <cfRule type="expression" dxfId="3432" priority="22">
      <formula>IF(#REF!=" ",TRUE)</formula>
    </cfRule>
  </conditionalFormatting>
  <conditionalFormatting sqref="Q59 Q61:Q63 Q65:Q67 Q69:Q71 Q73:Q77 Q82 Q79:Q80 Q88:Q90 Q92:Q131 Q137:Q144">
    <cfRule type="expression" dxfId="3431" priority="5">
      <formula>IF(Q59="Compliant",TRUE)</formula>
    </cfRule>
    <cfRule type="expression" dxfId="3430" priority="6">
      <formula>IF(Q59="FE with work-a-round",TRUE)</formula>
    </cfRule>
    <cfRule type="expression" dxfId="3429" priority="7">
      <formula>IF(Q59="Functionally Equivalent",TRUE)</formula>
    </cfRule>
    <cfRule type="expression" dxfId="3428" priority="8">
      <formula>IF(Q59="Likely to become compliant",TRUE)</formula>
    </cfRule>
    <cfRule type="expression" dxfId="3427" priority="9">
      <formula>IF(Q59="Partly Compliant",TRUE)</formula>
    </cfRule>
    <cfRule type="expression" dxfId="3426" priority="10">
      <formula>IF(Q59="Unknown/Missing",TRUE)</formula>
    </cfRule>
    <cfRule type="expression" dxfId="3425" priority="11">
      <formula>IF(Q59="Not Required/Applicable",TRUE)</formula>
    </cfRule>
    <cfRule type="expression" dxfId="3424" priority="12">
      <formula>IF(Q59="Not Compliant",TRUE)</formula>
    </cfRule>
    <cfRule type="expression" dxfId="3423" priority="13">
      <formula>IF($N58=" ",TRUE)</formula>
    </cfRule>
  </conditionalFormatting>
  <conditionalFormatting sqref="Q49">
    <cfRule type="expression" dxfId="3422" priority="4">
      <formula>IF(R49=TRUE,TRUE,FALSE)</formula>
    </cfRule>
  </conditionalFormatting>
  <conditionalFormatting sqref="Q49">
    <cfRule type="expression" dxfId="3421" priority="3">
      <formula>IF(R49=FALSE,TRUE,FALSE)</formula>
    </cfRule>
  </conditionalFormatting>
  <conditionalFormatting sqref="D39:D42 D48 D50:D56 D59 D61:D63 D65:D67 D69:D71 D73:D77 D79:D80 D82 D88:D90 D92:D131 D137:D144 D146:D155">
    <cfRule type="expression" dxfId="3420" priority="716">
      <formula>IF($D39="Compliant",TRUE)</formula>
    </cfRule>
    <cfRule type="expression" dxfId="3419" priority="717">
      <formula>IF($D39=" ",TRUE)</formula>
    </cfRule>
    <cfRule type="expression" dxfId="3418" priority="723">
      <formula>IF($D39="Not Compliant",TRUE)</formula>
    </cfRule>
  </conditionalFormatting>
  <dataValidations count="3">
    <dataValidation type="list" allowBlank="1" showInputMessage="1" showErrorMessage="1" sqref="T137:T144 T146:T154 K99">
      <formula1>Final_Compliance</formula1>
    </dataValidation>
    <dataValidation type="list" allowBlank="1" showInputMessage="1" showErrorMessage="1" sqref="I99">
      <formula1>MAO_Compliance_Submission</formula1>
    </dataValidation>
    <dataValidation type="list" allowBlank="1" showInputMessage="1" showErrorMessage="1" sqref="N27:O27 N83:O83">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26" id="{E0C2E6A4-E64F-4B8D-A8D5-919FF37DB478}">
            <xm:f>ISNUMBER(SEARCH($D31,Dropdowns!$D$18))</xm:f>
            <x14:dxf>
              <fill>
                <patternFill>
                  <bgColor rgb="FFFFFF00"/>
                </patternFill>
              </fill>
            </x14:dxf>
          </x14:cfRule>
          <x14:cfRule type="expression" priority="727" id="{2013AC91-D69A-4A60-BB96-8420A1230A51}">
            <xm:f>ISNUMBER(SEARCH($D31,Dropdowns!$D$19))</xm:f>
            <x14:dxf>
              <fill>
                <patternFill>
                  <bgColor theme="6" tint="0.39994506668294322"/>
                </patternFill>
              </fill>
            </x14:dxf>
          </x14:cfRule>
          <x14:cfRule type="expression" priority="728" id="{04EFA275-3899-485B-9817-B48D4A1AE418}">
            <xm:f>ISNUMBER(SEARCH($D31,Dropdowns!$D$20))</xm:f>
            <x14:dxf>
              <fill>
                <patternFill>
                  <bgColor theme="6" tint="0.39994506668294322"/>
                </patternFill>
              </fill>
            </x14:dxf>
          </x14:cfRule>
          <x14:cfRule type="expression" priority="729" id="{675DE228-E150-47D4-A8AC-C6238BA436D0}">
            <xm:f>ISNUMBER(SEARCH($D31,Dropdowns!$D$21))</xm:f>
            <x14:dxf>
              <fill>
                <patternFill>
                  <bgColor rgb="FFFFFF00"/>
                </patternFill>
              </fill>
            </x14:dxf>
          </x14:cfRule>
          <x14:cfRule type="expression" priority="730" id="{D0AF80A8-4DDF-47B2-887E-3674B4678092}">
            <xm:f>ISNUMBER(SEARCH($D31,Dropdowns!$D$23))</xm:f>
            <x14:dxf>
              <fill>
                <patternFill>
                  <bgColor rgb="FFFFFF00"/>
                </patternFill>
              </fill>
            </x14:dxf>
          </x14:cfRule>
          <xm:sqref>D31:D34</xm:sqref>
        </x14:conditionalFormatting>
        <x14:conditionalFormatting xmlns:xm="http://schemas.microsoft.com/office/excel/2006/main">
          <x14:cfRule type="expression" priority="630" id="{60090122-B38D-4452-A346-892A010DAEE4}">
            <xm:f>ISNUMBER(SEARCH($D15,Dropdowns!$D$18))</xm:f>
            <x14:dxf>
              <fill>
                <patternFill>
                  <bgColor rgb="FFFFFF00"/>
                </patternFill>
              </fill>
            </x14:dxf>
          </x14:cfRule>
          <x14:cfRule type="expression" priority="631" id="{8F66962D-C94C-4803-9A4A-E960D5740FFA}">
            <xm:f>ISNUMBER(SEARCH($D15,Dropdowns!$D$19))</xm:f>
            <x14:dxf>
              <fill>
                <patternFill>
                  <bgColor theme="6" tint="0.39994506668294322"/>
                </patternFill>
              </fill>
            </x14:dxf>
          </x14:cfRule>
          <x14:cfRule type="expression" priority="632" id="{0F4BE823-3F93-4DC8-B887-1A224060D61A}">
            <xm:f>ISNUMBER(SEARCH($D15,Dropdowns!$D$20))</xm:f>
            <x14:dxf>
              <fill>
                <patternFill>
                  <bgColor theme="6" tint="0.39994506668294322"/>
                </patternFill>
              </fill>
            </x14:dxf>
          </x14:cfRule>
          <x14:cfRule type="expression" priority="633" id="{F2EF56AD-64DE-4995-8437-5E5586C69079}">
            <xm:f>ISNUMBER(SEARCH($D15,Dropdowns!$D$21))</xm:f>
            <x14:dxf>
              <fill>
                <patternFill>
                  <bgColor rgb="FFFFFF00"/>
                </patternFill>
              </fill>
            </x14:dxf>
          </x14:cfRule>
          <x14:cfRule type="expression" priority="634" id="{03A20C24-5B38-43C5-A9F3-84103F6964E9}">
            <xm:f>ISNUMBER(SEARCH($D15,Dropdowns!$D$23))</xm:f>
            <x14:dxf>
              <fill>
                <patternFill>
                  <bgColor rgb="FFFFFF00"/>
                </patternFill>
              </fill>
            </x14:dxf>
          </x14:cfRule>
          <xm:sqref>D15:D16</xm:sqref>
        </x14:conditionalFormatting>
        <x14:conditionalFormatting xmlns:xm="http://schemas.microsoft.com/office/excel/2006/main">
          <x14:cfRule type="expression" priority="369" id="{8F6BBD67-D7AE-4939-A45B-EE8802017AC0}">
            <xm:f>ISNUMBER(SEARCH($D8,Dropdowns!$D$18))</xm:f>
            <x14:dxf>
              <fill>
                <patternFill>
                  <bgColor rgb="FFFFFF00"/>
                </patternFill>
              </fill>
            </x14:dxf>
          </x14:cfRule>
          <x14:cfRule type="expression" priority="370" id="{9B03A840-70A3-4E1F-8A6A-DE397A053E5A}">
            <xm:f>ISNUMBER(SEARCH($D8,Dropdowns!$D$19))</xm:f>
            <x14:dxf>
              <fill>
                <patternFill>
                  <bgColor theme="6" tint="0.39994506668294322"/>
                </patternFill>
              </fill>
            </x14:dxf>
          </x14:cfRule>
          <x14:cfRule type="expression" priority="371" id="{261345DE-7B33-4624-8D07-D731DA118936}">
            <xm:f>ISNUMBER(SEARCH($D8,Dropdowns!$D$20))</xm:f>
            <x14:dxf>
              <fill>
                <patternFill>
                  <bgColor theme="6" tint="0.39994506668294322"/>
                </patternFill>
              </fill>
            </x14:dxf>
          </x14:cfRule>
          <x14:cfRule type="expression" priority="372" id="{502CFC49-38D6-475D-9EBD-8208DDAD4234}">
            <xm:f>ISNUMBER(SEARCH($D8,Dropdowns!$D$21))</xm:f>
            <x14:dxf>
              <fill>
                <patternFill>
                  <bgColor rgb="FFFFFF00"/>
                </patternFill>
              </fill>
            </x14:dxf>
          </x14:cfRule>
          <x14:cfRule type="expression" priority="373" id="{777F9ACD-7447-41C0-A165-10F8784FA9CD}">
            <xm:f>ISNUMBER(SEARCH($D8,Dropdowns!$D$23))</xm:f>
            <x14:dxf>
              <fill>
                <patternFill>
                  <bgColor rgb="FFFFFF00"/>
                </patternFill>
              </fill>
            </x14:dxf>
          </x14:cfRule>
          <xm:sqref>D8</xm:sqref>
        </x14:conditionalFormatting>
        <x14:conditionalFormatting xmlns:xm="http://schemas.microsoft.com/office/excel/2006/main">
          <x14:cfRule type="expression" priority="326" id="{29DE39E8-DD94-4EA4-8A2D-52A3AAD0DA32}">
            <xm:f>ISNUMBER(SEARCH($D10,Dropdowns!$D$18))</xm:f>
            <x14:dxf>
              <fill>
                <patternFill>
                  <bgColor rgb="FFFFFF00"/>
                </patternFill>
              </fill>
            </x14:dxf>
          </x14:cfRule>
          <x14:cfRule type="expression" priority="327" id="{2D0DB2F6-771C-4086-84A7-CC47E468D282}">
            <xm:f>ISNUMBER(SEARCH($D10,Dropdowns!$D$19))</xm:f>
            <x14:dxf>
              <fill>
                <patternFill>
                  <bgColor theme="6" tint="0.39994506668294322"/>
                </patternFill>
              </fill>
            </x14:dxf>
          </x14:cfRule>
          <x14:cfRule type="expression" priority="328" id="{25C310DC-E71C-44BE-BBBE-26AE50EAF354}">
            <xm:f>ISNUMBER(SEARCH($D10,Dropdowns!$D$20))</xm:f>
            <x14:dxf>
              <fill>
                <patternFill>
                  <bgColor theme="6" tint="0.39994506668294322"/>
                </patternFill>
              </fill>
            </x14:dxf>
          </x14:cfRule>
          <x14:cfRule type="expression" priority="329" id="{C5A07A05-1F65-45FB-931B-9D481B55A9F6}">
            <xm:f>ISNUMBER(SEARCH($D10,Dropdowns!$D$21))</xm:f>
            <x14:dxf>
              <fill>
                <patternFill>
                  <bgColor rgb="FFFFFF00"/>
                </patternFill>
              </fill>
            </x14:dxf>
          </x14:cfRule>
          <x14:cfRule type="expression" priority="330" id="{E2648355-4F28-410E-8873-A47D3AF644DE}">
            <xm:f>ISNUMBER(SEARCH($D10,Dropdowns!$D$23))</xm:f>
            <x14:dxf>
              <fill>
                <patternFill>
                  <bgColor rgb="FFFFFF00"/>
                </patternFill>
              </fill>
            </x14:dxf>
          </x14:cfRule>
          <xm:sqref>D10:D11</xm:sqref>
        </x14:conditionalFormatting>
        <x14:conditionalFormatting xmlns:xm="http://schemas.microsoft.com/office/excel/2006/main">
          <x14:cfRule type="expression" priority="316" id="{D357C86A-CF88-43E1-B3FE-C94C45B3A44E}">
            <xm:f>ISNUMBER(SEARCH($D26,Dropdowns!$D$18))</xm:f>
            <x14:dxf>
              <fill>
                <patternFill>
                  <bgColor rgb="FFFFFF00"/>
                </patternFill>
              </fill>
            </x14:dxf>
          </x14:cfRule>
          <x14:cfRule type="expression" priority="317" id="{EF454CBF-8BDA-4A26-8459-919322256F48}">
            <xm:f>ISNUMBER(SEARCH($D26,Dropdowns!$D$19))</xm:f>
            <x14:dxf>
              <fill>
                <patternFill>
                  <bgColor theme="6" tint="0.39994506668294322"/>
                </patternFill>
              </fill>
            </x14:dxf>
          </x14:cfRule>
          <x14:cfRule type="expression" priority="318" id="{27A7BC78-7853-48B4-A3D9-6D0CDF9B1089}">
            <xm:f>ISNUMBER(SEARCH($D26,Dropdowns!$D$20))</xm:f>
            <x14:dxf>
              <fill>
                <patternFill>
                  <bgColor theme="6" tint="0.39994506668294322"/>
                </patternFill>
              </fill>
            </x14:dxf>
          </x14:cfRule>
          <x14:cfRule type="expression" priority="319" id="{89EC04B5-3D90-43AF-85AD-3335A33168F7}">
            <xm:f>ISNUMBER(SEARCH($D26,Dropdowns!$D$21))</xm:f>
            <x14:dxf>
              <fill>
                <patternFill>
                  <bgColor rgb="FFFFFF00"/>
                </patternFill>
              </fill>
            </x14:dxf>
          </x14:cfRule>
          <x14:cfRule type="expression" priority="320" id="{EF6FEB68-9044-47C8-B787-8CF4691D0C52}">
            <xm:f>ISNUMBER(SEARCH($D26,Dropdowns!$D$23))</xm:f>
            <x14:dxf>
              <fill>
                <patternFill>
                  <bgColor rgb="FFFFFF00"/>
                </patternFill>
              </fill>
            </x14:dxf>
          </x14:cfRule>
          <xm:sqref>D26</xm:sqref>
        </x14:conditionalFormatting>
        <x14:conditionalFormatting xmlns:xm="http://schemas.microsoft.com/office/excel/2006/main">
          <x14:cfRule type="expression" priority="718" id="{1CDB0EEF-A131-424B-A450-D97776C58394}">
            <xm:f>ISNUMBER(SEARCH($D39,Dropdowns!$D$18))</xm:f>
            <x14:dxf>
              <fill>
                <patternFill>
                  <bgColor rgb="FFFFFF00"/>
                </patternFill>
              </fill>
            </x14:dxf>
          </x14:cfRule>
          <x14:cfRule type="expression" priority="719" id="{92292739-8B5D-440F-A1A9-15A9E4D8C3DD}">
            <xm:f>ISNUMBER(SEARCH($D39,Dropdowns!$D$19))</xm:f>
            <x14:dxf>
              <fill>
                <patternFill>
                  <bgColor theme="6" tint="0.39994506668294322"/>
                </patternFill>
              </fill>
            </x14:dxf>
          </x14:cfRule>
          <x14:cfRule type="expression" priority="720" id="{36476ADA-7D9F-44AA-AB4A-E2A10C7ACAB1}">
            <xm:f>ISNUMBER(SEARCH($D39,Dropdowns!$D$20))</xm:f>
            <x14:dxf>
              <fill>
                <patternFill>
                  <bgColor theme="6" tint="0.39994506668294322"/>
                </patternFill>
              </fill>
            </x14:dxf>
          </x14:cfRule>
          <x14:cfRule type="expression" priority="721" id="{B9707989-9AF7-4856-ABD4-F02D334B1822}">
            <xm:f>ISNUMBER(SEARCH($D39,Dropdowns!$D$21))</xm:f>
            <x14:dxf>
              <fill>
                <patternFill>
                  <bgColor rgb="FFFFFF00"/>
                </patternFill>
              </fill>
            </x14:dxf>
          </x14:cfRule>
          <x14:cfRule type="expression" priority="722" id="{9CB62B49-0B6F-494A-92FD-4486098D8E96}">
            <xm:f>ISNUMBER(SEARCH($D39,Dropdowns!$D$23))</xm:f>
            <x14:dxf>
              <fill>
                <patternFill>
                  <bgColor rgb="FFFFFF00"/>
                </patternFill>
              </fill>
            </x14:dxf>
          </x14:cfRule>
          <xm:sqref>D39:D42 D48 D50:D56 D59 D61:D63 D65:D67 D69:D71 D73:D77 D79:D80 D82 D88:D90 D92:D131 D137:D144 D146:D155</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Dropdowns!$D$11:$D$13</xm:f>
          </x14:formula1>
          <xm:sqref>V12</xm:sqref>
        </x14:dataValidation>
        <x14:dataValidation type="list" allowBlank="1" showInputMessage="1" showErrorMessage="1">
          <x14:formula1>
            <xm:f>Dropdowns!$E$11:$E$15</xm:f>
          </x14:formula1>
          <xm:sqref>Q15 Q39:Q42 Q8:Q9 Q26</xm:sqref>
        </x14:dataValidation>
        <x14:dataValidation type="list" allowBlank="1" showInputMessage="1" showErrorMessage="1">
          <x14:formula1>
            <xm:f>Dropdowns!$G$11:$G$16</xm:f>
          </x14:formula1>
          <xm:sqref>T155 V82:V83 V30 V132 V8:V9 V134 V38 V26:V27 V15 V47 V145 V78 V136 V85 V90:V91 V54 V59:V60 V64 V68 V72 V87</xm:sqref>
        </x14:dataValidation>
        <x14:dataValidation type="list" allowBlank="1" showInputMessage="1" showErrorMessage="1">
          <x14:formula1>
            <xm:f>Dropdowns!$C$11:$C$13</xm:f>
          </x14:formula1>
          <xm:sqref>N24:P24 P27 V17 V24:X24 W27:X27 V25 D13 N13 Q13 D25 N25 Q25 N14:O14 V13:V14 O16:O17 N17</xm:sqref>
        </x14:dataValidation>
        <x14:dataValidation type="list" allowBlank="1" showInputMessage="1" showErrorMessage="1">
          <x14:formula1>
            <xm:f>Dropdowns!$F$9:$F$13</xm:f>
          </x14:formula1>
          <xm:sqref>N54:O54</xm:sqref>
        </x14:dataValidation>
        <x14:dataValidation type="list" allowBlank="1" showInputMessage="1" showErrorMessage="1">
          <x14:formula1>
            <xm:f>Dropdowns!$C$16:$C$19</xm:f>
          </x14:formula1>
          <xm:sqref>V37</xm:sqref>
        </x14:dataValidation>
        <x14:dataValidation type="list" allowBlank="1" showInputMessage="1" showErrorMessage="1">
          <x14:formula1>
            <xm:f>Dropdowns!$F$9:$F$12</xm:f>
          </x14:formula1>
          <xm:sqref>N132:O132 N134:O134 N85:O85</xm:sqref>
        </x14:dataValidation>
        <x14:dataValidation type="list" allowBlank="1" showInputMessage="1" showErrorMessage="1">
          <x14:formula1>
            <xm:f>Dropdowns!$D$16:$D$23</xm:f>
          </x14:formula1>
          <xm:sqref>Q50:Q56 D82 D88:D90 D39:D42 D48 D50:D56 D59 D61:D63 D65:D67 D69:D71 D73:D77 D79:D80 D92:D131 D137:D144 D146:D155 D10:D11 D15:D16 Q31:Q34 D8 D26 Q61:Q63 Q65:Q67 Q69:Q71 Q73:Q77 Q82 Q88:Q90 Q79:Q80 Q59 Q92:Q131 Q137:Q144 Q146:Q155 Q48 D31:D33</xm:sqref>
        </x14:dataValidation>
        <x14:dataValidation type="list" allowBlank="1" showInputMessage="1" showErrorMessage="1">
          <x14:formula1>
            <xm:f>Dropdowns!$C$3:$C$5</xm:f>
          </x14:formula1>
          <xm:sqref>E99</xm:sqref>
        </x14:dataValidation>
        <x14:dataValidation type="list" allowBlank="1" showInputMessage="1" showErrorMessage="1">
          <x14:formula1>
            <xm:f>Dropdowns!$F$2:$F$8</xm:f>
          </x14:formula1>
          <xm:sqref>N30 N47 N38 N8:N9 N26 N15 N59:N60 N82 N87 N145 N136 N90:N91 N54 N64 N68 N72 N78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D185"/>
  <sheetViews>
    <sheetView zoomScale="75" zoomScaleNormal="75" workbookViewId="0">
      <pane xSplit="8" ySplit="5" topLeftCell="I6" activePane="bottomRight" state="frozen"/>
      <selection activeCell="T10" sqref="T10"/>
      <selection pane="topRight" activeCell="T10" sqref="T10"/>
      <selection pane="bottomLeft" activeCell="T10" sqref="T10"/>
      <selection pane="bottomRight" activeCell="I8" sqref="I8"/>
    </sheetView>
  </sheetViews>
  <sheetFormatPr defaultColWidth="8.796875" defaultRowHeight="13" x14ac:dyDescent="0.3"/>
  <cols>
    <col min="1" max="1" width="8.69921875" hidden="1" customWidth="1"/>
    <col min="2" max="2" width="29.296875" customWidth="1"/>
    <col min="3" max="3" width="61" customWidth="1"/>
    <col min="4" max="4" width="32.796875" customWidth="1"/>
    <col min="5" max="6" width="10.69921875" hidden="1" customWidth="1"/>
    <col min="7" max="7" width="9.69921875" hidden="1" customWidth="1"/>
    <col min="8" max="8" width="10.19921875" hidden="1" customWidth="1"/>
    <col min="9" max="9" width="58.296875" customWidth="1"/>
    <col min="10" max="11" width="9.19921875" hidden="1" customWidth="1"/>
    <col min="12" max="13" width="34.796875" customWidth="1"/>
    <col min="14" max="14" width="35.796875" customWidth="1"/>
    <col min="15" max="15" width="21.19921875" hidden="1" customWidth="1"/>
    <col min="16" max="16" width="50" customWidth="1"/>
    <col min="17" max="17" width="33.296875" customWidth="1"/>
    <col min="18" max="18" width="12.296875" hidden="1" customWidth="1"/>
    <col min="19" max="19" width="58.19921875" customWidth="1"/>
    <col min="20" max="20" width="38.796875" customWidth="1"/>
    <col min="21" max="21" width="36" customWidth="1"/>
    <col min="22" max="22" width="33.69921875" customWidth="1"/>
    <col min="23" max="23" width="13.796875" hidden="1" customWidth="1"/>
    <col min="24" max="24" width="49.796875" customWidth="1"/>
    <col min="25" max="25" width="31.69921875" customWidth="1"/>
    <col min="26" max="26" width="42.296875" customWidth="1"/>
  </cols>
  <sheetData>
    <row r="1" spans="1:26" s="3694" customFormat="1" ht="69" customHeight="1" x14ac:dyDescent="0.3">
      <c r="B1" s="4460"/>
      <c r="C1" s="4460"/>
      <c r="D1" s="4460"/>
    </row>
    <row r="2" spans="1:26" s="3694" customFormat="1" ht="90.75" customHeight="1" x14ac:dyDescent="0.3">
      <c r="B2" s="4461" t="s">
        <v>2280</v>
      </c>
      <c r="C2" s="4462"/>
      <c r="D2" s="4462"/>
    </row>
    <row r="3" spans="1:26" s="3694" customFormat="1" x14ac:dyDescent="0.3">
      <c r="B3" s="4746"/>
      <c r="C3" s="4746"/>
      <c r="D3" s="4746"/>
    </row>
    <row r="4" spans="1:26" s="3774" customFormat="1" ht="52.5" customHeight="1" thickBot="1" x14ac:dyDescent="0.35">
      <c r="A4" s="4770" t="s">
        <v>1861</v>
      </c>
      <c r="B4" s="4770"/>
      <c r="C4" s="4770"/>
      <c r="D4" s="4770"/>
      <c r="E4" s="3771"/>
      <c r="F4" s="3771"/>
      <c r="G4" s="3771"/>
      <c r="H4" s="3771"/>
      <c r="I4" s="3771"/>
      <c r="J4" s="3771"/>
      <c r="K4" s="3771"/>
      <c r="L4" s="3771"/>
      <c r="M4" s="3771"/>
      <c r="N4" s="3771"/>
      <c r="O4" s="3771"/>
      <c r="P4" s="3772"/>
      <c r="Q4" s="3772"/>
      <c r="R4" s="3772"/>
      <c r="S4" s="3772"/>
      <c r="T4" s="3772"/>
      <c r="U4" s="3772"/>
      <c r="V4" s="3773"/>
    </row>
    <row r="5" spans="1:26" s="3650" customFormat="1" ht="38" thickTop="1" thickBot="1" x14ac:dyDescent="0.35">
      <c r="A5" s="3759"/>
      <c r="B5" s="3759" t="s">
        <v>1872</v>
      </c>
      <c r="C5" s="3759" t="s">
        <v>1873</v>
      </c>
      <c r="D5" s="3759" t="s">
        <v>1236</v>
      </c>
      <c r="E5" s="3759"/>
      <c r="F5" s="3759"/>
      <c r="G5" s="3760"/>
      <c r="H5" s="3759"/>
      <c r="I5" s="3759" t="s">
        <v>458</v>
      </c>
      <c r="J5" s="3760"/>
      <c r="K5" s="3760"/>
      <c r="L5" s="3759" t="s">
        <v>408</v>
      </c>
      <c r="M5" s="3759" t="s">
        <v>466</v>
      </c>
      <c r="N5" s="3760" t="s">
        <v>465</v>
      </c>
      <c r="O5" s="3760"/>
      <c r="P5" s="3759" t="s">
        <v>1221</v>
      </c>
      <c r="Q5" s="3759" t="s">
        <v>1212</v>
      </c>
      <c r="R5" s="3759"/>
      <c r="S5" s="3759" t="s">
        <v>396</v>
      </c>
      <c r="T5" s="3759" t="s">
        <v>409</v>
      </c>
      <c r="U5" s="3759" t="s">
        <v>1211</v>
      </c>
      <c r="V5" s="3759" t="s">
        <v>1824</v>
      </c>
      <c r="W5" s="3761"/>
      <c r="X5" s="3759" t="s">
        <v>10</v>
      </c>
      <c r="Y5" s="3759" t="s">
        <v>11</v>
      </c>
      <c r="Z5" s="3759" t="s">
        <v>12</v>
      </c>
    </row>
    <row r="6" spans="1:26" s="3640" customFormat="1" ht="19" thickTop="1" x14ac:dyDescent="0.3">
      <c r="A6" s="4636" t="s">
        <v>476</v>
      </c>
      <c r="B6" s="4636"/>
      <c r="C6" s="4636"/>
      <c r="D6" s="3646"/>
      <c r="E6" s="3646"/>
      <c r="F6" s="3646"/>
      <c r="G6" s="3646"/>
      <c r="H6" s="3646"/>
      <c r="I6" s="3646"/>
      <c r="J6" s="3646"/>
      <c r="K6" s="3646"/>
      <c r="L6" s="3646"/>
      <c r="M6" s="3646"/>
      <c r="N6" s="4636"/>
      <c r="O6" s="4636"/>
      <c r="P6" s="4636"/>
      <c r="Q6" s="4636"/>
      <c r="R6" s="4636"/>
      <c r="S6" s="4636"/>
      <c r="T6" s="4636"/>
      <c r="U6" s="4636"/>
      <c r="V6" s="4636"/>
      <c r="W6" s="4636"/>
      <c r="X6" s="4636"/>
      <c r="Y6" s="3775"/>
      <c r="Z6" s="3775"/>
    </row>
    <row r="7" spans="1:26" s="3640" customFormat="1" ht="19" thickBot="1" x14ac:dyDescent="0.35">
      <c r="B7" s="3637"/>
      <c r="C7" s="3690"/>
      <c r="D7" s="3642"/>
      <c r="E7" s="3642"/>
      <c r="F7" s="3642"/>
      <c r="G7" s="3642"/>
      <c r="H7" s="3642"/>
      <c r="I7" s="3776"/>
      <c r="J7" s="3642"/>
      <c r="K7" s="3642"/>
      <c r="L7" s="3642"/>
      <c r="M7" s="3642"/>
      <c r="N7" s="3642"/>
      <c r="O7" s="3642"/>
      <c r="P7" s="3776"/>
      <c r="Q7" s="3776"/>
      <c r="R7" s="3776"/>
      <c r="S7" s="3777"/>
      <c r="T7" s="3778"/>
      <c r="U7" s="3778"/>
      <c r="V7" s="3660"/>
      <c r="W7" s="3779"/>
      <c r="X7" s="3780"/>
      <c r="Y7" s="3781"/>
      <c r="Z7" s="3690"/>
    </row>
    <row r="8" spans="1:26" s="20" customFormat="1" ht="59" thickTop="1" thickBot="1" x14ac:dyDescent="0.35">
      <c r="A8" s="37" t="s">
        <v>411</v>
      </c>
      <c r="B8" s="1933" t="s">
        <v>398</v>
      </c>
      <c r="C8" s="1809" t="s">
        <v>399</v>
      </c>
      <c r="D8" s="102" t="s">
        <v>3</v>
      </c>
      <c r="E8" s="231" t="b">
        <f>IF(D8="Compliant",TRUE,FALSE)</f>
        <v>0</v>
      </c>
      <c r="F8" s="685"/>
      <c r="G8" s="685"/>
      <c r="H8" s="685"/>
      <c r="I8" s="2675"/>
      <c r="J8" s="2675"/>
      <c r="K8" s="2675"/>
      <c r="L8" s="2675"/>
      <c r="M8" s="133"/>
      <c r="N8" s="924" t="s">
        <v>3</v>
      </c>
      <c r="O8" s="920" t="b">
        <f>IF(OR(N8="Compliant",N8="FE with work-a-round",N8="Functionally Equivalent"),TRUE,FALSE)</f>
        <v>0</v>
      </c>
      <c r="P8" s="3611"/>
      <c r="Q8" s="925" t="s">
        <v>3</v>
      </c>
      <c r="R8" s="920" t="b">
        <f>IF(OR(Q8="Compliant",Q8="FE with work-a-round",Q8="Functionally Equivalent"),TRUE,FALSE)</f>
        <v>0</v>
      </c>
      <c r="S8" s="3600"/>
      <c r="T8" s="3600"/>
      <c r="U8" s="3611"/>
      <c r="V8" s="3594" t="s">
        <v>3</v>
      </c>
      <c r="W8" s="460" t="b">
        <f>IF(OR(V8="Compliant",V8="FE with work-a-round",V8="Functionally Equivalent",V8="Not Required/Applicable"),TRUE,FALSE)</f>
        <v>0</v>
      </c>
      <c r="X8" s="336"/>
      <c r="Y8" s="336"/>
      <c r="Z8" s="2676"/>
    </row>
    <row r="9" spans="1:26" s="20" customFormat="1" ht="59" thickTop="1" thickBot="1" x14ac:dyDescent="0.35">
      <c r="A9" s="37" t="s">
        <v>590</v>
      </c>
      <c r="B9" s="1810" t="s">
        <v>626</v>
      </c>
      <c r="C9" s="2275" t="s">
        <v>539</v>
      </c>
      <c r="D9" s="2320" t="s">
        <v>565</v>
      </c>
      <c r="E9" s="978" t="b">
        <f>IF(OR(E10=TRUE,E11=TRUE),TRUE,FALSE)</f>
        <v>0</v>
      </c>
      <c r="F9" s="979">
        <f>COUNTIF(E10:E11,TRUE)</f>
        <v>0</v>
      </c>
      <c r="G9" s="979">
        <f>COUNTIFS(E10:E11,TRUE,G10:G11,"Not Blank")</f>
        <v>0</v>
      </c>
      <c r="H9" s="979">
        <f>COUNTIFS(E10:E11,FALSE,G10:G11,"Not Blank")</f>
        <v>0</v>
      </c>
      <c r="I9" s="1497" t="str">
        <f xml:space="preserve">
IF(F9&gt;1,"Too Many Entries - Check Red Lines",
IF(G9&lt;F9,"Valid Entry required below - Check Amber Line/s",
IF(AND(E8=FALSE,G9=0,H9=0),"Nothing Entered below Yet",
IF(G9&lt;F9,"Valid Entry required below - Check Amber Line/s",
IF(AND(G9=0,H9&gt;0),"**Non-Valid Entry/ies below - Check Yellow Line/s",
IF(AND(G9&gt;0,H9&gt;0),"**Valid and Non-Valid Entries made below - Check Yellow Line/s",
IF(AND(E8=FALSE,F9&lt;1),"Not all requirements addressed below - Check Pink Line/s",
IF(AND(E8=FALSE,G9&lt;1,G9&gt;0,H9=0),"More entries to come",
IF(AND(E8,TRUE,G9=1,H9=0),"Valid Entries made below"
)))))))))</f>
        <v>Nothing Entered below Yet</v>
      </c>
      <c r="J9" s="1647">
        <f>COUNTIFS(E10:E11,TRUE,J10:J11,"Not Blank")</f>
        <v>0</v>
      </c>
      <c r="K9" s="1647">
        <f>COUNTIFS(E10:E11,FALSE,J10:J11,"Not Blank")</f>
        <v>0</v>
      </c>
      <c r="L9" s="1497" t="str">
        <f xml:space="preserve">
IF(J9&gt;1,"Too Many Entries - Check Red Lines",
IF(J9&lt;F9,"Valid Entry required below - Check Amber Line/s",
IF(AND(E8=FALSE,J9=0,K9=0),"Nothing Entered below Yet",
IF(AND(J9=0,K9&gt;0),"**Non-Valid Entry/ies below - Check Yellow Line/s",
IF(AND(J9&gt;0,K9&gt;0),"**Valid and Non-Valid Entries made below - Check Yellow Line/s",
IF(AND(E8=FALSE,J9&lt;1),"Not all requirements addressed below - Check Pink Line/s",
IF(AND(E8=FALSE,J9&lt;1,J9&gt;0,K9=0),"More entries to come",
IF(AND(E8,TRUE,J9=1,K9=0),"Valid Entries made below"
))))))))</f>
        <v>Nothing Entered below Yet</v>
      </c>
      <c r="M9" s="987"/>
      <c r="N9" s="4414" t="s">
        <v>3</v>
      </c>
      <c r="O9" s="4609" t="b">
        <f>IF(OR(N9="Compliant",N9="FE with work-a-round",N9="Functionally Equivalent"),TRUE,FALSE)</f>
        <v>0</v>
      </c>
      <c r="P9" s="337"/>
      <c r="Q9" s="4414" t="s">
        <v>3</v>
      </c>
      <c r="R9" s="4759" t="b">
        <f>IF(OR(Q9="Compliant",Q9="FE with work-a-round",Q9="Functionally Equivalent"),TRUE,FALSE)</f>
        <v>0</v>
      </c>
      <c r="S9" s="3600"/>
      <c r="T9" s="3600"/>
      <c r="U9" s="3598"/>
      <c r="V9" s="4414" t="s">
        <v>3</v>
      </c>
      <c r="W9" s="4768" t="b">
        <f>IF(OR(V9="Compliant",V9="FE with work-a-round",V9="Functionally Equivalent",V9="Not Required/Applicable"),TRUE,FALSE)</f>
        <v>0</v>
      </c>
      <c r="X9" s="3595"/>
      <c r="Y9" s="186"/>
      <c r="Z9" s="2666"/>
    </row>
    <row r="10" spans="1:26" s="20" customFormat="1" ht="29.5" thickTop="1" x14ac:dyDescent="0.3">
      <c r="A10" s="37"/>
      <c r="B10" s="1504"/>
      <c r="C10" s="1685" t="s">
        <v>540</v>
      </c>
      <c r="D10" s="1035" t="s">
        <v>3</v>
      </c>
      <c r="E10" s="67" t="b">
        <f>IF(D10="Compliant",TRUE,FALSE)</f>
        <v>0</v>
      </c>
      <c r="F10" s="44"/>
      <c r="G10" s="44" t="str">
        <f>IF(I10&lt;&gt;"", "Not Blank", "")</f>
        <v/>
      </c>
      <c r="H10" s="44"/>
      <c r="I10" s="42"/>
      <c r="J10" s="44" t="str">
        <f>IF(L10&lt;&gt;"", "Not Blank", "")</f>
        <v/>
      </c>
      <c r="K10" s="44"/>
      <c r="L10" s="42"/>
      <c r="M10" s="120"/>
      <c r="N10" s="4415"/>
      <c r="O10" s="4610"/>
      <c r="P10" s="1755"/>
      <c r="Q10" s="4415"/>
      <c r="R10" s="4760"/>
      <c r="S10" s="261"/>
      <c r="T10" s="261"/>
      <c r="U10" s="589"/>
      <c r="V10" s="4415"/>
      <c r="W10" s="4768"/>
      <c r="X10" s="3590"/>
      <c r="Y10" s="261"/>
      <c r="Z10" s="2667"/>
    </row>
    <row r="11" spans="1:26" s="20" customFormat="1" ht="29.5" thickBot="1" x14ac:dyDescent="0.35">
      <c r="A11" s="37"/>
      <c r="B11" s="1505"/>
      <c r="C11" s="1800" t="s">
        <v>541</v>
      </c>
      <c r="D11" s="700" t="s">
        <v>3</v>
      </c>
      <c r="E11" s="161" t="b">
        <f>IF(D11="Compliant",TRUE,FALSE)</f>
        <v>0</v>
      </c>
      <c r="F11" s="124"/>
      <c r="G11" s="124" t="str">
        <f>IF(I11&lt;&gt;"", "Not Blank", "")</f>
        <v/>
      </c>
      <c r="H11" s="124"/>
      <c r="I11" s="124"/>
      <c r="J11" s="124" t="str">
        <f>IF(L11&lt;&gt;"", "Not Blank", "")</f>
        <v/>
      </c>
      <c r="K11" s="124"/>
      <c r="L11" s="124"/>
      <c r="M11" s="246"/>
      <c r="N11" s="4416"/>
      <c r="O11" s="4611"/>
      <c r="P11" s="1749"/>
      <c r="Q11" s="4416"/>
      <c r="R11" s="4761"/>
      <c r="S11" s="1555"/>
      <c r="T11" s="1555"/>
      <c r="U11" s="1164"/>
      <c r="V11" s="4416"/>
      <c r="W11" s="4769"/>
      <c r="X11" s="3596"/>
      <c r="Y11" s="1555"/>
      <c r="Z11" s="2669"/>
    </row>
    <row r="12" spans="1:26" s="20" customFormat="1" ht="15.5" thickTop="1" thickBot="1" x14ac:dyDescent="0.35">
      <c r="B12" s="71"/>
      <c r="C12" s="71"/>
      <c r="D12" s="507"/>
      <c r="E12" s="507"/>
      <c r="F12" s="507"/>
      <c r="G12" s="507"/>
      <c r="H12" s="507"/>
      <c r="I12" s="507"/>
      <c r="J12" s="507"/>
      <c r="K12" s="507"/>
      <c r="L12" s="507"/>
      <c r="M12" s="507"/>
      <c r="N12" s="507"/>
      <c r="O12" s="507"/>
      <c r="P12" s="507"/>
      <c r="Q12" s="507"/>
      <c r="R12" s="507"/>
      <c r="S12" s="507"/>
      <c r="T12" s="507"/>
      <c r="U12" s="507"/>
      <c r="V12" s="3618"/>
      <c r="W12" s="507"/>
      <c r="X12" s="3618"/>
      <c r="Y12" s="3618"/>
    </row>
    <row r="13" spans="1:26" s="20" customFormat="1" ht="59" thickTop="1" thickBot="1" x14ac:dyDescent="0.35">
      <c r="A13" s="37" t="s">
        <v>412</v>
      </c>
      <c r="B13" s="1932" t="s">
        <v>400</v>
      </c>
      <c r="C13" s="1849" t="s">
        <v>1953</v>
      </c>
      <c r="D13" s="1936" t="s">
        <v>393</v>
      </c>
      <c r="E13" s="985" t="b">
        <f>IF(D13="Applicable",TRUE,FALSE)</f>
        <v>0</v>
      </c>
      <c r="F13" s="986"/>
      <c r="G13" s="905"/>
      <c r="H13" s="986"/>
      <c r="I13" s="905"/>
      <c r="J13" s="905"/>
      <c r="K13" s="905"/>
      <c r="L13" s="986"/>
      <c r="M13" s="986"/>
      <c r="N13" s="1936"/>
      <c r="O13" s="985" t="b">
        <f>IF(N13="Applicable",TRUE,FALSE)</f>
        <v>0</v>
      </c>
      <c r="P13" s="3788"/>
      <c r="Q13" s="1936"/>
      <c r="R13" s="985" t="b">
        <f>IF(Q13="Applicable",TRUE,FALSE)</f>
        <v>0</v>
      </c>
      <c r="S13" s="3788"/>
      <c r="T13" s="3788"/>
      <c r="U13" s="3788"/>
      <c r="V13" s="1936"/>
      <c r="W13" s="1008" t="b">
        <f>IF(V13="Applicable",TRUE,FALSE)</f>
        <v>0</v>
      </c>
      <c r="X13" s="3597"/>
      <c r="Y13" s="336"/>
      <c r="Z13" s="2676"/>
    </row>
    <row r="14" spans="1:26" s="3745" customFormat="1" ht="15.5" thickTop="1" thickBot="1" x14ac:dyDescent="0.35">
      <c r="A14" s="3634"/>
      <c r="B14" s="3634"/>
      <c r="C14" s="3634"/>
      <c r="D14" s="3634"/>
      <c r="E14" s="3634"/>
      <c r="F14" s="3634"/>
      <c r="G14" s="3634"/>
      <c r="H14" s="3634"/>
      <c r="I14" s="3634"/>
      <c r="J14" s="3634"/>
      <c r="K14" s="3634"/>
      <c r="L14" s="3634"/>
      <c r="M14" s="3634"/>
      <c r="N14" s="3634"/>
      <c r="O14" s="3634"/>
      <c r="P14" s="3635"/>
      <c r="Q14" s="3635"/>
      <c r="R14" s="3635"/>
      <c r="S14" s="3635"/>
      <c r="T14" s="3635"/>
      <c r="U14" s="3635"/>
      <c r="V14" s="3635"/>
      <c r="W14" s="3635"/>
      <c r="X14" s="3635"/>
      <c r="Y14" s="3635"/>
    </row>
    <row r="15" spans="1:26" s="20" customFormat="1" ht="44.5" thickTop="1" thickBot="1" x14ac:dyDescent="0.35">
      <c r="A15" s="81"/>
      <c r="B15" s="2288" t="s">
        <v>824</v>
      </c>
      <c r="C15" s="1809" t="s">
        <v>475</v>
      </c>
      <c r="D15" s="1925" t="s">
        <v>1233</v>
      </c>
      <c r="E15" s="231" t="b">
        <f>OR(E28,E13)</f>
        <v>0</v>
      </c>
      <c r="F15" s="133"/>
      <c r="G15" s="685"/>
      <c r="H15" s="685"/>
      <c r="I15" s="2675"/>
      <c r="J15" s="2675"/>
      <c r="K15" s="2675"/>
      <c r="L15" s="2675"/>
      <c r="M15" s="2676"/>
      <c r="N15" s="1895" t="s">
        <v>1233</v>
      </c>
      <c r="O15" s="1186" t="b">
        <f>O28</f>
        <v>0</v>
      </c>
      <c r="P15" s="3190"/>
      <c r="Q15" s="1916" t="s">
        <v>1233</v>
      </c>
      <c r="R15" s="729" t="b">
        <f>R28</f>
        <v>0</v>
      </c>
      <c r="S15" s="406"/>
      <c r="T15" s="406"/>
      <c r="U15" s="1211"/>
      <c r="V15" s="797" t="s">
        <v>1233</v>
      </c>
      <c r="W15" s="582" t="b">
        <f>W28</f>
        <v>0</v>
      </c>
      <c r="X15" s="3595"/>
      <c r="Y15" s="186"/>
      <c r="Z15" s="2666"/>
    </row>
    <row r="16" spans="1:26" s="20" customFormat="1" ht="44.5" thickTop="1" thickBot="1" x14ac:dyDescent="0.35">
      <c r="A16" s="687" t="s">
        <v>403</v>
      </c>
      <c r="B16" s="2239" t="s">
        <v>825</v>
      </c>
      <c r="C16" s="2275" t="s">
        <v>474</v>
      </c>
      <c r="D16" s="2264" t="s">
        <v>1233</v>
      </c>
      <c r="E16" s="41" t="b">
        <f>OR(E36,E13)</f>
        <v>0</v>
      </c>
      <c r="F16" s="42"/>
      <c r="G16" s="2287"/>
      <c r="H16" s="2287"/>
      <c r="I16" s="2968"/>
      <c r="J16" s="2968"/>
      <c r="K16" s="2968"/>
      <c r="L16" s="2968"/>
      <c r="M16" s="3789"/>
      <c r="N16" s="1895" t="s">
        <v>1233</v>
      </c>
      <c r="O16" s="1186" t="b">
        <f>O36</f>
        <v>0</v>
      </c>
      <c r="P16" s="3190"/>
      <c r="Q16" s="1895" t="s">
        <v>1233</v>
      </c>
      <c r="R16" s="730" t="b">
        <f>R36</f>
        <v>0</v>
      </c>
      <c r="S16" s="471"/>
      <c r="T16" s="471"/>
      <c r="U16" s="1218"/>
      <c r="V16" s="798" t="s">
        <v>1233</v>
      </c>
      <c r="W16" s="342" t="b">
        <f>W36</f>
        <v>0</v>
      </c>
      <c r="X16" s="3590"/>
      <c r="Y16" s="261"/>
      <c r="Z16" s="2667"/>
    </row>
    <row r="17" spans="1:26" s="20" customFormat="1" ht="44.5" thickTop="1" thickBot="1" x14ac:dyDescent="0.35">
      <c r="A17" s="81"/>
      <c r="B17" s="1801" t="s">
        <v>826</v>
      </c>
      <c r="C17" s="1722" t="s">
        <v>822</v>
      </c>
      <c r="D17" s="1925" t="s">
        <v>1233</v>
      </c>
      <c r="E17" s="67" t="b">
        <f>E44</f>
        <v>0</v>
      </c>
      <c r="F17" s="44"/>
      <c r="G17" s="44"/>
      <c r="H17" s="68"/>
      <c r="I17" s="132"/>
      <c r="J17" s="133"/>
      <c r="K17" s="133"/>
      <c r="L17" s="133"/>
      <c r="M17" s="134"/>
      <c r="N17" s="2318" t="s">
        <v>1233</v>
      </c>
      <c r="O17" s="2319" t="b">
        <f>O44</f>
        <v>0</v>
      </c>
      <c r="P17" s="3790"/>
      <c r="Q17" s="2318" t="s">
        <v>1233</v>
      </c>
      <c r="R17" s="730" t="b">
        <f>R44</f>
        <v>0</v>
      </c>
      <c r="S17" s="471"/>
      <c r="T17" s="471"/>
      <c r="U17" s="1218"/>
      <c r="V17" s="798" t="s">
        <v>1233</v>
      </c>
      <c r="W17" s="342" t="b">
        <f>W44</f>
        <v>0</v>
      </c>
      <c r="X17" s="3590"/>
      <c r="Y17" s="261"/>
      <c r="Z17" s="2667"/>
    </row>
    <row r="18" spans="1:26" s="20" customFormat="1" ht="44.5" thickTop="1" thickBot="1" x14ac:dyDescent="0.35">
      <c r="A18" s="81"/>
      <c r="B18" s="1803" t="s">
        <v>827</v>
      </c>
      <c r="C18" s="1697" t="s">
        <v>823</v>
      </c>
      <c r="D18" s="2205" t="s">
        <v>1233</v>
      </c>
      <c r="E18" s="161" t="b">
        <f>E103</f>
        <v>0</v>
      </c>
      <c r="F18" s="124"/>
      <c r="G18" s="124"/>
      <c r="H18" s="246"/>
      <c r="I18" s="132"/>
      <c r="J18" s="133"/>
      <c r="K18" s="133"/>
      <c r="L18" s="133"/>
      <c r="M18" s="134"/>
      <c r="N18" s="1895" t="s">
        <v>1233</v>
      </c>
      <c r="O18" s="1186" t="b">
        <f>O103</f>
        <v>0</v>
      </c>
      <c r="P18" s="2442"/>
      <c r="Q18" s="1499" t="s">
        <v>1233</v>
      </c>
      <c r="R18" s="2317" t="b">
        <f>R103</f>
        <v>0</v>
      </c>
      <c r="S18" s="1224"/>
      <c r="T18" s="1224"/>
      <c r="U18" s="1225"/>
      <c r="V18" s="799" t="s">
        <v>1233</v>
      </c>
      <c r="W18" s="583" t="b">
        <f>W103</f>
        <v>0</v>
      </c>
      <c r="X18" s="3596"/>
      <c r="Y18" s="1555"/>
      <c r="Z18" s="2669"/>
    </row>
    <row r="19" spans="1:26" s="3745" customFormat="1" ht="15" thickTop="1" x14ac:dyDescent="0.3">
      <c r="A19" s="3634"/>
      <c r="B19" s="3634"/>
      <c r="C19" s="3634"/>
      <c r="D19" s="3634"/>
      <c r="E19" s="3634"/>
      <c r="F19" s="3634"/>
      <c r="G19" s="3634"/>
      <c r="H19" s="3634"/>
      <c r="I19" s="3634"/>
      <c r="J19" s="3634"/>
      <c r="K19" s="3634"/>
      <c r="L19" s="3634"/>
      <c r="M19" s="3634"/>
      <c r="P19" s="3635"/>
      <c r="Q19" s="3635"/>
      <c r="R19" s="3635"/>
      <c r="S19" s="3635"/>
      <c r="T19" s="3635"/>
      <c r="U19" s="3635"/>
      <c r="V19" s="3635"/>
      <c r="W19" s="3635"/>
      <c r="X19" s="3635"/>
      <c r="Y19" s="3635"/>
    </row>
    <row r="20" spans="1:26" s="3745" customFormat="1" ht="14.5" x14ac:dyDescent="0.3">
      <c r="A20" s="3634"/>
      <c r="B20" s="4771" t="s">
        <v>469</v>
      </c>
      <c r="C20" s="4771"/>
      <c r="D20" s="4771"/>
      <c r="E20" s="3782"/>
      <c r="F20" s="3782"/>
      <c r="G20" s="3782"/>
      <c r="H20" s="3782"/>
      <c r="I20" s="3782"/>
      <c r="J20" s="3782"/>
      <c r="K20" s="3782"/>
      <c r="L20" s="3782"/>
      <c r="M20" s="3782"/>
      <c r="N20" s="3783"/>
      <c r="O20" s="3783"/>
      <c r="P20" s="3782"/>
      <c r="Q20" s="3782"/>
      <c r="R20" s="3782"/>
      <c r="S20" s="3782"/>
      <c r="T20" s="3782"/>
      <c r="U20" s="3782"/>
      <c r="V20" s="3782"/>
      <c r="W20" s="3782"/>
      <c r="X20" s="3782"/>
      <c r="Y20" s="3782"/>
      <c r="Z20" s="3784"/>
    </row>
    <row r="21" spans="1:26" s="3745" customFormat="1" ht="14.5" thickBot="1" x14ac:dyDescent="0.35">
      <c r="A21" s="3745" t="s">
        <v>404</v>
      </c>
    </row>
    <row r="22" spans="1:26" s="20" customFormat="1" ht="29.5" thickTop="1" x14ac:dyDescent="0.3">
      <c r="A22" s="625" t="s">
        <v>405</v>
      </c>
      <c r="B22" s="1495"/>
      <c r="C22" s="1514" t="s">
        <v>418</v>
      </c>
      <c r="D22" s="318"/>
      <c r="E22" s="338" t="b">
        <f>IF(D22="Applicable",TRUE,FALSE)</f>
        <v>0</v>
      </c>
      <c r="F22" s="111">
        <f>COUNTIF(E22,TRUE)</f>
        <v>0</v>
      </c>
      <c r="G22" s="111" t="str">
        <f>IF(I22&lt;&gt;"", "Not Blank", "")</f>
        <v/>
      </c>
      <c r="H22" s="360"/>
      <c r="I22" s="1396"/>
      <c r="J22" s="1753" t="str">
        <f>IF(L22&lt;&gt;"", "Not Blank", "")</f>
        <v/>
      </c>
      <c r="K22" s="1396"/>
      <c r="L22" s="1396"/>
      <c r="M22" s="1533"/>
      <c r="N22" s="318"/>
      <c r="O22" s="3605" t="b">
        <f>IF(N22="Applicable",TRUE,FALSE)</f>
        <v>0</v>
      </c>
      <c r="P22" s="459"/>
      <c r="Q22" s="318"/>
      <c r="R22" s="3605" t="b">
        <f>IF(Q22="Applicable",TRUE,FALSE)</f>
        <v>0</v>
      </c>
      <c r="S22" s="186"/>
      <c r="T22" s="186"/>
      <c r="U22" s="459"/>
      <c r="V22" s="318"/>
      <c r="W22" s="704" t="b">
        <f>IF(V22="Applicable",TRUE,FALSE)</f>
        <v>0</v>
      </c>
      <c r="X22" s="3595"/>
      <c r="Y22" s="186"/>
      <c r="Z22" s="2666"/>
    </row>
    <row r="23" spans="1:26" s="20" customFormat="1" ht="29" x14ac:dyDescent="0.3">
      <c r="A23" s="625" t="s">
        <v>406</v>
      </c>
      <c r="B23" s="1504"/>
      <c r="C23" s="1517" t="s">
        <v>1848</v>
      </c>
      <c r="D23" s="1737"/>
      <c r="E23" s="716" t="b">
        <f>IF(D23="Applicable",TRUE,FALSE)</f>
        <v>0</v>
      </c>
      <c r="F23" s="44">
        <f>COUNTIF(E23,TRUE)</f>
        <v>0</v>
      </c>
      <c r="G23" s="324" t="str">
        <f>IF(I23&lt;&gt;"", "Not Blank", "")</f>
        <v/>
      </c>
      <c r="H23" s="47"/>
      <c r="I23" s="1404"/>
      <c r="J23" s="1754" t="str">
        <f>IF(L23&lt;&gt;"", "Not Blank", "")</f>
        <v/>
      </c>
      <c r="K23" s="1404"/>
      <c r="L23" s="1404"/>
      <c r="M23" s="1535"/>
      <c r="N23" s="1737"/>
      <c r="O23" s="3606" t="b">
        <f>IF(N23="Applicable",TRUE,FALSE)</f>
        <v>0</v>
      </c>
      <c r="P23" s="589"/>
      <c r="Q23" s="1737"/>
      <c r="R23" s="3606" t="b">
        <f>IF(Q23="Applicable",TRUE,FALSE)</f>
        <v>0</v>
      </c>
      <c r="S23" s="261"/>
      <c r="T23" s="261"/>
      <c r="U23" s="589"/>
      <c r="V23" s="1737"/>
      <c r="W23" s="470" t="b">
        <f>IF(V23="Applicable",TRUE,FALSE)</f>
        <v>0</v>
      </c>
      <c r="X23" s="3590"/>
      <c r="Y23" s="261"/>
      <c r="Z23" s="2667"/>
    </row>
    <row r="24" spans="1:26" s="20" customFormat="1" ht="73" thickBot="1" x14ac:dyDescent="0.35">
      <c r="A24" s="625" t="s">
        <v>407</v>
      </c>
      <c r="B24" s="1505"/>
      <c r="C24" s="1926" t="s">
        <v>468</v>
      </c>
      <c r="D24" s="700" t="s">
        <v>3</v>
      </c>
      <c r="E24" s="161" t="b">
        <f>IF(D24="Compliant",TRUE,FALSE)</f>
        <v>0</v>
      </c>
      <c r="F24" s="124">
        <f>COUNTIF(E24,TRUE)</f>
        <v>0</v>
      </c>
      <c r="G24" s="558" t="str">
        <f>IF(I24&lt;&gt;"", "Not Blank", "")</f>
        <v/>
      </c>
      <c r="H24" s="159"/>
      <c r="I24" s="1224"/>
      <c r="J24" s="1555" t="str">
        <f>IF(L24&lt;&gt;"", "Not Blank", "")</f>
        <v/>
      </c>
      <c r="K24" s="1224"/>
      <c r="L24" s="1224"/>
      <c r="M24" s="1225"/>
      <c r="N24" s="3616" t="s">
        <v>3</v>
      </c>
      <c r="O24" s="3593" t="b">
        <f>IF(OR(N24="Compliant",N24="FE with work-a-round",N24="Functionally Equivalent"),TRUE,FALSE)</f>
        <v>0</v>
      </c>
      <c r="P24" s="1164"/>
      <c r="Q24" s="3616" t="s">
        <v>3</v>
      </c>
      <c r="R24" s="218" t="b">
        <f>IF(OR(Q24="Compliant",Q24="FE with work-a-round",Q24="Functionally Equivalent"),TRUE,FALSE)</f>
        <v>0</v>
      </c>
      <c r="S24" s="1555"/>
      <c r="T24" s="1555"/>
      <c r="U24" s="1164"/>
      <c r="V24" s="3588" t="s">
        <v>3</v>
      </c>
      <c r="W24" s="1164" t="b">
        <f>IF(OR(V24="Compliant",V24="FE with work-a-round",V24="Functionally Equivalent",V24="Not Required/Applicable"),TRUE,FALSE)</f>
        <v>0</v>
      </c>
      <c r="X24" s="3596"/>
      <c r="Y24" s="1555"/>
      <c r="Z24" s="2669"/>
    </row>
    <row r="25" spans="1:26" s="3640" customFormat="1" ht="15" thickTop="1" x14ac:dyDescent="0.3">
      <c r="A25" s="3636"/>
      <c r="B25" s="3634"/>
      <c r="C25" s="3634"/>
      <c r="D25" s="3639"/>
      <c r="E25" s="3636"/>
      <c r="F25" s="3636"/>
      <c r="G25" s="3641"/>
      <c r="H25" s="3636"/>
      <c r="I25" s="3636"/>
      <c r="J25" s="3641"/>
      <c r="K25" s="3641"/>
      <c r="L25" s="3636"/>
      <c r="M25" s="3636"/>
      <c r="N25" s="3641"/>
      <c r="O25" s="3641"/>
      <c r="P25" s="3636"/>
      <c r="Q25" s="3639"/>
      <c r="R25" s="3639"/>
      <c r="S25" s="3639"/>
      <c r="T25" s="3639"/>
      <c r="U25" s="3639"/>
      <c r="V25" s="3639"/>
      <c r="W25" s="3639"/>
      <c r="X25" s="3639"/>
      <c r="Y25" s="3639"/>
      <c r="Z25" s="3639"/>
    </row>
    <row r="26" spans="1:26" s="3640" customFormat="1" ht="18.5" x14ac:dyDescent="0.3">
      <c r="A26" s="4482" t="s">
        <v>1135</v>
      </c>
      <c r="B26" s="4483"/>
      <c r="C26" s="4483"/>
      <c r="D26" s="4483"/>
      <c r="E26" s="4483"/>
      <c r="F26" s="4483"/>
      <c r="G26" s="4483"/>
      <c r="H26" s="4483"/>
      <c r="I26" s="4483"/>
      <c r="J26" s="4483"/>
      <c r="K26" s="4483"/>
      <c r="L26" s="4483"/>
      <c r="M26" s="4483"/>
      <c r="N26" s="4483"/>
      <c r="O26" s="3669"/>
      <c r="P26" s="3670"/>
      <c r="Q26" s="3670"/>
      <c r="R26" s="3670"/>
      <c r="S26" s="3671"/>
      <c r="T26" s="3672"/>
      <c r="U26" s="3672"/>
      <c r="V26" s="3673"/>
      <c r="W26" s="3674"/>
      <c r="X26" s="3675"/>
      <c r="Y26" s="3676"/>
      <c r="Z26" s="3775"/>
    </row>
    <row r="27" spans="1:26" s="3694" customFormat="1" ht="14.5" thickBot="1" x14ac:dyDescent="0.35">
      <c r="C27" s="3745"/>
      <c r="E27" s="3663"/>
      <c r="F27" s="3663"/>
      <c r="G27" s="3662"/>
      <c r="H27" s="3663"/>
      <c r="I27" s="3664"/>
      <c r="J27" s="3662"/>
      <c r="K27" s="3662"/>
      <c r="N27" s="3662"/>
      <c r="O27" s="3662"/>
    </row>
    <row r="28" spans="1:26" s="365" customFormat="1" ht="30" thickTop="1" thickBot="1" x14ac:dyDescent="0.35">
      <c r="A28" s="621"/>
      <c r="B28" s="1509" t="s">
        <v>415</v>
      </c>
      <c r="C28" s="1701" t="s">
        <v>1669</v>
      </c>
      <c r="D28" s="1923" t="s">
        <v>565</v>
      </c>
      <c r="E28" s="1924" t="b">
        <f>IF(OR(E29=TRUE,E30=TRUE,E31=TRUE,E32=TRUE),TRUE,FALSE)</f>
        <v>0</v>
      </c>
      <c r="F28" s="1677">
        <f>COUNTIF(E29:E32,TRUE)</f>
        <v>0</v>
      </c>
      <c r="G28" s="1677">
        <f>COUNTIFS(E29:E32,TRUE,G29:G32,"Not Blank")</f>
        <v>0</v>
      </c>
      <c r="H28" s="1677">
        <f>COUNTIFS(E29:E32,FALSE,G29:G32,"Not Blank")</f>
        <v>0</v>
      </c>
      <c r="I28" s="1519" t="str">
        <f xml:space="preserve">
IF(F28&gt;1,"More than 1 not required - Check Yellow Lines",
IF(G28&lt;F28,"Valid Entry required below - Check Amber Line/s",
IF(AND(E28=FALSE,G28=0,H28=0),"Nothing Entered below Yet",
IF(G28&lt;F28,"Valid Entry required below - Check Amber Line/s",
IF(AND(G28=0,H28&gt;0),"**Non-Valid Entry/ies below - Check Yellow Line/s",
IF(AND(G28&gt;0,H28&gt;0),"**Valid and Non-Valid Entries made below - Check Yellow Line/s",
IF(AND(E28=FALSE,F28&lt;1),"Not all requirements addressed below - Check Pink Line/s",
IF(AND(E28=FALSE,G28&lt;1,G28&gt;0,H28=0),"More entries to come",
IF(AND(E28,TRUE,G28=1,H28=0),"Valid Entries made below"
)))))))))</f>
        <v>Nothing Entered below Yet</v>
      </c>
      <c r="J28" s="1677">
        <f>COUNTIFS(E29:E32,TRUE,J29:J32,"Not Blank")</f>
        <v>0</v>
      </c>
      <c r="K28" s="1677">
        <f>COUNTIFS(E29:E32,FALSE,J29:J32,"Not Blank")</f>
        <v>0</v>
      </c>
      <c r="L28" s="1519" t="str">
        <f xml:space="preserve">
IF(J28&gt;1,"More than one not required - Check Yellow Lines",
IF(J28&lt;F28,"Valid Entry required below - Check Amber Line/s",
IF(AND(E28=FALSE,J28=0,K28=0),"Nothing Entered below Yet",
IF(AND(J28=0,K28&gt;0),"**Non-Valid Entry/ies below - Check Yellow Line/s",
IF(AND(J28&gt;0,K28&gt;0),"**Valid and Non-Valid Entries made below - Check Yellow Line/s",
IF(AND(E28=FALSE,J28&lt;1),"Not all requirements addressed below - Check Pink Line/s",
IF(AND(E28=FALSE,J28&lt;1,J28&gt;0,K28=0),"More entries to come",
IF(AND(E28,TRUE,J28=1,K28=0),"Valid Entries made below"
))))))))</f>
        <v>Nothing Entered below Yet</v>
      </c>
      <c r="M28" s="811"/>
      <c r="N28" s="4446" t="s">
        <v>3</v>
      </c>
      <c r="O28" s="4491" t="b">
        <f>IF(OR(N28="Compliant",N28="FE with work-a-round",N28="Functionally Equivalent"),TRUE,FALSE)</f>
        <v>0</v>
      </c>
      <c r="P28" s="337"/>
      <c r="Q28" s="1499" t="s">
        <v>565</v>
      </c>
      <c r="R28" s="814" t="b">
        <f>IF(OR(R29=TRUE,R30=TRUE,R31=TRUE,R32=TRUE),TRUE,FALSE)</f>
        <v>0</v>
      </c>
      <c r="S28" s="186"/>
      <c r="T28" s="186"/>
      <c r="U28" s="459"/>
      <c r="V28" s="4491" t="s">
        <v>3</v>
      </c>
      <c r="W28" s="4512" t="b">
        <f>IF(OR(V28="Compliant",V28="FE with work-a-round",V28="Functionally Equivalent",V28="Not Required/Applicable"),TRUE,FALSE)</f>
        <v>0</v>
      </c>
      <c r="X28" s="3595"/>
      <c r="Y28" s="186"/>
      <c r="Z28" s="3791"/>
    </row>
    <row r="29" spans="1:26" s="2" customFormat="1" ht="58.5" thickTop="1" x14ac:dyDescent="0.3">
      <c r="A29" s="610" t="s">
        <v>413</v>
      </c>
      <c r="B29" s="1504"/>
      <c r="C29" s="1806" t="s">
        <v>410</v>
      </c>
      <c r="D29" s="2096" t="s">
        <v>3</v>
      </c>
      <c r="E29" s="67" t="b">
        <f>IF(D29="Compliant",TRUE,FALSE)</f>
        <v>0</v>
      </c>
      <c r="F29" s="44"/>
      <c r="G29" s="44" t="str">
        <f>IF(I29&lt;&gt;"", "Not Blank", "")</f>
        <v/>
      </c>
      <c r="H29" s="44"/>
      <c r="I29" s="111"/>
      <c r="J29" s="44" t="str">
        <f>IF(L29&lt;&gt;"", "Not Blank", "")</f>
        <v/>
      </c>
      <c r="K29" s="44"/>
      <c r="L29" s="111"/>
      <c r="M29" s="120"/>
      <c r="N29" s="4447" t="s">
        <v>3</v>
      </c>
      <c r="O29" s="4492"/>
      <c r="P29" s="1082"/>
      <c r="Q29" s="1134" t="s">
        <v>3</v>
      </c>
      <c r="R29" s="936" t="b">
        <f>IF(OR(Q29="Compliant",Q29="FE with work-a-round",Q29="Functionally Equivalent"),TRUE,FALSE)</f>
        <v>0</v>
      </c>
      <c r="S29" s="261"/>
      <c r="T29" s="261"/>
      <c r="U29" s="589"/>
      <c r="V29" s="4492" t="s">
        <v>3</v>
      </c>
      <c r="W29" s="4513"/>
      <c r="X29" s="3792"/>
      <c r="Y29" s="1431"/>
      <c r="Z29" s="2680"/>
    </row>
    <row r="30" spans="1:26" s="2" customFormat="1" ht="43.5" x14ac:dyDescent="0.3">
      <c r="A30" s="610" t="s">
        <v>414</v>
      </c>
      <c r="B30" s="1504"/>
      <c r="C30" s="1717" t="s">
        <v>416</v>
      </c>
      <c r="D30" s="699" t="s">
        <v>3</v>
      </c>
      <c r="E30" s="67" t="b">
        <f>IF(D30="Compliant",TRUE,FALSE)</f>
        <v>0</v>
      </c>
      <c r="F30" s="44"/>
      <c r="G30" s="44" t="str">
        <f>IF(I30&lt;&gt;"", "Not Blank", "")</f>
        <v/>
      </c>
      <c r="H30" s="44"/>
      <c r="I30" s="44"/>
      <c r="J30" s="44" t="str">
        <f>IF(L30&lt;&gt;"", "Not Blank", "")</f>
        <v/>
      </c>
      <c r="K30" s="44"/>
      <c r="L30" s="44"/>
      <c r="M30" s="68"/>
      <c r="N30" s="4447" t="s">
        <v>3</v>
      </c>
      <c r="O30" s="4492"/>
      <c r="P30" s="1245"/>
      <c r="Q30" s="1060" t="s">
        <v>3</v>
      </c>
      <c r="R30" s="839" t="b">
        <f>IF(OR(Q30="Compliant",Q30="FE with work-a-round",Q30="Functionally Equivalent"),TRUE,FALSE)</f>
        <v>0</v>
      </c>
      <c r="S30" s="471"/>
      <c r="T30" s="471"/>
      <c r="U30" s="1218"/>
      <c r="V30" s="4492" t="s">
        <v>3</v>
      </c>
      <c r="W30" s="4513"/>
      <c r="X30" s="3792"/>
      <c r="Y30" s="1431"/>
      <c r="Z30" s="2680"/>
    </row>
    <row r="31" spans="1:26" s="2" customFormat="1" ht="43.5" x14ac:dyDescent="0.3">
      <c r="A31" s="610" t="s">
        <v>254</v>
      </c>
      <c r="B31" s="1504"/>
      <c r="C31" s="1717" t="s">
        <v>402</v>
      </c>
      <c r="D31" s="699" t="s">
        <v>3</v>
      </c>
      <c r="E31" s="67" t="b">
        <f>IF(D31="Compliant",TRUE,FALSE)</f>
        <v>0</v>
      </c>
      <c r="F31" s="44"/>
      <c r="G31" s="44" t="str">
        <f>IF(I31&lt;&gt;"", "Not Blank", "")</f>
        <v/>
      </c>
      <c r="H31" s="44"/>
      <c r="I31" s="44"/>
      <c r="J31" s="44" t="str">
        <f>IF(L31&lt;&gt;"", "Not Blank", "")</f>
        <v/>
      </c>
      <c r="K31" s="44"/>
      <c r="L31" s="44"/>
      <c r="M31" s="68"/>
      <c r="N31" s="4447" t="s">
        <v>3</v>
      </c>
      <c r="O31" s="4492"/>
      <c r="P31" s="1245"/>
      <c r="Q31" s="1060" t="s">
        <v>3</v>
      </c>
      <c r="R31" s="839" t="b">
        <f>IF(OR(Q31="Compliant",Q31="FE with work-a-round",Q31="Functionally Equivalent"),TRUE,FALSE)</f>
        <v>0</v>
      </c>
      <c r="S31" s="471"/>
      <c r="T31" s="471"/>
      <c r="U31" s="1218"/>
      <c r="V31" s="4492" t="s">
        <v>3</v>
      </c>
      <c r="W31" s="4513"/>
      <c r="X31" s="3792"/>
      <c r="Y31" s="1431"/>
      <c r="Z31" s="2680"/>
    </row>
    <row r="32" spans="1:26" s="2" customFormat="1" ht="58.5" thickBot="1" x14ac:dyDescent="0.35">
      <c r="A32" s="610"/>
      <c r="B32" s="1505" t="s">
        <v>467</v>
      </c>
      <c r="C32" s="1800" t="s">
        <v>417</v>
      </c>
      <c r="D32" s="700" t="s">
        <v>3</v>
      </c>
      <c r="E32" s="161" t="b">
        <f>IF(D32="Compliant",TRUE,FALSE)</f>
        <v>0</v>
      </c>
      <c r="F32" s="124"/>
      <c r="G32" s="124" t="str">
        <f>IF(I32&lt;&gt;"", "Not Blank", "")</f>
        <v/>
      </c>
      <c r="H32" s="124"/>
      <c r="I32" s="124"/>
      <c r="J32" s="124" t="str">
        <f>IF(L32&lt;&gt;"", "Not Blank", "")</f>
        <v/>
      </c>
      <c r="K32" s="124"/>
      <c r="L32" s="124"/>
      <c r="M32" s="246"/>
      <c r="N32" s="4448" t="s">
        <v>3</v>
      </c>
      <c r="O32" s="4493"/>
      <c r="P32" s="2597"/>
      <c r="Q32" s="1017" t="s">
        <v>3</v>
      </c>
      <c r="R32" s="938" t="b">
        <f>IF(OR(Q32="Compliant",Q32="FE with work-a-round",Q32="Functionally Equivalent"),TRUE,FALSE)</f>
        <v>0</v>
      </c>
      <c r="S32" s="1224"/>
      <c r="T32" s="1224"/>
      <c r="U32" s="1225"/>
      <c r="V32" s="4493" t="s">
        <v>3</v>
      </c>
      <c r="W32" s="4514"/>
      <c r="X32" s="3793"/>
      <c r="Y32" s="1435"/>
      <c r="Z32" s="2689"/>
    </row>
    <row r="33" spans="1:394" s="3634" customFormat="1" ht="15" thickTop="1" x14ac:dyDescent="0.3">
      <c r="A33" s="3636"/>
      <c r="B33" s="3651"/>
      <c r="C33" s="3636"/>
      <c r="D33" s="3636"/>
      <c r="E33" s="3636"/>
      <c r="F33" s="3636"/>
      <c r="G33" s="3644"/>
      <c r="H33" s="3633"/>
      <c r="I33" s="3652"/>
      <c r="N33" s="3643"/>
      <c r="O33" s="3643"/>
      <c r="V33" s="3635"/>
    </row>
    <row r="34" spans="1:394" s="3640" customFormat="1" ht="18.5" x14ac:dyDescent="0.3">
      <c r="A34" s="4482" t="s">
        <v>1137</v>
      </c>
      <c r="B34" s="4483"/>
      <c r="C34" s="4483"/>
      <c r="D34" s="4483"/>
      <c r="E34" s="4483"/>
      <c r="F34" s="4483"/>
      <c r="G34" s="4483"/>
      <c r="H34" s="4483"/>
      <c r="I34" s="4483"/>
      <c r="J34" s="4483"/>
      <c r="K34" s="4483"/>
      <c r="L34" s="4483"/>
      <c r="M34" s="4483"/>
      <c r="N34" s="4483"/>
      <c r="O34" s="3669"/>
      <c r="P34" s="3670"/>
      <c r="Q34" s="3670"/>
      <c r="R34" s="3670"/>
      <c r="S34" s="3671"/>
      <c r="T34" s="3672"/>
      <c r="U34" s="3672"/>
      <c r="V34" s="3673"/>
      <c r="W34" s="3674"/>
      <c r="X34" s="3675"/>
      <c r="Y34" s="3676"/>
      <c r="Z34" s="3775"/>
    </row>
    <row r="35" spans="1:394" s="3640" customFormat="1" ht="15" thickBot="1" x14ac:dyDescent="0.35">
      <c r="A35" s="3636"/>
      <c r="B35" s="3637"/>
      <c r="C35" s="3634"/>
      <c r="D35" s="3634"/>
      <c r="E35" s="3636"/>
      <c r="F35" s="3636"/>
      <c r="G35" s="3641"/>
      <c r="H35" s="3636"/>
      <c r="I35" s="3634"/>
      <c r="J35" s="3643"/>
      <c r="K35" s="3643"/>
      <c r="L35" s="3634"/>
      <c r="M35" s="3634"/>
      <c r="N35" s="3641"/>
      <c r="O35" s="3714"/>
      <c r="P35" s="3642"/>
      <c r="Q35" s="3642"/>
      <c r="R35" s="3642"/>
      <c r="S35" s="3642"/>
      <c r="T35" s="3642"/>
      <c r="U35" s="3642"/>
      <c r="V35" s="3660"/>
      <c r="W35" s="3660"/>
      <c r="X35" s="3660"/>
      <c r="Y35" s="3660"/>
    </row>
    <row r="36" spans="1:394" s="27" customFormat="1" ht="32.15" customHeight="1" thickTop="1" thickBot="1" x14ac:dyDescent="0.35">
      <c r="A36" s="28"/>
      <c r="B36" s="1509" t="s">
        <v>474</v>
      </c>
      <c r="C36" s="1946" t="s">
        <v>670</v>
      </c>
      <c r="D36" s="1925" t="s">
        <v>565</v>
      </c>
      <c r="E36" s="1937" t="b" cm="1">
        <f t="array" ref="E36">IF(AND(E37=TRUE,E38:E40=TRUE),TRUE,FALSE)</f>
        <v>0</v>
      </c>
      <c r="F36" s="1934">
        <f>COUNTIF(E37:E40,TRUE)</f>
        <v>0</v>
      </c>
      <c r="G36" s="1935">
        <f>COUNTIFS(E37:E40,TRUE,G37:G40,"Not Blank")</f>
        <v>0</v>
      </c>
      <c r="H36" s="1934">
        <f>COUNTIFS(E37:E40,FALSE,G37:G40,"Not Blank")</f>
        <v>0</v>
      </c>
      <c r="I36" s="1727" t="str">
        <f xml:space="preserve">
IF(F36&gt;4,"Too Many Entries - Check Red Lines",
IF(G36&lt;F36,"Valid Entry required below - Check Amber Line/s",
IF(AND(E36=FALSE,G36=0,H36=0),"Nothing Entered below Yet",
IF(G36&lt;F36,"Valid Entry required below - Check Amber Line/s",
IF(AND(G36=0,H36&gt;0),"**Non-Valid Entry/ies below - Check Yellow Line/s",
IF(AND(G36&gt;0,H36&gt;0),"**Valid and Non-Valid Entries made below - Check Yellow Line/s",
IF(AND(E36=FALSE,F36&lt;4),"Not all requirements addressed below - Check Pink Line/s",
IF(AND(E36=FALSE,G36&lt;4,G36&gt;0,H36=0),"More entries to come",
IF(AND(E36,TRUE,G36=4,H36=0),"Valid Entries made below"
)))))))))</f>
        <v>Nothing Entered below Yet</v>
      </c>
      <c r="J36" s="1515">
        <f>COUNTIFS(E37:E40,TRUE,J37:J40,"Not Blank")</f>
        <v>0</v>
      </c>
      <c r="K36" s="1515">
        <f>COUNTIFS(E37:E40,FALSE,J37:J40,"Not Blank")</f>
        <v>0</v>
      </c>
      <c r="L36" s="1727" t="str">
        <f xml:space="preserve">
IF(J36&gt;4,"Too Many Entries - Check Red Lines",
IF(J36&lt;F36,"Valid Entry required below - Check Amber Line/s",
IF(AND(E36=FALSE,J36=0,K36=0),"Nothing Entered below Yet",
IF(AND(J36=0,K36&gt;0),"**Non-Valid Entry/ies below - Check Yellow Line/s",
IF(AND(J36&gt;0,K36&gt;0),"**Valid and Non-Valid Entries made below - Check Yellow Line/s",
IF(AND(E36=FALSE,J36&lt;4),"Not all requirements addressed below - Check Pink Line/s",
IF(AND(E36=FALSE,J36&lt;4,J36&gt;0,K36=0),"More entries to come",
IF(AND(E36,TRUE,J36=4,K36=0),"Valid Entries made below"
))))))))</f>
        <v>Nothing Entered below Yet</v>
      </c>
      <c r="M36" s="1029"/>
      <c r="N36" s="4446" t="s">
        <v>3</v>
      </c>
      <c r="O36" s="4759" t="b">
        <f>IF(OR(N36="Compliant",N36="FE with work-a-round",N36="Functionally Equivalent"),TRUE,FALSE)</f>
        <v>0</v>
      </c>
      <c r="P36" s="66"/>
      <c r="Q36" s="1499" t="s">
        <v>565</v>
      </c>
      <c r="R36" s="814" t="b" cm="1">
        <f t="array" ref="R36">IF(AND(R37=TRUE,R38:R40=TRUE),TRUE,FALSE)</f>
        <v>0</v>
      </c>
      <c r="S36" s="111"/>
      <c r="T36" s="111"/>
      <c r="U36" s="211"/>
      <c r="V36" s="4446" t="s">
        <v>3</v>
      </c>
      <c r="W36" s="4755" t="b">
        <f>IF(OR(V36="Compliant",V36="FE with work-a-round",V36="Functionally Equivalent",V36="Not Required/Applicable"),TRUE,FALSE)</f>
        <v>0</v>
      </c>
      <c r="X36" s="111"/>
      <c r="Y36" s="111"/>
      <c r="Z36" s="120"/>
      <c r="AA36" s="3634"/>
      <c r="AB36" s="3634"/>
      <c r="AC36" s="3634"/>
      <c r="AD36" s="3634"/>
      <c r="AE36" s="3634"/>
      <c r="AF36" s="3634"/>
      <c r="AG36" s="3634"/>
      <c r="AH36" s="3634"/>
      <c r="AI36" s="3634"/>
      <c r="AJ36" s="3634"/>
      <c r="AK36" s="3634"/>
      <c r="AL36" s="3634"/>
      <c r="AM36" s="3634"/>
      <c r="AN36" s="3634"/>
      <c r="AO36" s="3634"/>
      <c r="AP36" s="3634"/>
      <c r="AQ36" s="3634"/>
      <c r="AR36" s="3634"/>
      <c r="AS36" s="3634"/>
      <c r="AT36" s="3634"/>
      <c r="AU36" s="3634"/>
      <c r="AV36" s="3634"/>
      <c r="AW36" s="3634"/>
      <c r="AX36" s="3634"/>
      <c r="AY36" s="3634"/>
      <c r="AZ36" s="3634"/>
      <c r="BA36" s="3634"/>
      <c r="BB36" s="3634"/>
      <c r="BC36" s="3634"/>
      <c r="BD36" s="3634"/>
      <c r="BE36" s="3634"/>
      <c r="BF36" s="3634"/>
      <c r="BG36" s="3634"/>
      <c r="BH36" s="3634"/>
      <c r="BI36" s="3634"/>
      <c r="BJ36" s="3634"/>
      <c r="BK36" s="3634"/>
      <c r="BL36" s="3634"/>
      <c r="BM36" s="3634"/>
      <c r="BN36" s="3634"/>
      <c r="BO36" s="3634"/>
      <c r="BP36" s="3634"/>
      <c r="BQ36" s="3634"/>
      <c r="BR36" s="3634"/>
      <c r="BS36" s="3634"/>
      <c r="BT36" s="3634"/>
      <c r="BU36" s="3634"/>
      <c r="BV36" s="3634"/>
      <c r="BW36" s="3634"/>
      <c r="BX36" s="3634"/>
      <c r="BY36" s="3634"/>
      <c r="BZ36" s="3634"/>
      <c r="CA36" s="3634"/>
      <c r="CB36" s="3634"/>
      <c r="CC36" s="3634"/>
      <c r="CD36" s="3634"/>
      <c r="CE36" s="3785"/>
      <c r="CF36" s="3794"/>
      <c r="CG36" s="3794"/>
      <c r="CH36" s="3794"/>
      <c r="CI36" s="3794"/>
      <c r="CJ36" s="3794"/>
      <c r="CK36" s="3794"/>
      <c r="CL36" s="3794"/>
      <c r="CM36" s="3794"/>
      <c r="CN36" s="3794"/>
      <c r="CO36" s="3794"/>
      <c r="CP36" s="3794"/>
      <c r="CQ36" s="3794"/>
      <c r="CR36" s="3794"/>
      <c r="CS36" s="3794"/>
      <c r="CT36" s="3794"/>
      <c r="CU36" s="3794"/>
      <c r="CV36" s="3794"/>
      <c r="CW36" s="3794"/>
      <c r="CX36" s="3794"/>
      <c r="CY36" s="3794"/>
      <c r="CZ36" s="3794"/>
      <c r="DA36" s="3794"/>
      <c r="DB36" s="3794"/>
      <c r="DC36" s="3794"/>
      <c r="DD36" s="3794"/>
      <c r="DE36" s="3794"/>
      <c r="DF36" s="3794"/>
      <c r="DG36" s="3794"/>
      <c r="DH36" s="3794"/>
      <c r="DI36" s="3794"/>
      <c r="DJ36" s="3794"/>
      <c r="DK36" s="3794"/>
      <c r="DL36" s="3794"/>
      <c r="DM36" s="3794"/>
      <c r="DN36" s="3794"/>
      <c r="DO36" s="3794"/>
      <c r="DP36" s="3794"/>
      <c r="DQ36" s="3794"/>
      <c r="DR36" s="3794"/>
      <c r="DS36" s="3794"/>
      <c r="DT36" s="3794"/>
      <c r="DU36" s="3794"/>
      <c r="DV36" s="3794"/>
      <c r="DW36" s="3794"/>
      <c r="DX36" s="3794"/>
      <c r="DY36" s="3794"/>
      <c r="DZ36" s="3794"/>
      <c r="EA36" s="3794"/>
      <c r="EB36" s="3794"/>
      <c r="EC36" s="3794"/>
      <c r="ED36" s="3794"/>
      <c r="EE36" s="3794"/>
      <c r="EF36" s="3794"/>
      <c r="EG36" s="3794"/>
      <c r="EH36" s="3794"/>
      <c r="EI36" s="3794"/>
      <c r="EJ36" s="3794"/>
      <c r="EK36" s="3794"/>
      <c r="EL36" s="3794"/>
      <c r="EM36" s="3794"/>
      <c r="EN36" s="3794"/>
      <c r="EO36" s="3794"/>
      <c r="EP36" s="3794"/>
      <c r="EQ36" s="3794"/>
      <c r="ER36" s="3794"/>
      <c r="ES36" s="3794"/>
      <c r="ET36" s="3794"/>
      <c r="EU36" s="3794"/>
      <c r="EV36" s="3794"/>
      <c r="EW36" s="3794"/>
      <c r="EX36" s="3794"/>
      <c r="EY36" s="3794"/>
      <c r="EZ36" s="3794"/>
      <c r="FA36" s="3794"/>
      <c r="FB36" s="3794"/>
      <c r="FC36" s="3794"/>
      <c r="FD36" s="3794"/>
      <c r="FE36" s="3794"/>
      <c r="FF36" s="3794"/>
      <c r="FG36" s="3794"/>
      <c r="FH36" s="3794"/>
      <c r="FI36" s="3794"/>
      <c r="FJ36" s="3794"/>
      <c r="FK36" s="3794"/>
      <c r="FL36" s="3794"/>
      <c r="FM36" s="3794"/>
      <c r="FN36" s="3794"/>
      <c r="FO36" s="3794"/>
      <c r="FP36" s="3794"/>
      <c r="FQ36" s="3794"/>
      <c r="FR36" s="3794"/>
      <c r="FS36" s="3794"/>
      <c r="FT36" s="3794"/>
      <c r="FU36" s="3794"/>
      <c r="FV36" s="3794"/>
      <c r="FW36" s="3794"/>
      <c r="FX36" s="3794"/>
      <c r="FY36" s="3794"/>
      <c r="FZ36" s="3794"/>
      <c r="GA36" s="3794"/>
      <c r="GB36" s="3794"/>
      <c r="GC36" s="3794"/>
      <c r="GD36" s="3794"/>
      <c r="GE36" s="3794"/>
      <c r="GF36" s="3794"/>
      <c r="GG36" s="3794"/>
      <c r="GH36" s="3794"/>
      <c r="GI36" s="3794"/>
      <c r="GJ36" s="3794"/>
      <c r="GK36" s="3794"/>
      <c r="GL36" s="3794"/>
      <c r="GM36" s="3794"/>
      <c r="GN36" s="3794"/>
      <c r="GO36" s="3794"/>
      <c r="GP36" s="3794"/>
      <c r="GQ36" s="3794"/>
      <c r="GR36" s="3794"/>
      <c r="GS36" s="3794"/>
      <c r="GT36" s="3794"/>
      <c r="GU36" s="3794"/>
      <c r="GV36" s="3794"/>
      <c r="GW36" s="3794"/>
      <c r="GX36" s="3794"/>
      <c r="GY36" s="3794"/>
      <c r="GZ36" s="3794"/>
      <c r="HA36" s="3794"/>
      <c r="HB36" s="3794"/>
      <c r="HC36" s="3794"/>
      <c r="HD36" s="3794"/>
      <c r="HE36" s="3794"/>
      <c r="HF36" s="3794"/>
      <c r="HG36" s="3794"/>
      <c r="HH36" s="3794"/>
      <c r="HI36" s="3794"/>
      <c r="HJ36" s="3794"/>
      <c r="HK36" s="3794"/>
      <c r="HL36" s="3794"/>
      <c r="HM36" s="3794"/>
      <c r="HN36" s="3794"/>
      <c r="HO36" s="3794"/>
      <c r="HP36" s="3794"/>
      <c r="HQ36" s="3794"/>
      <c r="HR36" s="3794"/>
      <c r="HS36" s="3794"/>
      <c r="HT36" s="3794"/>
      <c r="HU36" s="3794"/>
      <c r="HV36" s="3794"/>
      <c r="HW36" s="3794"/>
      <c r="HX36" s="3794"/>
      <c r="HY36" s="3794"/>
      <c r="HZ36" s="3794"/>
      <c r="IA36" s="3794"/>
      <c r="IB36" s="3794"/>
      <c r="IC36" s="3794"/>
      <c r="ID36" s="3794"/>
      <c r="IE36" s="3794"/>
      <c r="IF36" s="3794"/>
      <c r="IG36" s="3794"/>
      <c r="IH36" s="3794"/>
      <c r="II36" s="3794"/>
      <c r="IJ36" s="3794"/>
      <c r="IK36" s="3794"/>
      <c r="IL36" s="3794"/>
      <c r="IM36" s="3794"/>
      <c r="IN36" s="3794"/>
      <c r="IO36" s="3794"/>
      <c r="IP36" s="3794"/>
      <c r="IQ36" s="3794"/>
      <c r="IR36" s="3794"/>
      <c r="IS36" s="3794"/>
      <c r="IT36" s="3794"/>
      <c r="IU36" s="3794"/>
      <c r="IV36" s="3794"/>
      <c r="IW36" s="3794"/>
      <c r="IX36" s="3794"/>
      <c r="IY36" s="3794"/>
      <c r="IZ36" s="3794"/>
      <c r="JA36" s="3794"/>
      <c r="JB36" s="3794"/>
      <c r="JC36" s="3794"/>
      <c r="JD36" s="3794"/>
      <c r="JE36" s="3794"/>
      <c r="JF36" s="3794"/>
      <c r="JG36" s="3794"/>
      <c r="JH36" s="3794"/>
      <c r="JI36" s="3794"/>
      <c r="JJ36" s="3794"/>
      <c r="JK36" s="3794"/>
      <c r="JL36" s="3794"/>
      <c r="JM36" s="3794"/>
      <c r="JN36" s="3794"/>
      <c r="JO36" s="3794"/>
      <c r="JP36" s="3794"/>
      <c r="JQ36" s="3794"/>
      <c r="JR36" s="3794"/>
      <c r="JS36" s="3794"/>
      <c r="JT36" s="3794"/>
      <c r="JU36" s="3794"/>
      <c r="JV36" s="3794"/>
      <c r="JW36" s="3794"/>
      <c r="JX36" s="3794"/>
      <c r="JY36" s="3794"/>
      <c r="JZ36" s="3794"/>
      <c r="KA36" s="3794"/>
      <c r="KB36" s="3794"/>
      <c r="KC36" s="3794"/>
      <c r="KD36" s="3794"/>
      <c r="KE36" s="3794"/>
      <c r="KF36" s="3794"/>
      <c r="KG36" s="3794"/>
      <c r="KH36" s="3794"/>
      <c r="KI36" s="3794"/>
      <c r="KJ36" s="3794"/>
      <c r="KK36" s="3794"/>
      <c r="KL36" s="3794"/>
      <c r="KM36" s="3794"/>
      <c r="KN36" s="3794"/>
      <c r="KO36" s="3794"/>
      <c r="KP36" s="3794"/>
      <c r="KQ36" s="3794"/>
      <c r="KR36" s="3794"/>
      <c r="KS36" s="3794"/>
      <c r="KT36" s="3794"/>
      <c r="KU36" s="3794"/>
      <c r="KV36" s="3794"/>
      <c r="KW36" s="3794"/>
      <c r="KX36" s="3794"/>
      <c r="KY36" s="3794"/>
      <c r="KZ36" s="3794"/>
      <c r="LA36" s="3794"/>
      <c r="LB36" s="3794"/>
      <c r="LC36" s="3794"/>
      <c r="LD36" s="3794"/>
      <c r="LE36" s="3794"/>
      <c r="LF36" s="3794"/>
      <c r="LG36" s="3794"/>
      <c r="LH36" s="3794"/>
      <c r="LI36" s="3794"/>
      <c r="LJ36" s="3794"/>
      <c r="LK36" s="3794"/>
      <c r="LL36" s="3794"/>
      <c r="LM36" s="3794"/>
      <c r="LN36" s="3794"/>
      <c r="LO36" s="3794"/>
      <c r="LP36" s="3794"/>
      <c r="LQ36" s="3794"/>
      <c r="LR36" s="3794"/>
      <c r="LS36" s="3794"/>
      <c r="LT36" s="3794"/>
      <c r="LU36" s="3794"/>
      <c r="LV36" s="3794"/>
      <c r="LW36" s="3794"/>
      <c r="LX36" s="3794"/>
      <c r="LY36" s="3794"/>
      <c r="LZ36" s="3794"/>
      <c r="MA36" s="3794"/>
      <c r="MB36" s="3794"/>
      <c r="MC36" s="3794"/>
      <c r="MD36" s="3794"/>
      <c r="ME36" s="3794"/>
      <c r="MF36" s="3794"/>
      <c r="MG36" s="3794"/>
      <c r="MH36" s="3794"/>
      <c r="MI36" s="3794"/>
      <c r="MJ36" s="3794"/>
      <c r="MK36" s="3794"/>
      <c r="ML36" s="3794"/>
      <c r="MM36" s="3794"/>
      <c r="MN36" s="3794"/>
      <c r="MO36" s="3794"/>
      <c r="MP36" s="3794"/>
      <c r="MQ36" s="3794"/>
      <c r="MR36" s="3794"/>
      <c r="MS36" s="3794"/>
      <c r="MT36" s="3794"/>
      <c r="MU36" s="3794"/>
      <c r="MV36" s="3794"/>
      <c r="MW36" s="3794"/>
      <c r="MX36" s="3794"/>
      <c r="MY36" s="3794"/>
      <c r="MZ36" s="3794"/>
      <c r="NA36" s="3794"/>
      <c r="NB36" s="3794"/>
      <c r="NC36" s="3794"/>
      <c r="ND36" s="3794"/>
      <c r="NE36" s="3794"/>
      <c r="NF36" s="3794"/>
      <c r="NG36" s="3794"/>
      <c r="NH36" s="3794"/>
      <c r="NI36" s="3794"/>
      <c r="NJ36" s="3794"/>
      <c r="NK36" s="3794"/>
      <c r="NL36" s="3794"/>
      <c r="NM36" s="3794"/>
      <c r="NN36" s="3794"/>
      <c r="NO36" s="3794"/>
      <c r="NP36" s="3794"/>
      <c r="NQ36" s="3794"/>
      <c r="NR36" s="3794"/>
      <c r="NS36" s="3794"/>
      <c r="NT36" s="3794"/>
      <c r="NU36" s="3794"/>
      <c r="NV36" s="3794"/>
      <c r="NW36" s="3794"/>
      <c r="NX36" s="3794"/>
      <c r="NY36" s="3794"/>
      <c r="NZ36" s="3794"/>
      <c r="OA36" s="3794"/>
      <c r="OB36" s="3794"/>
      <c r="OC36" s="3794"/>
      <c r="OD36" s="3794"/>
    </row>
    <row r="37" spans="1:394" s="27" customFormat="1" ht="58.5" thickTop="1" x14ac:dyDescent="0.3">
      <c r="A37" s="28"/>
      <c r="B37" s="1504"/>
      <c r="C37" s="1728" t="s">
        <v>1247</v>
      </c>
      <c r="D37" s="2096" t="s">
        <v>3</v>
      </c>
      <c r="E37" s="594" t="b">
        <f>IF(D37="Compliant",TRUE,FALSE)</f>
        <v>0</v>
      </c>
      <c r="F37" s="361"/>
      <c r="G37" s="381" t="str">
        <f>IF(I37&lt;&gt;"", "Not Blank", "")</f>
        <v/>
      </c>
      <c r="H37" s="380"/>
      <c r="I37" s="2956"/>
      <c r="J37" s="216" t="str">
        <f>IF(L37&lt;&gt;"", "Not Blank", "")</f>
        <v/>
      </c>
      <c r="K37" s="216"/>
      <c r="L37" s="111"/>
      <c r="M37" s="120"/>
      <c r="N37" s="4447" t="s">
        <v>3</v>
      </c>
      <c r="O37" s="4760"/>
      <c r="P37" s="120"/>
      <c r="Q37" s="1134" t="s">
        <v>3</v>
      </c>
      <c r="R37" s="833" t="b">
        <f>IF(OR(Q37="Compliant",Q37="FE with work-a-round",Q37="Functionally Equivalent"),TRUE,FALSE)</f>
        <v>0</v>
      </c>
      <c r="S37" s="44"/>
      <c r="T37" s="44"/>
      <c r="U37" s="68"/>
      <c r="V37" s="4447" t="s">
        <v>3</v>
      </c>
      <c r="W37" s="4756"/>
      <c r="X37" s="44"/>
      <c r="Y37" s="44"/>
      <c r="Z37" s="122"/>
      <c r="AA37" s="3634"/>
      <c r="AB37" s="3634"/>
      <c r="AC37" s="3634"/>
      <c r="AD37" s="3634"/>
      <c r="AE37" s="3634"/>
      <c r="AF37" s="3634"/>
      <c r="AG37" s="3634"/>
      <c r="AH37" s="3634"/>
      <c r="AI37" s="3634"/>
      <c r="AJ37" s="3634"/>
      <c r="AK37" s="3634"/>
      <c r="AL37" s="3634"/>
      <c r="AM37" s="3634"/>
      <c r="AN37" s="3634"/>
      <c r="AO37" s="3634"/>
      <c r="AP37" s="3634"/>
      <c r="AQ37" s="3634"/>
      <c r="AR37" s="3634"/>
      <c r="AS37" s="3634"/>
      <c r="AT37" s="3634"/>
      <c r="AU37" s="3634"/>
      <c r="AV37" s="3634"/>
      <c r="AW37" s="3634"/>
      <c r="AX37" s="3634"/>
      <c r="AY37" s="3634"/>
      <c r="AZ37" s="3634"/>
      <c r="BA37" s="3634"/>
      <c r="BB37" s="3634"/>
      <c r="BC37" s="3634"/>
      <c r="BD37" s="3634"/>
      <c r="BE37" s="3634"/>
      <c r="BF37" s="3634"/>
      <c r="BG37" s="3634"/>
      <c r="BH37" s="3634"/>
      <c r="BI37" s="3634"/>
      <c r="BJ37" s="3634"/>
      <c r="BK37" s="3634"/>
      <c r="BL37" s="3634"/>
      <c r="BM37" s="3634"/>
      <c r="BN37" s="3634"/>
      <c r="BO37" s="3634"/>
      <c r="BP37" s="3634"/>
      <c r="BQ37" s="3634"/>
      <c r="BR37" s="3634"/>
      <c r="BS37" s="3634"/>
      <c r="BT37" s="3634"/>
      <c r="BU37" s="3634"/>
      <c r="BV37" s="3634"/>
      <c r="BW37" s="3634"/>
      <c r="BX37" s="3634"/>
      <c r="BY37" s="3634"/>
      <c r="BZ37" s="3634"/>
      <c r="CA37" s="3634"/>
      <c r="CB37" s="3634"/>
      <c r="CC37" s="3634"/>
      <c r="CD37" s="3634"/>
      <c r="CE37" s="3785"/>
      <c r="CF37" s="3794"/>
      <c r="CG37" s="3794"/>
      <c r="CH37" s="3794"/>
      <c r="CI37" s="3794"/>
      <c r="CJ37" s="3794"/>
      <c r="CK37" s="3794"/>
      <c r="CL37" s="3794"/>
      <c r="CM37" s="3794"/>
      <c r="CN37" s="3794"/>
      <c r="CO37" s="3794"/>
      <c r="CP37" s="3794"/>
      <c r="CQ37" s="3794"/>
      <c r="CR37" s="3794"/>
      <c r="CS37" s="3794"/>
      <c r="CT37" s="3794"/>
      <c r="CU37" s="3794"/>
      <c r="CV37" s="3794"/>
      <c r="CW37" s="3794"/>
      <c r="CX37" s="3794"/>
      <c r="CY37" s="3794"/>
      <c r="CZ37" s="3794"/>
      <c r="DA37" s="3794"/>
      <c r="DB37" s="3794"/>
      <c r="DC37" s="3794"/>
      <c r="DD37" s="3794"/>
      <c r="DE37" s="3794"/>
      <c r="DF37" s="3794"/>
      <c r="DG37" s="3794"/>
      <c r="DH37" s="3794"/>
      <c r="DI37" s="3794"/>
      <c r="DJ37" s="3794"/>
      <c r="DK37" s="3794"/>
      <c r="DL37" s="3794"/>
      <c r="DM37" s="3794"/>
      <c r="DN37" s="3794"/>
      <c r="DO37" s="3794"/>
      <c r="DP37" s="3794"/>
      <c r="DQ37" s="3794"/>
      <c r="DR37" s="3794"/>
      <c r="DS37" s="3794"/>
      <c r="DT37" s="3794"/>
      <c r="DU37" s="3794"/>
      <c r="DV37" s="3794"/>
      <c r="DW37" s="3794"/>
      <c r="DX37" s="3794"/>
      <c r="DY37" s="3794"/>
      <c r="DZ37" s="3794"/>
      <c r="EA37" s="3794"/>
      <c r="EB37" s="3794"/>
      <c r="EC37" s="3794"/>
      <c r="ED37" s="3794"/>
      <c r="EE37" s="3794"/>
      <c r="EF37" s="3794"/>
      <c r="EG37" s="3794"/>
      <c r="EH37" s="3794"/>
      <c r="EI37" s="3794"/>
      <c r="EJ37" s="3794"/>
      <c r="EK37" s="3794"/>
      <c r="EL37" s="3794"/>
      <c r="EM37" s="3794"/>
      <c r="EN37" s="3794"/>
      <c r="EO37" s="3794"/>
      <c r="EP37" s="3794"/>
      <c r="EQ37" s="3794"/>
      <c r="ER37" s="3794"/>
      <c r="ES37" s="3794"/>
      <c r="ET37" s="3794"/>
      <c r="EU37" s="3794"/>
      <c r="EV37" s="3794"/>
      <c r="EW37" s="3794"/>
      <c r="EX37" s="3794"/>
      <c r="EY37" s="3794"/>
      <c r="EZ37" s="3794"/>
      <c r="FA37" s="3794"/>
      <c r="FB37" s="3794"/>
      <c r="FC37" s="3794"/>
      <c r="FD37" s="3794"/>
      <c r="FE37" s="3794"/>
      <c r="FF37" s="3794"/>
      <c r="FG37" s="3794"/>
      <c r="FH37" s="3794"/>
      <c r="FI37" s="3794"/>
      <c r="FJ37" s="3794"/>
      <c r="FK37" s="3794"/>
      <c r="FL37" s="3794"/>
      <c r="FM37" s="3794"/>
      <c r="FN37" s="3794"/>
      <c r="FO37" s="3794"/>
      <c r="FP37" s="3794"/>
      <c r="FQ37" s="3794"/>
      <c r="FR37" s="3794"/>
      <c r="FS37" s="3794"/>
      <c r="FT37" s="3794"/>
      <c r="FU37" s="3794"/>
      <c r="FV37" s="3794"/>
      <c r="FW37" s="3794"/>
      <c r="FX37" s="3794"/>
      <c r="FY37" s="3794"/>
      <c r="FZ37" s="3794"/>
      <c r="GA37" s="3794"/>
      <c r="GB37" s="3794"/>
      <c r="GC37" s="3794"/>
      <c r="GD37" s="3794"/>
      <c r="GE37" s="3794"/>
      <c r="GF37" s="3794"/>
      <c r="GG37" s="3794"/>
      <c r="GH37" s="3794"/>
      <c r="GI37" s="3794"/>
      <c r="GJ37" s="3794"/>
      <c r="GK37" s="3794"/>
      <c r="GL37" s="3794"/>
      <c r="GM37" s="3794"/>
      <c r="GN37" s="3794"/>
      <c r="GO37" s="3794"/>
      <c r="GP37" s="3794"/>
      <c r="GQ37" s="3794"/>
      <c r="GR37" s="3794"/>
      <c r="GS37" s="3794"/>
      <c r="GT37" s="3794"/>
      <c r="GU37" s="3794"/>
      <c r="GV37" s="3794"/>
      <c r="GW37" s="3794"/>
      <c r="GX37" s="3794"/>
      <c r="GY37" s="3794"/>
      <c r="GZ37" s="3794"/>
      <c r="HA37" s="3794"/>
      <c r="HB37" s="3794"/>
      <c r="HC37" s="3794"/>
      <c r="HD37" s="3794"/>
      <c r="HE37" s="3794"/>
      <c r="HF37" s="3794"/>
      <c r="HG37" s="3794"/>
      <c r="HH37" s="3794"/>
      <c r="HI37" s="3794"/>
      <c r="HJ37" s="3794"/>
      <c r="HK37" s="3794"/>
      <c r="HL37" s="3794"/>
      <c r="HM37" s="3794"/>
      <c r="HN37" s="3794"/>
      <c r="HO37" s="3794"/>
      <c r="HP37" s="3794"/>
      <c r="HQ37" s="3794"/>
      <c r="HR37" s="3794"/>
      <c r="HS37" s="3794"/>
      <c r="HT37" s="3794"/>
      <c r="HU37" s="3794"/>
      <c r="HV37" s="3794"/>
      <c r="HW37" s="3794"/>
      <c r="HX37" s="3794"/>
      <c r="HY37" s="3794"/>
      <c r="HZ37" s="3794"/>
      <c r="IA37" s="3794"/>
      <c r="IB37" s="3794"/>
      <c r="IC37" s="3794"/>
      <c r="ID37" s="3794"/>
      <c r="IE37" s="3794"/>
      <c r="IF37" s="3794"/>
      <c r="IG37" s="3794"/>
      <c r="IH37" s="3794"/>
      <c r="II37" s="3794"/>
      <c r="IJ37" s="3794"/>
      <c r="IK37" s="3794"/>
      <c r="IL37" s="3794"/>
      <c r="IM37" s="3794"/>
      <c r="IN37" s="3794"/>
      <c r="IO37" s="3794"/>
      <c r="IP37" s="3794"/>
      <c r="IQ37" s="3794"/>
      <c r="IR37" s="3794"/>
      <c r="IS37" s="3794"/>
      <c r="IT37" s="3794"/>
      <c r="IU37" s="3794"/>
      <c r="IV37" s="3794"/>
      <c r="IW37" s="3794"/>
      <c r="IX37" s="3794"/>
      <c r="IY37" s="3794"/>
      <c r="IZ37" s="3794"/>
      <c r="JA37" s="3794"/>
      <c r="JB37" s="3794"/>
      <c r="JC37" s="3794"/>
      <c r="JD37" s="3794"/>
      <c r="JE37" s="3794"/>
      <c r="JF37" s="3794"/>
      <c r="JG37" s="3794"/>
      <c r="JH37" s="3794"/>
      <c r="JI37" s="3794"/>
      <c r="JJ37" s="3794"/>
      <c r="JK37" s="3794"/>
      <c r="JL37" s="3794"/>
      <c r="JM37" s="3794"/>
      <c r="JN37" s="3794"/>
      <c r="JO37" s="3794"/>
      <c r="JP37" s="3794"/>
      <c r="JQ37" s="3794"/>
      <c r="JR37" s="3794"/>
      <c r="JS37" s="3794"/>
      <c r="JT37" s="3794"/>
      <c r="JU37" s="3794"/>
      <c r="JV37" s="3794"/>
      <c r="JW37" s="3794"/>
      <c r="JX37" s="3794"/>
      <c r="JY37" s="3794"/>
      <c r="JZ37" s="3794"/>
      <c r="KA37" s="3794"/>
      <c r="KB37" s="3794"/>
      <c r="KC37" s="3794"/>
      <c r="KD37" s="3794"/>
      <c r="KE37" s="3794"/>
      <c r="KF37" s="3794"/>
      <c r="KG37" s="3794"/>
      <c r="KH37" s="3794"/>
      <c r="KI37" s="3794"/>
      <c r="KJ37" s="3794"/>
      <c r="KK37" s="3794"/>
      <c r="KL37" s="3794"/>
      <c r="KM37" s="3794"/>
      <c r="KN37" s="3794"/>
      <c r="KO37" s="3794"/>
      <c r="KP37" s="3794"/>
      <c r="KQ37" s="3794"/>
      <c r="KR37" s="3794"/>
      <c r="KS37" s="3794"/>
      <c r="KT37" s="3794"/>
      <c r="KU37" s="3794"/>
      <c r="KV37" s="3794"/>
      <c r="KW37" s="3794"/>
      <c r="KX37" s="3794"/>
      <c r="KY37" s="3794"/>
      <c r="KZ37" s="3794"/>
      <c r="LA37" s="3794"/>
      <c r="LB37" s="3794"/>
      <c r="LC37" s="3794"/>
      <c r="LD37" s="3794"/>
      <c r="LE37" s="3794"/>
      <c r="LF37" s="3794"/>
      <c r="LG37" s="3794"/>
      <c r="LH37" s="3794"/>
      <c r="LI37" s="3794"/>
      <c r="LJ37" s="3794"/>
      <c r="LK37" s="3794"/>
      <c r="LL37" s="3794"/>
      <c r="LM37" s="3794"/>
      <c r="LN37" s="3794"/>
      <c r="LO37" s="3794"/>
      <c r="LP37" s="3794"/>
      <c r="LQ37" s="3794"/>
      <c r="LR37" s="3794"/>
      <c r="LS37" s="3794"/>
      <c r="LT37" s="3794"/>
      <c r="LU37" s="3794"/>
      <c r="LV37" s="3794"/>
      <c r="LW37" s="3794"/>
      <c r="LX37" s="3794"/>
      <c r="LY37" s="3794"/>
      <c r="LZ37" s="3794"/>
      <c r="MA37" s="3794"/>
      <c r="MB37" s="3794"/>
      <c r="MC37" s="3794"/>
      <c r="MD37" s="3794"/>
      <c r="ME37" s="3794"/>
      <c r="MF37" s="3794"/>
      <c r="MG37" s="3794"/>
      <c r="MH37" s="3794"/>
      <c r="MI37" s="3794"/>
      <c r="MJ37" s="3794"/>
      <c r="MK37" s="3794"/>
      <c r="ML37" s="3794"/>
      <c r="MM37" s="3794"/>
      <c r="MN37" s="3794"/>
      <c r="MO37" s="3794"/>
      <c r="MP37" s="3794"/>
      <c r="MQ37" s="3794"/>
      <c r="MR37" s="3794"/>
      <c r="MS37" s="3794"/>
      <c r="MT37" s="3794"/>
      <c r="MU37" s="3794"/>
      <c r="MV37" s="3794"/>
      <c r="MW37" s="3794"/>
      <c r="MX37" s="3794"/>
      <c r="MY37" s="3794"/>
      <c r="MZ37" s="3794"/>
      <c r="NA37" s="3794"/>
      <c r="NB37" s="3794"/>
      <c r="NC37" s="3794"/>
      <c r="ND37" s="3794"/>
      <c r="NE37" s="3794"/>
      <c r="NF37" s="3794"/>
      <c r="NG37" s="3794"/>
      <c r="NH37" s="3794"/>
      <c r="NI37" s="3794"/>
      <c r="NJ37" s="3794"/>
      <c r="NK37" s="3794"/>
      <c r="NL37" s="3794"/>
      <c r="NM37" s="3794"/>
      <c r="NN37" s="3794"/>
      <c r="NO37" s="3794"/>
      <c r="NP37" s="3794"/>
      <c r="NQ37" s="3794"/>
      <c r="NR37" s="3794"/>
      <c r="NS37" s="3794"/>
      <c r="NT37" s="3794"/>
      <c r="NU37" s="3794"/>
      <c r="NV37" s="3794"/>
      <c r="NW37" s="3794"/>
      <c r="NX37" s="3794"/>
      <c r="NY37" s="3794"/>
      <c r="NZ37" s="3794"/>
      <c r="OA37" s="3794"/>
      <c r="OB37" s="3794"/>
      <c r="OC37" s="3794"/>
      <c r="OD37" s="3794"/>
    </row>
    <row r="38" spans="1:394" s="27" customFormat="1" ht="58" x14ac:dyDescent="0.3">
      <c r="A38" s="28"/>
      <c r="B38" s="1504"/>
      <c r="C38" s="1717" t="s">
        <v>1950</v>
      </c>
      <c r="D38" s="699" t="s">
        <v>3</v>
      </c>
      <c r="E38" s="594" t="b">
        <f>IF(D38="Compliant",TRUE,FALSE)</f>
        <v>0</v>
      </c>
      <c r="F38" s="361"/>
      <c r="G38" s="381" t="str">
        <f>IF(I38&lt;&gt;"", "Not Blank", "")</f>
        <v/>
      </c>
      <c r="H38" s="380"/>
      <c r="I38" s="1570"/>
      <c r="J38" s="216" t="str">
        <f>IF(L38&lt;&gt;"", "Not Blank", "")</f>
        <v/>
      </c>
      <c r="K38" s="216"/>
      <c r="L38" s="44"/>
      <c r="M38" s="68"/>
      <c r="N38" s="4447" t="s">
        <v>3</v>
      </c>
      <c r="O38" s="4760"/>
      <c r="P38" s="67"/>
      <c r="Q38" s="1060" t="s">
        <v>3</v>
      </c>
      <c r="R38" s="839" t="b">
        <f>IF(OR(Q38="Compliant",Q38="FE with work-a-round",Q38="Functionally Equivalent"),TRUE,FALSE)</f>
        <v>0</v>
      </c>
      <c r="S38" s="44"/>
      <c r="T38" s="44"/>
      <c r="U38" s="68"/>
      <c r="V38" s="4447" t="s">
        <v>3</v>
      </c>
      <c r="W38" s="4756"/>
      <c r="X38" s="79"/>
      <c r="Y38" s="79"/>
      <c r="Z38" s="127"/>
      <c r="AA38" s="3634"/>
      <c r="AB38" s="3634"/>
      <c r="AC38" s="3634"/>
      <c r="AD38" s="3634"/>
      <c r="AE38" s="3634"/>
      <c r="AF38" s="3634"/>
      <c r="AG38" s="3634"/>
      <c r="AH38" s="3634"/>
      <c r="AI38" s="3634"/>
      <c r="AJ38" s="3634"/>
      <c r="AK38" s="3634"/>
      <c r="AL38" s="3634"/>
      <c r="AM38" s="3634"/>
      <c r="AN38" s="3634"/>
      <c r="AO38" s="3634"/>
      <c r="AP38" s="3634"/>
      <c r="AQ38" s="3634"/>
      <c r="AR38" s="3634"/>
      <c r="AS38" s="3634"/>
      <c r="AT38" s="3634"/>
      <c r="AU38" s="3634"/>
      <c r="AV38" s="3634"/>
      <c r="AW38" s="3634"/>
      <c r="AX38" s="3634"/>
      <c r="AY38" s="3634"/>
      <c r="AZ38" s="3634"/>
      <c r="BA38" s="3634"/>
      <c r="BB38" s="3634"/>
      <c r="BC38" s="3634"/>
      <c r="BD38" s="3634"/>
      <c r="BE38" s="3634"/>
      <c r="BF38" s="3634"/>
      <c r="BG38" s="3634"/>
      <c r="BH38" s="3634"/>
      <c r="BI38" s="3634"/>
      <c r="BJ38" s="3634"/>
      <c r="BK38" s="3634"/>
      <c r="BL38" s="3634"/>
      <c r="BM38" s="3634"/>
      <c r="BN38" s="3634"/>
      <c r="BO38" s="3634"/>
      <c r="BP38" s="3634"/>
      <c r="BQ38" s="3634"/>
      <c r="BR38" s="3634"/>
      <c r="BS38" s="3634"/>
      <c r="BT38" s="3634"/>
      <c r="BU38" s="3634"/>
      <c r="BV38" s="3634"/>
      <c r="BW38" s="3634"/>
      <c r="BX38" s="3634"/>
      <c r="BY38" s="3634"/>
      <c r="BZ38" s="3634"/>
      <c r="CA38" s="3634"/>
      <c r="CB38" s="3634"/>
      <c r="CC38" s="3634"/>
      <c r="CD38" s="3634"/>
      <c r="CE38" s="3785"/>
      <c r="CF38" s="3794"/>
      <c r="CG38" s="3794"/>
      <c r="CH38" s="3794"/>
      <c r="CI38" s="3794"/>
      <c r="CJ38" s="3794"/>
      <c r="CK38" s="3794"/>
      <c r="CL38" s="3794"/>
      <c r="CM38" s="3794"/>
      <c r="CN38" s="3794"/>
      <c r="CO38" s="3794"/>
      <c r="CP38" s="3794"/>
      <c r="CQ38" s="3794"/>
      <c r="CR38" s="3794"/>
      <c r="CS38" s="3794"/>
      <c r="CT38" s="3794"/>
      <c r="CU38" s="3794"/>
      <c r="CV38" s="3794"/>
      <c r="CW38" s="3794"/>
      <c r="CX38" s="3794"/>
      <c r="CY38" s="3794"/>
      <c r="CZ38" s="3794"/>
      <c r="DA38" s="3794"/>
      <c r="DB38" s="3794"/>
      <c r="DC38" s="3794"/>
      <c r="DD38" s="3794"/>
      <c r="DE38" s="3794"/>
      <c r="DF38" s="3794"/>
      <c r="DG38" s="3794"/>
      <c r="DH38" s="3794"/>
      <c r="DI38" s="3794"/>
      <c r="DJ38" s="3794"/>
      <c r="DK38" s="3794"/>
      <c r="DL38" s="3794"/>
      <c r="DM38" s="3794"/>
      <c r="DN38" s="3794"/>
      <c r="DO38" s="3794"/>
      <c r="DP38" s="3794"/>
      <c r="DQ38" s="3794"/>
      <c r="DR38" s="3794"/>
      <c r="DS38" s="3794"/>
      <c r="DT38" s="3794"/>
      <c r="DU38" s="3794"/>
      <c r="DV38" s="3794"/>
      <c r="DW38" s="3794"/>
      <c r="DX38" s="3794"/>
      <c r="DY38" s="3794"/>
      <c r="DZ38" s="3794"/>
      <c r="EA38" s="3794"/>
      <c r="EB38" s="3794"/>
      <c r="EC38" s="3794"/>
      <c r="ED38" s="3794"/>
      <c r="EE38" s="3794"/>
      <c r="EF38" s="3794"/>
      <c r="EG38" s="3794"/>
      <c r="EH38" s="3794"/>
      <c r="EI38" s="3794"/>
      <c r="EJ38" s="3794"/>
      <c r="EK38" s="3794"/>
      <c r="EL38" s="3794"/>
      <c r="EM38" s="3794"/>
      <c r="EN38" s="3794"/>
      <c r="EO38" s="3794"/>
      <c r="EP38" s="3794"/>
      <c r="EQ38" s="3794"/>
      <c r="ER38" s="3794"/>
      <c r="ES38" s="3794"/>
      <c r="ET38" s="3794"/>
      <c r="EU38" s="3794"/>
      <c r="EV38" s="3794"/>
      <c r="EW38" s="3794"/>
      <c r="EX38" s="3794"/>
      <c r="EY38" s="3794"/>
      <c r="EZ38" s="3794"/>
      <c r="FA38" s="3794"/>
      <c r="FB38" s="3794"/>
      <c r="FC38" s="3794"/>
      <c r="FD38" s="3794"/>
      <c r="FE38" s="3794"/>
      <c r="FF38" s="3794"/>
      <c r="FG38" s="3794"/>
      <c r="FH38" s="3794"/>
      <c r="FI38" s="3794"/>
      <c r="FJ38" s="3794"/>
      <c r="FK38" s="3794"/>
      <c r="FL38" s="3794"/>
      <c r="FM38" s="3794"/>
      <c r="FN38" s="3794"/>
      <c r="FO38" s="3794"/>
      <c r="FP38" s="3794"/>
      <c r="FQ38" s="3794"/>
      <c r="FR38" s="3794"/>
      <c r="FS38" s="3794"/>
      <c r="FT38" s="3794"/>
      <c r="FU38" s="3794"/>
      <c r="FV38" s="3794"/>
      <c r="FW38" s="3794"/>
      <c r="FX38" s="3794"/>
      <c r="FY38" s="3794"/>
      <c r="FZ38" s="3794"/>
      <c r="GA38" s="3794"/>
      <c r="GB38" s="3794"/>
      <c r="GC38" s="3794"/>
      <c r="GD38" s="3794"/>
      <c r="GE38" s="3794"/>
      <c r="GF38" s="3794"/>
      <c r="GG38" s="3794"/>
      <c r="GH38" s="3794"/>
      <c r="GI38" s="3794"/>
      <c r="GJ38" s="3794"/>
      <c r="GK38" s="3794"/>
      <c r="GL38" s="3794"/>
      <c r="GM38" s="3794"/>
      <c r="GN38" s="3794"/>
      <c r="GO38" s="3794"/>
      <c r="GP38" s="3794"/>
      <c r="GQ38" s="3794"/>
      <c r="GR38" s="3794"/>
      <c r="GS38" s="3794"/>
      <c r="GT38" s="3794"/>
      <c r="GU38" s="3794"/>
      <c r="GV38" s="3794"/>
      <c r="GW38" s="3794"/>
      <c r="GX38" s="3794"/>
      <c r="GY38" s="3794"/>
      <c r="GZ38" s="3794"/>
      <c r="HA38" s="3794"/>
      <c r="HB38" s="3794"/>
      <c r="HC38" s="3794"/>
      <c r="HD38" s="3794"/>
      <c r="HE38" s="3794"/>
      <c r="HF38" s="3794"/>
      <c r="HG38" s="3794"/>
      <c r="HH38" s="3794"/>
      <c r="HI38" s="3794"/>
      <c r="HJ38" s="3794"/>
      <c r="HK38" s="3794"/>
      <c r="HL38" s="3794"/>
      <c r="HM38" s="3794"/>
      <c r="HN38" s="3794"/>
      <c r="HO38" s="3794"/>
      <c r="HP38" s="3794"/>
      <c r="HQ38" s="3794"/>
      <c r="HR38" s="3794"/>
      <c r="HS38" s="3794"/>
      <c r="HT38" s="3794"/>
      <c r="HU38" s="3794"/>
      <c r="HV38" s="3794"/>
      <c r="HW38" s="3794"/>
      <c r="HX38" s="3794"/>
      <c r="HY38" s="3794"/>
      <c r="HZ38" s="3794"/>
      <c r="IA38" s="3794"/>
      <c r="IB38" s="3794"/>
      <c r="IC38" s="3794"/>
      <c r="ID38" s="3794"/>
      <c r="IE38" s="3794"/>
      <c r="IF38" s="3794"/>
      <c r="IG38" s="3794"/>
      <c r="IH38" s="3794"/>
      <c r="II38" s="3794"/>
      <c r="IJ38" s="3794"/>
      <c r="IK38" s="3794"/>
      <c r="IL38" s="3794"/>
      <c r="IM38" s="3794"/>
      <c r="IN38" s="3794"/>
      <c r="IO38" s="3794"/>
      <c r="IP38" s="3794"/>
      <c r="IQ38" s="3794"/>
      <c r="IR38" s="3794"/>
      <c r="IS38" s="3794"/>
      <c r="IT38" s="3794"/>
      <c r="IU38" s="3794"/>
      <c r="IV38" s="3794"/>
      <c r="IW38" s="3794"/>
      <c r="IX38" s="3794"/>
      <c r="IY38" s="3794"/>
      <c r="IZ38" s="3794"/>
      <c r="JA38" s="3794"/>
      <c r="JB38" s="3794"/>
      <c r="JC38" s="3794"/>
      <c r="JD38" s="3794"/>
      <c r="JE38" s="3794"/>
      <c r="JF38" s="3794"/>
      <c r="JG38" s="3794"/>
      <c r="JH38" s="3794"/>
      <c r="JI38" s="3794"/>
      <c r="JJ38" s="3794"/>
      <c r="JK38" s="3794"/>
      <c r="JL38" s="3794"/>
      <c r="JM38" s="3794"/>
      <c r="JN38" s="3794"/>
      <c r="JO38" s="3794"/>
      <c r="JP38" s="3794"/>
      <c r="JQ38" s="3794"/>
      <c r="JR38" s="3794"/>
      <c r="JS38" s="3794"/>
      <c r="JT38" s="3794"/>
      <c r="JU38" s="3794"/>
      <c r="JV38" s="3794"/>
      <c r="JW38" s="3794"/>
      <c r="JX38" s="3794"/>
      <c r="JY38" s="3794"/>
      <c r="JZ38" s="3794"/>
      <c r="KA38" s="3794"/>
      <c r="KB38" s="3794"/>
      <c r="KC38" s="3794"/>
      <c r="KD38" s="3794"/>
      <c r="KE38" s="3794"/>
      <c r="KF38" s="3794"/>
      <c r="KG38" s="3794"/>
      <c r="KH38" s="3794"/>
      <c r="KI38" s="3794"/>
      <c r="KJ38" s="3794"/>
      <c r="KK38" s="3794"/>
      <c r="KL38" s="3794"/>
      <c r="KM38" s="3794"/>
      <c r="KN38" s="3794"/>
      <c r="KO38" s="3794"/>
      <c r="KP38" s="3794"/>
      <c r="KQ38" s="3794"/>
      <c r="KR38" s="3794"/>
      <c r="KS38" s="3794"/>
      <c r="KT38" s="3794"/>
      <c r="KU38" s="3794"/>
      <c r="KV38" s="3794"/>
      <c r="KW38" s="3794"/>
      <c r="KX38" s="3794"/>
      <c r="KY38" s="3794"/>
      <c r="KZ38" s="3794"/>
      <c r="LA38" s="3794"/>
      <c r="LB38" s="3794"/>
      <c r="LC38" s="3794"/>
      <c r="LD38" s="3794"/>
      <c r="LE38" s="3794"/>
      <c r="LF38" s="3794"/>
      <c r="LG38" s="3794"/>
      <c r="LH38" s="3794"/>
      <c r="LI38" s="3794"/>
      <c r="LJ38" s="3794"/>
      <c r="LK38" s="3794"/>
      <c r="LL38" s="3794"/>
      <c r="LM38" s="3794"/>
      <c r="LN38" s="3794"/>
      <c r="LO38" s="3794"/>
      <c r="LP38" s="3794"/>
      <c r="LQ38" s="3794"/>
      <c r="LR38" s="3794"/>
      <c r="LS38" s="3794"/>
      <c r="LT38" s="3794"/>
      <c r="LU38" s="3794"/>
      <c r="LV38" s="3794"/>
      <c r="LW38" s="3794"/>
      <c r="LX38" s="3794"/>
      <c r="LY38" s="3794"/>
      <c r="LZ38" s="3794"/>
      <c r="MA38" s="3794"/>
      <c r="MB38" s="3794"/>
      <c r="MC38" s="3794"/>
      <c r="MD38" s="3794"/>
      <c r="ME38" s="3794"/>
      <c r="MF38" s="3794"/>
      <c r="MG38" s="3794"/>
      <c r="MH38" s="3794"/>
      <c r="MI38" s="3794"/>
      <c r="MJ38" s="3794"/>
      <c r="MK38" s="3794"/>
      <c r="ML38" s="3794"/>
      <c r="MM38" s="3794"/>
      <c r="MN38" s="3794"/>
      <c r="MO38" s="3794"/>
      <c r="MP38" s="3794"/>
      <c r="MQ38" s="3794"/>
      <c r="MR38" s="3794"/>
      <c r="MS38" s="3794"/>
      <c r="MT38" s="3794"/>
      <c r="MU38" s="3794"/>
      <c r="MV38" s="3794"/>
      <c r="MW38" s="3794"/>
      <c r="MX38" s="3794"/>
      <c r="MY38" s="3794"/>
      <c r="MZ38" s="3794"/>
      <c r="NA38" s="3794"/>
      <c r="NB38" s="3794"/>
      <c r="NC38" s="3794"/>
      <c r="ND38" s="3794"/>
      <c r="NE38" s="3794"/>
      <c r="NF38" s="3794"/>
      <c r="NG38" s="3794"/>
      <c r="NH38" s="3794"/>
      <c r="NI38" s="3794"/>
      <c r="NJ38" s="3794"/>
      <c r="NK38" s="3794"/>
      <c r="NL38" s="3794"/>
      <c r="NM38" s="3794"/>
      <c r="NN38" s="3794"/>
      <c r="NO38" s="3794"/>
      <c r="NP38" s="3794"/>
      <c r="NQ38" s="3794"/>
      <c r="NR38" s="3794"/>
      <c r="NS38" s="3794"/>
      <c r="NT38" s="3794"/>
      <c r="NU38" s="3794"/>
      <c r="NV38" s="3794"/>
      <c r="NW38" s="3794"/>
      <c r="NX38" s="3794"/>
      <c r="NY38" s="3794"/>
      <c r="NZ38" s="3794"/>
      <c r="OA38" s="3794"/>
      <c r="OB38" s="3794"/>
      <c r="OC38" s="3794"/>
      <c r="OD38" s="3794"/>
    </row>
    <row r="39" spans="1:394" s="27" customFormat="1" ht="319" x14ac:dyDescent="0.3">
      <c r="A39" s="28"/>
      <c r="B39" s="1504"/>
      <c r="C39" s="1717" t="s">
        <v>1949</v>
      </c>
      <c r="D39" s="699" t="s">
        <v>3</v>
      </c>
      <c r="E39" s="594" t="b">
        <f>IF(D39="Compliant",TRUE,FALSE)</f>
        <v>0</v>
      </c>
      <c r="F39" s="361"/>
      <c r="G39" s="381" t="str">
        <f>IF(I39&lt;&gt;"", "Not Blank", "")</f>
        <v/>
      </c>
      <c r="H39" s="380"/>
      <c r="I39" s="1570"/>
      <c r="J39" s="216" t="str">
        <f>IF(L39&lt;&gt;"", "Not Blank", "")</f>
        <v/>
      </c>
      <c r="K39" s="216"/>
      <c r="L39" s="44"/>
      <c r="M39" s="68"/>
      <c r="N39" s="4447" t="s">
        <v>3</v>
      </c>
      <c r="O39" s="4760"/>
      <c r="P39" s="67"/>
      <c r="Q39" s="1060" t="s">
        <v>3</v>
      </c>
      <c r="R39" s="839" t="b">
        <f>IF(OR(Q39="Compliant",Q39="FE with work-a-round",Q39="Functionally Equivalent"),TRUE,FALSE)</f>
        <v>0</v>
      </c>
      <c r="S39" s="44"/>
      <c r="T39" s="44"/>
      <c r="U39" s="68"/>
      <c r="V39" s="4447" t="s">
        <v>3</v>
      </c>
      <c r="W39" s="4757"/>
      <c r="X39" s="834"/>
      <c r="Y39" s="42"/>
      <c r="Z39" s="128"/>
      <c r="AA39" s="3634"/>
      <c r="AB39" s="3634"/>
      <c r="AC39" s="3634"/>
      <c r="AD39" s="3634"/>
      <c r="AE39" s="3634"/>
      <c r="AF39" s="3634"/>
      <c r="AG39" s="3634"/>
      <c r="AH39" s="3634"/>
      <c r="AI39" s="3634"/>
      <c r="AJ39" s="3634"/>
      <c r="AK39" s="3634"/>
      <c r="AL39" s="3634"/>
      <c r="AM39" s="3634"/>
      <c r="AN39" s="3634"/>
      <c r="AO39" s="3634"/>
      <c r="AP39" s="3634"/>
      <c r="AQ39" s="3634"/>
      <c r="AR39" s="3634"/>
      <c r="AS39" s="3634"/>
      <c r="AT39" s="3634"/>
      <c r="AU39" s="3634"/>
      <c r="AV39" s="3634"/>
      <c r="AW39" s="3634"/>
      <c r="AX39" s="3634"/>
      <c r="AY39" s="3634"/>
      <c r="AZ39" s="3634"/>
      <c r="BA39" s="3634"/>
      <c r="BB39" s="3634"/>
      <c r="BC39" s="3634"/>
      <c r="BD39" s="3634"/>
      <c r="BE39" s="3634"/>
      <c r="BF39" s="3634"/>
      <c r="BG39" s="3634"/>
      <c r="BH39" s="3634"/>
      <c r="BI39" s="3634"/>
      <c r="BJ39" s="3634"/>
      <c r="BK39" s="3634"/>
      <c r="BL39" s="3634"/>
      <c r="BM39" s="3634"/>
      <c r="BN39" s="3634"/>
      <c r="BO39" s="3634"/>
      <c r="BP39" s="3634"/>
      <c r="BQ39" s="3634"/>
      <c r="BR39" s="3634"/>
      <c r="BS39" s="3634"/>
      <c r="BT39" s="3634"/>
      <c r="BU39" s="3634"/>
      <c r="BV39" s="3634"/>
      <c r="BW39" s="3634"/>
      <c r="BX39" s="3634"/>
      <c r="BY39" s="3634"/>
      <c r="BZ39" s="3634"/>
      <c r="CA39" s="3634"/>
      <c r="CB39" s="3634"/>
      <c r="CC39" s="3634"/>
      <c r="CD39" s="3634"/>
      <c r="CE39" s="3785"/>
      <c r="CF39" s="3794"/>
      <c r="CG39" s="3794"/>
      <c r="CH39" s="3794"/>
      <c r="CI39" s="3794"/>
      <c r="CJ39" s="3794"/>
      <c r="CK39" s="3794"/>
      <c r="CL39" s="3794"/>
      <c r="CM39" s="3794"/>
      <c r="CN39" s="3794"/>
      <c r="CO39" s="3794"/>
      <c r="CP39" s="3794"/>
      <c r="CQ39" s="3794"/>
      <c r="CR39" s="3794"/>
      <c r="CS39" s="3794"/>
      <c r="CT39" s="3794"/>
      <c r="CU39" s="3794"/>
      <c r="CV39" s="3794"/>
      <c r="CW39" s="3794"/>
      <c r="CX39" s="3794"/>
      <c r="CY39" s="3794"/>
      <c r="CZ39" s="3794"/>
      <c r="DA39" s="3794"/>
      <c r="DB39" s="3794"/>
      <c r="DC39" s="3794"/>
      <c r="DD39" s="3794"/>
      <c r="DE39" s="3794"/>
      <c r="DF39" s="3794"/>
      <c r="DG39" s="3794"/>
      <c r="DH39" s="3794"/>
      <c r="DI39" s="3794"/>
      <c r="DJ39" s="3794"/>
      <c r="DK39" s="3794"/>
      <c r="DL39" s="3794"/>
      <c r="DM39" s="3794"/>
      <c r="DN39" s="3794"/>
      <c r="DO39" s="3794"/>
      <c r="DP39" s="3794"/>
      <c r="DQ39" s="3794"/>
      <c r="DR39" s="3794"/>
      <c r="DS39" s="3794"/>
      <c r="DT39" s="3794"/>
      <c r="DU39" s="3794"/>
      <c r="DV39" s="3794"/>
      <c r="DW39" s="3794"/>
      <c r="DX39" s="3794"/>
      <c r="DY39" s="3794"/>
      <c r="DZ39" s="3794"/>
      <c r="EA39" s="3794"/>
      <c r="EB39" s="3794"/>
      <c r="EC39" s="3794"/>
      <c r="ED39" s="3794"/>
      <c r="EE39" s="3794"/>
      <c r="EF39" s="3794"/>
      <c r="EG39" s="3794"/>
      <c r="EH39" s="3794"/>
      <c r="EI39" s="3794"/>
      <c r="EJ39" s="3794"/>
      <c r="EK39" s="3794"/>
      <c r="EL39" s="3794"/>
      <c r="EM39" s="3794"/>
      <c r="EN39" s="3794"/>
      <c r="EO39" s="3794"/>
      <c r="EP39" s="3794"/>
      <c r="EQ39" s="3794"/>
      <c r="ER39" s="3794"/>
      <c r="ES39" s="3794"/>
      <c r="ET39" s="3794"/>
      <c r="EU39" s="3794"/>
      <c r="EV39" s="3794"/>
      <c r="EW39" s="3794"/>
      <c r="EX39" s="3794"/>
      <c r="EY39" s="3794"/>
      <c r="EZ39" s="3794"/>
      <c r="FA39" s="3794"/>
      <c r="FB39" s="3794"/>
      <c r="FC39" s="3794"/>
      <c r="FD39" s="3794"/>
      <c r="FE39" s="3794"/>
      <c r="FF39" s="3794"/>
      <c r="FG39" s="3794"/>
      <c r="FH39" s="3794"/>
      <c r="FI39" s="3794"/>
      <c r="FJ39" s="3794"/>
      <c r="FK39" s="3794"/>
      <c r="FL39" s="3794"/>
      <c r="FM39" s="3794"/>
      <c r="FN39" s="3794"/>
      <c r="FO39" s="3794"/>
      <c r="FP39" s="3794"/>
      <c r="FQ39" s="3794"/>
      <c r="FR39" s="3794"/>
      <c r="FS39" s="3794"/>
      <c r="FT39" s="3794"/>
      <c r="FU39" s="3794"/>
      <c r="FV39" s="3794"/>
      <c r="FW39" s="3794"/>
      <c r="FX39" s="3794"/>
      <c r="FY39" s="3794"/>
      <c r="FZ39" s="3794"/>
      <c r="GA39" s="3794"/>
      <c r="GB39" s="3794"/>
      <c r="GC39" s="3794"/>
      <c r="GD39" s="3794"/>
      <c r="GE39" s="3794"/>
      <c r="GF39" s="3794"/>
      <c r="GG39" s="3794"/>
      <c r="GH39" s="3794"/>
      <c r="GI39" s="3794"/>
      <c r="GJ39" s="3794"/>
      <c r="GK39" s="3794"/>
      <c r="GL39" s="3794"/>
      <c r="GM39" s="3794"/>
      <c r="GN39" s="3794"/>
      <c r="GO39" s="3794"/>
      <c r="GP39" s="3794"/>
      <c r="GQ39" s="3794"/>
      <c r="GR39" s="3794"/>
      <c r="GS39" s="3794"/>
      <c r="GT39" s="3794"/>
      <c r="GU39" s="3794"/>
      <c r="GV39" s="3794"/>
      <c r="GW39" s="3794"/>
      <c r="GX39" s="3794"/>
      <c r="GY39" s="3794"/>
      <c r="GZ39" s="3794"/>
      <c r="HA39" s="3794"/>
      <c r="HB39" s="3794"/>
      <c r="HC39" s="3794"/>
      <c r="HD39" s="3794"/>
      <c r="HE39" s="3794"/>
      <c r="HF39" s="3794"/>
      <c r="HG39" s="3794"/>
      <c r="HH39" s="3794"/>
      <c r="HI39" s="3794"/>
      <c r="HJ39" s="3794"/>
      <c r="HK39" s="3794"/>
      <c r="HL39" s="3794"/>
      <c r="HM39" s="3794"/>
      <c r="HN39" s="3794"/>
      <c r="HO39" s="3794"/>
      <c r="HP39" s="3794"/>
      <c r="HQ39" s="3794"/>
      <c r="HR39" s="3794"/>
      <c r="HS39" s="3794"/>
      <c r="HT39" s="3794"/>
      <c r="HU39" s="3794"/>
      <c r="HV39" s="3794"/>
      <c r="HW39" s="3794"/>
      <c r="HX39" s="3794"/>
      <c r="HY39" s="3794"/>
      <c r="HZ39" s="3794"/>
      <c r="IA39" s="3794"/>
      <c r="IB39" s="3794"/>
      <c r="IC39" s="3794"/>
      <c r="ID39" s="3794"/>
      <c r="IE39" s="3794"/>
      <c r="IF39" s="3794"/>
      <c r="IG39" s="3794"/>
      <c r="IH39" s="3794"/>
      <c r="II39" s="3794"/>
      <c r="IJ39" s="3794"/>
      <c r="IK39" s="3794"/>
      <c r="IL39" s="3794"/>
      <c r="IM39" s="3794"/>
      <c r="IN39" s="3794"/>
      <c r="IO39" s="3794"/>
      <c r="IP39" s="3794"/>
      <c r="IQ39" s="3794"/>
      <c r="IR39" s="3794"/>
      <c r="IS39" s="3794"/>
      <c r="IT39" s="3794"/>
      <c r="IU39" s="3794"/>
      <c r="IV39" s="3794"/>
      <c r="IW39" s="3794"/>
      <c r="IX39" s="3794"/>
      <c r="IY39" s="3794"/>
      <c r="IZ39" s="3794"/>
      <c r="JA39" s="3794"/>
      <c r="JB39" s="3794"/>
      <c r="JC39" s="3794"/>
      <c r="JD39" s="3794"/>
      <c r="JE39" s="3794"/>
      <c r="JF39" s="3794"/>
      <c r="JG39" s="3794"/>
      <c r="JH39" s="3794"/>
      <c r="JI39" s="3794"/>
      <c r="JJ39" s="3794"/>
      <c r="JK39" s="3794"/>
      <c r="JL39" s="3794"/>
      <c r="JM39" s="3794"/>
      <c r="JN39" s="3794"/>
      <c r="JO39" s="3794"/>
      <c r="JP39" s="3794"/>
      <c r="JQ39" s="3794"/>
      <c r="JR39" s="3794"/>
      <c r="JS39" s="3794"/>
      <c r="JT39" s="3794"/>
      <c r="JU39" s="3794"/>
      <c r="JV39" s="3794"/>
      <c r="JW39" s="3794"/>
      <c r="JX39" s="3794"/>
      <c r="JY39" s="3794"/>
      <c r="JZ39" s="3794"/>
      <c r="KA39" s="3794"/>
      <c r="KB39" s="3794"/>
      <c r="KC39" s="3794"/>
      <c r="KD39" s="3794"/>
      <c r="KE39" s="3794"/>
      <c r="KF39" s="3794"/>
      <c r="KG39" s="3794"/>
      <c r="KH39" s="3794"/>
      <c r="KI39" s="3794"/>
      <c r="KJ39" s="3794"/>
      <c r="KK39" s="3794"/>
      <c r="KL39" s="3794"/>
      <c r="KM39" s="3794"/>
      <c r="KN39" s="3794"/>
      <c r="KO39" s="3794"/>
      <c r="KP39" s="3794"/>
      <c r="KQ39" s="3794"/>
      <c r="KR39" s="3794"/>
      <c r="KS39" s="3794"/>
      <c r="KT39" s="3794"/>
      <c r="KU39" s="3794"/>
      <c r="KV39" s="3794"/>
      <c r="KW39" s="3794"/>
      <c r="KX39" s="3794"/>
      <c r="KY39" s="3794"/>
      <c r="KZ39" s="3794"/>
      <c r="LA39" s="3794"/>
      <c r="LB39" s="3794"/>
      <c r="LC39" s="3794"/>
      <c r="LD39" s="3794"/>
      <c r="LE39" s="3794"/>
      <c r="LF39" s="3794"/>
      <c r="LG39" s="3794"/>
      <c r="LH39" s="3794"/>
      <c r="LI39" s="3794"/>
      <c r="LJ39" s="3794"/>
      <c r="LK39" s="3794"/>
      <c r="LL39" s="3794"/>
      <c r="LM39" s="3794"/>
      <c r="LN39" s="3794"/>
      <c r="LO39" s="3794"/>
      <c r="LP39" s="3794"/>
      <c r="LQ39" s="3794"/>
      <c r="LR39" s="3794"/>
      <c r="LS39" s="3794"/>
      <c r="LT39" s="3794"/>
      <c r="LU39" s="3794"/>
      <c r="LV39" s="3794"/>
      <c r="LW39" s="3794"/>
      <c r="LX39" s="3794"/>
      <c r="LY39" s="3794"/>
      <c r="LZ39" s="3794"/>
      <c r="MA39" s="3794"/>
      <c r="MB39" s="3794"/>
      <c r="MC39" s="3794"/>
      <c r="MD39" s="3794"/>
      <c r="ME39" s="3794"/>
      <c r="MF39" s="3794"/>
      <c r="MG39" s="3794"/>
      <c r="MH39" s="3794"/>
      <c r="MI39" s="3794"/>
      <c r="MJ39" s="3794"/>
      <c r="MK39" s="3794"/>
      <c r="ML39" s="3794"/>
      <c r="MM39" s="3794"/>
      <c r="MN39" s="3794"/>
      <c r="MO39" s="3794"/>
      <c r="MP39" s="3794"/>
      <c r="MQ39" s="3794"/>
      <c r="MR39" s="3794"/>
      <c r="MS39" s="3794"/>
      <c r="MT39" s="3794"/>
      <c r="MU39" s="3794"/>
      <c r="MV39" s="3794"/>
      <c r="MW39" s="3794"/>
      <c r="MX39" s="3794"/>
      <c r="MY39" s="3794"/>
      <c r="MZ39" s="3794"/>
      <c r="NA39" s="3794"/>
      <c r="NB39" s="3794"/>
      <c r="NC39" s="3794"/>
      <c r="ND39" s="3794"/>
      <c r="NE39" s="3794"/>
      <c r="NF39" s="3794"/>
      <c r="NG39" s="3794"/>
      <c r="NH39" s="3794"/>
      <c r="NI39" s="3794"/>
      <c r="NJ39" s="3794"/>
      <c r="NK39" s="3794"/>
      <c r="NL39" s="3794"/>
      <c r="NM39" s="3794"/>
      <c r="NN39" s="3794"/>
      <c r="NO39" s="3794"/>
      <c r="NP39" s="3794"/>
      <c r="NQ39" s="3794"/>
      <c r="NR39" s="3794"/>
      <c r="NS39" s="3794"/>
      <c r="NT39" s="3794"/>
      <c r="NU39" s="3794"/>
      <c r="NV39" s="3794"/>
      <c r="NW39" s="3794"/>
      <c r="NX39" s="3794"/>
      <c r="NY39" s="3794"/>
      <c r="NZ39" s="3794"/>
      <c r="OA39" s="3794"/>
      <c r="OB39" s="3794"/>
      <c r="OC39" s="3794"/>
      <c r="OD39" s="3794"/>
    </row>
    <row r="40" spans="1:394" s="27" customFormat="1" ht="44" thickBot="1" x14ac:dyDescent="0.35">
      <c r="A40" s="19"/>
      <c r="B40" s="1504"/>
      <c r="C40" s="1842" t="s">
        <v>1249</v>
      </c>
      <c r="D40" s="700" t="s">
        <v>3</v>
      </c>
      <c r="E40" s="595" t="b">
        <f>IF(D40="Compliant",TRUE,FALSE)</f>
        <v>0</v>
      </c>
      <c r="F40" s="258"/>
      <c r="G40" s="451" t="str">
        <f>IF(I40&lt;&gt;"", "Not Blank", "")</f>
        <v/>
      </c>
      <c r="H40" s="404"/>
      <c r="I40" s="1572"/>
      <c r="J40" s="218" t="str">
        <f>IF(L40&lt;&gt;"", "Not Blank", "")</f>
        <v/>
      </c>
      <c r="K40" s="218"/>
      <c r="L40" s="124"/>
      <c r="M40" s="246"/>
      <c r="N40" s="4448" t="s">
        <v>3</v>
      </c>
      <c r="O40" s="4761"/>
      <c r="P40" s="161"/>
      <c r="Q40" s="1017" t="s">
        <v>3</v>
      </c>
      <c r="R40" s="938" t="b">
        <f>IF(OR(Q40="Compliant",Q40="FE with work-a-round",Q40="Functionally Equivalent"),TRUE,FALSE)</f>
        <v>0</v>
      </c>
      <c r="S40" s="124"/>
      <c r="T40" s="124"/>
      <c r="U40" s="246"/>
      <c r="V40" s="4448" t="s">
        <v>3</v>
      </c>
      <c r="W40" s="4758"/>
      <c r="X40" s="123"/>
      <c r="Y40" s="124"/>
      <c r="Z40" s="125"/>
      <c r="AA40" s="3634"/>
      <c r="AB40" s="3634"/>
      <c r="AC40" s="3634"/>
      <c r="AD40" s="3634"/>
      <c r="AE40" s="3634"/>
      <c r="AF40" s="3634"/>
      <c r="AG40" s="3634"/>
      <c r="AH40" s="3634"/>
      <c r="AI40" s="3634"/>
      <c r="AJ40" s="3634"/>
      <c r="AK40" s="3634"/>
      <c r="AL40" s="3634"/>
      <c r="AM40" s="3634"/>
      <c r="AN40" s="3634"/>
      <c r="AO40" s="3634"/>
      <c r="AP40" s="3634"/>
      <c r="AQ40" s="3634"/>
      <c r="AR40" s="3634"/>
      <c r="AS40" s="3634"/>
      <c r="AT40" s="3634"/>
      <c r="AU40" s="3634"/>
      <c r="AV40" s="3634"/>
      <c r="AW40" s="3634"/>
      <c r="AX40" s="3634"/>
      <c r="AY40" s="3634"/>
      <c r="AZ40" s="3634"/>
      <c r="BA40" s="3634"/>
      <c r="BB40" s="3634"/>
      <c r="BC40" s="3634"/>
      <c r="BD40" s="3634"/>
      <c r="BE40" s="3634"/>
      <c r="BF40" s="3634"/>
      <c r="BG40" s="3634"/>
      <c r="BH40" s="3634"/>
      <c r="BI40" s="3634"/>
      <c r="BJ40" s="3634"/>
      <c r="BK40" s="3634"/>
      <c r="BL40" s="3634"/>
      <c r="BM40" s="3634"/>
      <c r="BN40" s="3634"/>
      <c r="BO40" s="3634"/>
      <c r="BP40" s="3634"/>
      <c r="BQ40" s="3634"/>
      <c r="BR40" s="3634"/>
      <c r="BS40" s="3634"/>
      <c r="BT40" s="3634"/>
      <c r="BU40" s="3634"/>
      <c r="BV40" s="3634"/>
      <c r="BW40" s="3634"/>
      <c r="BX40" s="3634"/>
      <c r="BY40" s="3634"/>
      <c r="BZ40" s="3634"/>
      <c r="CA40" s="3634"/>
      <c r="CB40" s="3634"/>
      <c r="CC40" s="3634"/>
      <c r="CD40" s="3634"/>
      <c r="CE40" s="3785"/>
      <c r="CF40" s="3794"/>
      <c r="CG40" s="3794"/>
      <c r="CH40" s="3794"/>
      <c r="CI40" s="3794"/>
      <c r="CJ40" s="3794"/>
      <c r="CK40" s="3794"/>
      <c r="CL40" s="3794"/>
      <c r="CM40" s="3794"/>
      <c r="CN40" s="3794"/>
      <c r="CO40" s="3794"/>
      <c r="CP40" s="3794"/>
      <c r="CQ40" s="3794"/>
      <c r="CR40" s="3794"/>
      <c r="CS40" s="3794"/>
      <c r="CT40" s="3794"/>
      <c r="CU40" s="3794"/>
      <c r="CV40" s="3794"/>
      <c r="CW40" s="3794"/>
      <c r="CX40" s="3794"/>
      <c r="CY40" s="3794"/>
      <c r="CZ40" s="3794"/>
      <c r="DA40" s="3794"/>
      <c r="DB40" s="3794"/>
      <c r="DC40" s="3794"/>
      <c r="DD40" s="3794"/>
      <c r="DE40" s="3794"/>
      <c r="DF40" s="3794"/>
      <c r="DG40" s="3794"/>
      <c r="DH40" s="3794"/>
      <c r="DI40" s="3794"/>
      <c r="DJ40" s="3794"/>
      <c r="DK40" s="3794"/>
      <c r="DL40" s="3794"/>
      <c r="DM40" s="3794"/>
      <c r="DN40" s="3794"/>
      <c r="DO40" s="3794"/>
      <c r="DP40" s="3794"/>
      <c r="DQ40" s="3794"/>
      <c r="DR40" s="3794"/>
      <c r="DS40" s="3794"/>
      <c r="DT40" s="3794"/>
      <c r="DU40" s="3794"/>
      <c r="DV40" s="3794"/>
      <c r="DW40" s="3794"/>
      <c r="DX40" s="3794"/>
      <c r="DY40" s="3794"/>
      <c r="DZ40" s="3794"/>
      <c r="EA40" s="3794"/>
      <c r="EB40" s="3794"/>
      <c r="EC40" s="3794"/>
      <c r="ED40" s="3794"/>
      <c r="EE40" s="3794"/>
      <c r="EF40" s="3794"/>
      <c r="EG40" s="3794"/>
      <c r="EH40" s="3794"/>
      <c r="EI40" s="3794"/>
      <c r="EJ40" s="3794"/>
      <c r="EK40" s="3794"/>
      <c r="EL40" s="3794"/>
      <c r="EM40" s="3794"/>
      <c r="EN40" s="3794"/>
      <c r="EO40" s="3794"/>
      <c r="EP40" s="3794"/>
      <c r="EQ40" s="3794"/>
      <c r="ER40" s="3794"/>
      <c r="ES40" s="3794"/>
      <c r="ET40" s="3794"/>
      <c r="EU40" s="3794"/>
      <c r="EV40" s="3794"/>
      <c r="EW40" s="3794"/>
      <c r="EX40" s="3794"/>
      <c r="EY40" s="3794"/>
      <c r="EZ40" s="3794"/>
      <c r="FA40" s="3794"/>
      <c r="FB40" s="3794"/>
      <c r="FC40" s="3794"/>
      <c r="FD40" s="3794"/>
      <c r="FE40" s="3794"/>
      <c r="FF40" s="3794"/>
      <c r="FG40" s="3794"/>
      <c r="FH40" s="3794"/>
      <c r="FI40" s="3794"/>
      <c r="FJ40" s="3794"/>
      <c r="FK40" s="3794"/>
      <c r="FL40" s="3794"/>
      <c r="FM40" s="3794"/>
      <c r="FN40" s="3794"/>
      <c r="FO40" s="3794"/>
      <c r="FP40" s="3794"/>
      <c r="FQ40" s="3794"/>
      <c r="FR40" s="3794"/>
      <c r="FS40" s="3794"/>
      <c r="FT40" s="3794"/>
      <c r="FU40" s="3794"/>
      <c r="FV40" s="3794"/>
      <c r="FW40" s="3794"/>
      <c r="FX40" s="3794"/>
      <c r="FY40" s="3794"/>
      <c r="FZ40" s="3794"/>
      <c r="GA40" s="3794"/>
      <c r="GB40" s="3794"/>
      <c r="GC40" s="3794"/>
      <c r="GD40" s="3794"/>
      <c r="GE40" s="3794"/>
      <c r="GF40" s="3794"/>
      <c r="GG40" s="3794"/>
      <c r="GH40" s="3794"/>
      <c r="GI40" s="3794"/>
      <c r="GJ40" s="3794"/>
      <c r="GK40" s="3794"/>
      <c r="GL40" s="3794"/>
      <c r="GM40" s="3794"/>
      <c r="GN40" s="3794"/>
      <c r="GO40" s="3794"/>
      <c r="GP40" s="3794"/>
      <c r="GQ40" s="3794"/>
      <c r="GR40" s="3794"/>
      <c r="GS40" s="3794"/>
      <c r="GT40" s="3794"/>
      <c r="GU40" s="3794"/>
      <c r="GV40" s="3794"/>
      <c r="GW40" s="3794"/>
      <c r="GX40" s="3794"/>
      <c r="GY40" s="3794"/>
      <c r="GZ40" s="3794"/>
      <c r="HA40" s="3794"/>
      <c r="HB40" s="3794"/>
      <c r="HC40" s="3794"/>
      <c r="HD40" s="3794"/>
      <c r="HE40" s="3794"/>
      <c r="HF40" s="3794"/>
      <c r="HG40" s="3794"/>
      <c r="HH40" s="3794"/>
      <c r="HI40" s="3794"/>
      <c r="HJ40" s="3794"/>
      <c r="HK40" s="3794"/>
      <c r="HL40" s="3794"/>
      <c r="HM40" s="3794"/>
      <c r="HN40" s="3794"/>
      <c r="HO40" s="3794"/>
      <c r="HP40" s="3794"/>
      <c r="HQ40" s="3794"/>
      <c r="HR40" s="3794"/>
      <c r="HS40" s="3794"/>
      <c r="HT40" s="3794"/>
      <c r="HU40" s="3794"/>
      <c r="HV40" s="3794"/>
      <c r="HW40" s="3794"/>
      <c r="HX40" s="3794"/>
      <c r="HY40" s="3794"/>
      <c r="HZ40" s="3794"/>
      <c r="IA40" s="3794"/>
      <c r="IB40" s="3794"/>
      <c r="IC40" s="3794"/>
      <c r="ID40" s="3794"/>
      <c r="IE40" s="3794"/>
      <c r="IF40" s="3794"/>
      <c r="IG40" s="3794"/>
      <c r="IH40" s="3794"/>
      <c r="II40" s="3794"/>
      <c r="IJ40" s="3794"/>
      <c r="IK40" s="3794"/>
      <c r="IL40" s="3794"/>
      <c r="IM40" s="3794"/>
      <c r="IN40" s="3794"/>
      <c r="IO40" s="3794"/>
      <c r="IP40" s="3794"/>
      <c r="IQ40" s="3794"/>
      <c r="IR40" s="3794"/>
      <c r="IS40" s="3794"/>
      <c r="IT40" s="3794"/>
      <c r="IU40" s="3794"/>
      <c r="IV40" s="3794"/>
      <c r="IW40" s="3794"/>
      <c r="IX40" s="3794"/>
      <c r="IY40" s="3794"/>
      <c r="IZ40" s="3794"/>
      <c r="JA40" s="3794"/>
      <c r="JB40" s="3794"/>
      <c r="JC40" s="3794"/>
      <c r="JD40" s="3794"/>
      <c r="JE40" s="3794"/>
      <c r="JF40" s="3794"/>
      <c r="JG40" s="3794"/>
      <c r="JH40" s="3794"/>
      <c r="JI40" s="3794"/>
      <c r="JJ40" s="3794"/>
      <c r="JK40" s="3794"/>
      <c r="JL40" s="3794"/>
      <c r="JM40" s="3794"/>
      <c r="JN40" s="3794"/>
      <c r="JO40" s="3794"/>
      <c r="JP40" s="3794"/>
      <c r="JQ40" s="3794"/>
      <c r="JR40" s="3794"/>
      <c r="JS40" s="3794"/>
      <c r="JT40" s="3794"/>
      <c r="JU40" s="3794"/>
      <c r="JV40" s="3794"/>
      <c r="JW40" s="3794"/>
      <c r="JX40" s="3794"/>
      <c r="JY40" s="3794"/>
      <c r="JZ40" s="3794"/>
      <c r="KA40" s="3794"/>
      <c r="KB40" s="3794"/>
      <c r="KC40" s="3794"/>
      <c r="KD40" s="3794"/>
      <c r="KE40" s="3794"/>
      <c r="KF40" s="3794"/>
      <c r="KG40" s="3794"/>
      <c r="KH40" s="3794"/>
      <c r="KI40" s="3794"/>
      <c r="KJ40" s="3794"/>
      <c r="KK40" s="3794"/>
      <c r="KL40" s="3794"/>
      <c r="KM40" s="3794"/>
      <c r="KN40" s="3794"/>
      <c r="KO40" s="3794"/>
      <c r="KP40" s="3794"/>
      <c r="KQ40" s="3794"/>
      <c r="KR40" s="3794"/>
      <c r="KS40" s="3794"/>
      <c r="KT40" s="3794"/>
      <c r="KU40" s="3794"/>
      <c r="KV40" s="3794"/>
      <c r="KW40" s="3794"/>
      <c r="KX40" s="3794"/>
      <c r="KY40" s="3794"/>
      <c r="KZ40" s="3794"/>
      <c r="LA40" s="3794"/>
      <c r="LB40" s="3794"/>
      <c r="LC40" s="3794"/>
      <c r="LD40" s="3794"/>
      <c r="LE40" s="3794"/>
      <c r="LF40" s="3794"/>
      <c r="LG40" s="3794"/>
      <c r="LH40" s="3794"/>
      <c r="LI40" s="3794"/>
      <c r="LJ40" s="3794"/>
      <c r="LK40" s="3794"/>
      <c r="LL40" s="3794"/>
      <c r="LM40" s="3794"/>
      <c r="LN40" s="3794"/>
      <c r="LO40" s="3794"/>
      <c r="LP40" s="3794"/>
      <c r="LQ40" s="3794"/>
      <c r="LR40" s="3794"/>
      <c r="LS40" s="3794"/>
      <c r="LT40" s="3794"/>
      <c r="LU40" s="3794"/>
      <c r="LV40" s="3794"/>
      <c r="LW40" s="3794"/>
      <c r="LX40" s="3794"/>
      <c r="LY40" s="3794"/>
      <c r="LZ40" s="3794"/>
      <c r="MA40" s="3794"/>
      <c r="MB40" s="3794"/>
      <c r="MC40" s="3794"/>
      <c r="MD40" s="3794"/>
      <c r="ME40" s="3794"/>
      <c r="MF40" s="3794"/>
      <c r="MG40" s="3794"/>
      <c r="MH40" s="3794"/>
      <c r="MI40" s="3794"/>
      <c r="MJ40" s="3794"/>
      <c r="MK40" s="3794"/>
      <c r="ML40" s="3794"/>
      <c r="MM40" s="3794"/>
      <c r="MN40" s="3794"/>
      <c r="MO40" s="3794"/>
      <c r="MP40" s="3794"/>
      <c r="MQ40" s="3794"/>
      <c r="MR40" s="3794"/>
      <c r="MS40" s="3794"/>
      <c r="MT40" s="3794"/>
      <c r="MU40" s="3794"/>
      <c r="MV40" s="3794"/>
      <c r="MW40" s="3794"/>
      <c r="MX40" s="3794"/>
      <c r="MY40" s="3794"/>
      <c r="MZ40" s="3794"/>
      <c r="NA40" s="3794"/>
      <c r="NB40" s="3794"/>
      <c r="NC40" s="3794"/>
      <c r="ND40" s="3794"/>
      <c r="NE40" s="3794"/>
      <c r="NF40" s="3794"/>
      <c r="NG40" s="3794"/>
      <c r="NH40" s="3794"/>
      <c r="NI40" s="3794"/>
      <c r="NJ40" s="3794"/>
      <c r="NK40" s="3794"/>
      <c r="NL40" s="3794"/>
      <c r="NM40" s="3794"/>
      <c r="NN40" s="3794"/>
      <c r="NO40" s="3794"/>
      <c r="NP40" s="3794"/>
      <c r="NQ40" s="3794"/>
      <c r="NR40" s="3794"/>
      <c r="NS40" s="3794"/>
      <c r="NT40" s="3794"/>
      <c r="NU40" s="3794"/>
      <c r="NV40" s="3794"/>
      <c r="NW40" s="3794"/>
      <c r="NX40" s="3794"/>
      <c r="NY40" s="3794"/>
      <c r="NZ40" s="3794"/>
      <c r="OA40" s="3794"/>
      <c r="OB40" s="3794"/>
      <c r="OC40" s="3794"/>
      <c r="OD40" s="3794"/>
    </row>
    <row r="41" spans="1:394" s="3716" customFormat="1" ht="15" thickTop="1" x14ac:dyDescent="0.3">
      <c r="A41" s="3651"/>
      <c r="B41" s="3634"/>
      <c r="C41" s="3661"/>
      <c r="D41" s="3634"/>
      <c r="E41" s="3636"/>
      <c r="F41" s="3636"/>
      <c r="G41" s="3662"/>
      <c r="H41" s="3663"/>
      <c r="I41" s="3664"/>
      <c r="J41" s="3643"/>
      <c r="K41" s="3643"/>
      <c r="L41" s="3634"/>
      <c r="M41" s="3634"/>
      <c r="N41" s="3643"/>
      <c r="O41" s="3643"/>
      <c r="P41" s="3634"/>
      <c r="Q41" s="3634"/>
      <c r="R41" s="3634"/>
      <c r="S41" s="3634"/>
      <c r="T41" s="3634"/>
      <c r="U41" s="3634"/>
      <c r="V41" s="3639"/>
      <c r="W41" s="3634"/>
      <c r="X41" s="3634"/>
      <c r="Y41" s="3634"/>
      <c r="Z41" s="3634"/>
      <c r="AA41" s="3634"/>
      <c r="AB41" s="3634"/>
      <c r="AC41" s="3634"/>
      <c r="AD41" s="3634"/>
      <c r="AE41" s="3634"/>
      <c r="AF41" s="3634"/>
      <c r="AG41" s="3634"/>
      <c r="AH41" s="3634"/>
      <c r="AI41" s="3634"/>
      <c r="AJ41" s="3634"/>
      <c r="AK41" s="3634"/>
      <c r="AL41" s="3634"/>
      <c r="AM41" s="3634"/>
      <c r="AN41" s="3634"/>
      <c r="AO41" s="3634"/>
      <c r="AP41" s="3634"/>
      <c r="AQ41" s="3634"/>
      <c r="AR41" s="3634"/>
      <c r="AS41" s="3634"/>
      <c r="AT41" s="3634"/>
      <c r="AU41" s="3634"/>
      <c r="AV41" s="3634"/>
      <c r="AW41" s="3634"/>
      <c r="AX41" s="3634"/>
      <c r="AY41" s="3634"/>
      <c r="AZ41" s="3634"/>
      <c r="BA41" s="3634"/>
      <c r="BB41" s="3634"/>
      <c r="BC41" s="3634"/>
      <c r="BD41" s="3634"/>
      <c r="BE41" s="3634"/>
      <c r="BF41" s="3634"/>
      <c r="BG41" s="3634"/>
      <c r="BH41" s="3634"/>
      <c r="BI41" s="3634"/>
      <c r="BJ41" s="3634"/>
      <c r="BK41" s="3634"/>
      <c r="BL41" s="3634"/>
      <c r="BM41" s="3634"/>
      <c r="BN41" s="3634"/>
      <c r="BO41" s="3634"/>
      <c r="BP41" s="3634"/>
      <c r="BQ41" s="3634"/>
      <c r="BR41" s="3634"/>
      <c r="BS41" s="3634"/>
      <c r="BT41" s="3634"/>
      <c r="BU41" s="3634"/>
      <c r="BV41" s="3634"/>
      <c r="BW41" s="3634"/>
      <c r="BX41" s="3634"/>
      <c r="BY41" s="3634"/>
      <c r="BZ41" s="3634"/>
      <c r="CA41" s="3634"/>
      <c r="CB41" s="3634"/>
      <c r="CC41" s="3634"/>
      <c r="CD41" s="3634"/>
      <c r="CE41" s="3785"/>
    </row>
    <row r="42" spans="1:394" s="3640" customFormat="1" ht="18.5" x14ac:dyDescent="0.3">
      <c r="A42" s="4482" t="s">
        <v>1138</v>
      </c>
      <c r="B42" s="4483"/>
      <c r="C42" s="4483"/>
      <c r="D42" s="4483"/>
      <c r="E42" s="4483"/>
      <c r="F42" s="4483"/>
      <c r="G42" s="4483"/>
      <c r="H42" s="4483"/>
      <c r="I42" s="4483"/>
      <c r="J42" s="4483"/>
      <c r="K42" s="4483"/>
      <c r="L42" s="4483"/>
      <c r="M42" s="4483"/>
      <c r="N42" s="4483"/>
      <c r="O42" s="3669"/>
      <c r="P42" s="3670"/>
      <c r="Q42" s="3670"/>
      <c r="R42" s="3670"/>
      <c r="S42" s="3671"/>
      <c r="T42" s="3672"/>
      <c r="U42" s="3672"/>
      <c r="V42" s="3673"/>
      <c r="W42" s="3674"/>
      <c r="X42" s="3675"/>
      <c r="Y42" s="3676"/>
      <c r="Z42" s="3775"/>
    </row>
    <row r="43" spans="1:394" s="3640" customFormat="1" ht="19" thickBot="1" x14ac:dyDescent="0.35">
      <c r="A43" s="3786"/>
      <c r="B43" s="3719"/>
      <c r="C43" s="3719"/>
      <c r="D43" s="3720"/>
      <c r="E43" s="3720"/>
      <c r="F43" s="3720"/>
      <c r="G43" s="3720"/>
      <c r="H43" s="3720"/>
      <c r="I43" s="3721"/>
      <c r="J43" s="3720"/>
      <c r="K43" s="3720"/>
      <c r="L43" s="3720"/>
      <c r="M43" s="3720"/>
      <c r="N43" s="3722"/>
      <c r="O43" s="3722"/>
      <c r="P43" s="3723"/>
      <c r="Q43" s="3722"/>
      <c r="R43" s="3723"/>
      <c r="S43" s="3724"/>
      <c r="T43" s="3724"/>
      <c r="V43" s="3725"/>
      <c r="W43" s="3727"/>
      <c r="X43" s="3728"/>
    </row>
    <row r="44" spans="1:394" s="672" customFormat="1" ht="16.5" thickTop="1" thickBot="1" x14ac:dyDescent="0.35">
      <c r="A44" s="269"/>
      <c r="B44" s="1808" t="s">
        <v>1358</v>
      </c>
      <c r="C44" s="1938" t="s">
        <v>1376</v>
      </c>
      <c r="D44" s="1938" t="s">
        <v>565</v>
      </c>
      <c r="E44" s="1938" t="b">
        <f>IF(AND(E45=TRUE,E56=TRUE),TRUE,FALSE)</f>
        <v>0</v>
      </c>
      <c r="F44" s="1938">
        <f>SUM(F45,F56)</f>
        <v>0</v>
      </c>
      <c r="G44" s="1938">
        <f>SUM(G45,G56)</f>
        <v>0</v>
      </c>
      <c r="H44" s="1938">
        <f>SUM(H45,H56)</f>
        <v>0</v>
      </c>
      <c r="I44" s="1938" t="str">
        <f xml:space="preserve">
IF(F44&gt;40,"Too Many Entries - Check Red Lines",
IF(AND(E44=FALSE,G44=0,H44=0,E44=TRUE),"Nothing Required Below",
IF(G44&lt;F44,"Valid Entry required below - Check Amber Line/s",
IF(AND(E44=FALSE,G44=0,H44=0),"Nothing Entered below Yet",
IF(G44&lt;F44,"Valid Entry required below - Check Amber Line/s",
IF(AND(G44=0,H44&gt;0),"**Non-Valid Entry/ies below - Check Yellow Line/s",
IF(AND(G44&gt;0,H44&gt;0),"**Valid and Non-Valid Entries made below - Check Yellow Line/s",
IF(AND(E44=FALSE,F44&lt;40),"Not all requirements addressed below - Check Pink Line/s",
IF(AND(E44=FALSE,G44&lt;40,G44&gt;0,H44=0),"More entries to come",
IF(AND(E44,TRUE,G44=40,H44=0),"Valid Entries made below"
))))))))))</f>
        <v>Nothing Entered below Yet</v>
      </c>
      <c r="J44" s="1938">
        <f>SUM(J45,J56)</f>
        <v>0</v>
      </c>
      <c r="K44" s="1938">
        <f>SUM(K45,K56)</f>
        <v>0</v>
      </c>
      <c r="L44" s="1938" t="str">
        <f xml:space="preserve">
IF(J44&gt;40,"Too Many Entries - Check Red Lines",
IF(J44&lt;F44,"Valid Entry required below - Check Amber Line/s",
IF(AND(E44=FALSE,J44=0,K44=0),"Nothing Entered below Yet",
IF(AND(J44=0,K44&gt;0),"**Non-Valid Entry/ies below - Check Yellow Line/s",
IF(AND(J44&gt;0,K44&gt;0),"**Valid and Non-Valid Entries made below - Check Yellow Line/s",
IF(AND(E44=FALSE,J44&lt;40),"Not all requirements addressed below - Check Pink Line/s",
IF(AND(E44=FALSE,J44&lt;40,J44&gt;0,K44=0),"More entries to come",
IF(AND(E44,TRUE,J44=40,K44=0),"Valid Entries made below"
))))))))</f>
        <v>Nothing Entered below Yet</v>
      </c>
      <c r="M44" s="2982"/>
      <c r="N44" s="698" t="s">
        <v>565</v>
      </c>
      <c r="O44" s="88" t="b">
        <f>IF(AND(O45=TRUE,O56=TRUE,O58=TRUE,O62=TRUE,O65=TRUE,O69=TRUE,O77=TRUE,O80=TRUE),TRUE,FALSE)</f>
        <v>0</v>
      </c>
      <c r="P44" s="462"/>
      <c r="Q44" s="1197" t="s">
        <v>565</v>
      </c>
      <c r="R44" s="734" t="b">
        <f>IF(AND(R45=TRUE,R56=TRUE),TRUE,FALSE)</f>
        <v>0</v>
      </c>
      <c r="S44" s="388"/>
      <c r="T44" s="388"/>
      <c r="U44" s="640"/>
      <c r="V44" s="1197" t="s">
        <v>565</v>
      </c>
      <c r="W44" s="424" t="b">
        <f>IF(AND(W45=TRUE,W56=TRUE,W58=TRUE,W62=TRUE,W65=TRUE,W69=TRUE,W77=TRUE,W80=TRUE),TRUE,FALSE)</f>
        <v>0</v>
      </c>
      <c r="X44" s="2982"/>
      <c r="Y44" s="2982"/>
      <c r="Z44" s="4204"/>
    </row>
    <row r="45" spans="1:394" s="27" customFormat="1" ht="30" thickTop="1" thickBot="1" x14ac:dyDescent="0.35">
      <c r="A45" s="37">
        <v>6</v>
      </c>
      <c r="B45" s="1869" t="s">
        <v>419</v>
      </c>
      <c r="C45" s="1648" t="s">
        <v>1518</v>
      </c>
      <c r="D45" s="1648" t="s">
        <v>565</v>
      </c>
      <c r="E45" s="1648" t="b" cm="1">
        <f t="array" ref="E45">IF(AND(E46=TRUE,E53:E55=TRUE),TRUE,FALSE)</f>
        <v>0</v>
      </c>
      <c r="F45" s="1648">
        <f>COUNTIF(E47,TRUE)+COUNTIF(E49:E55,TRUE)</f>
        <v>0</v>
      </c>
      <c r="G45" s="1648">
        <f>COUNTIFS(E46:E55,TRUE,G46:G55,"Not Blank")</f>
        <v>0</v>
      </c>
      <c r="H45" s="1648">
        <f>COUNTIFS(E46:E55,FALSE,G46:G55,"Not Blank")</f>
        <v>0</v>
      </c>
      <c r="I45" s="1648" t="str">
        <f xml:space="preserve">
IF(F45&gt;8,"Too Many Entries - Check Red Lines",
IF(G45&lt;F45,"Valid Entry required below - Check Amber Line/s",
IF(AND(E45=FALSE,G45=0,H45=0),"Nothing Entered below Yet",
IF(G45&lt;F45,"Valid Entry required below - Check Amber Line/s",
IF(AND(G45=0,H45&gt;0),"**Non-Valid Entry/ies below - Check Yellow Line/s",
IF(AND(G45&gt;0,H45&gt;0),"**Valid and Non-Valid Entries made below - Check Yellow Line/s",
IF(AND(E45=FALSE,F45&lt;8),"Not all requirements addressed below - Check Pink Line/s",
IF(AND(E45=FALSE,G45&lt;8,G45&gt;0,H45=0),"More entries to come",
IF(AND(E45,TRUE,G45=8,H45=0),"Valid Entries made below"
)))))))))</f>
        <v>Nothing Entered below Yet</v>
      </c>
      <c r="J45" s="1648">
        <f>COUNTIFS(E46:E55,TRUE,J46:J55,"Not Blank")</f>
        <v>0</v>
      </c>
      <c r="K45" s="1648">
        <f>COUNTIFS(E46:E55,FALSE,J46:J55,"Not Blank")</f>
        <v>0</v>
      </c>
      <c r="L45" s="1648" t="str">
        <f xml:space="preserve">
IF(J45&gt;8,"Too Many Entries - Check Red Lines",
IF(J45&lt;F45,"Valid Entry required below - Check Amber Line/s",
IF(AND(E45=FALSE,J45=0,K45=0),"Nothing Entered below Yet",
IF(AND(J45=0,K45&gt;0),"**Non-Valid Entry/ies below - Check Yellow Line/s",
IF(AND(J45&gt;0,K45&gt;0),"**Valid and Non-Valid Entries made below - Check Yellow Line/s",
IF(AND(E45=FALSE,J45&lt;8),"Not all requirements addressed below - Check Pink Line/s",
IF(AND(E45=FALSE,J45&lt;8,J45&gt;0,K45=0),"More entries to come",
IF(AND(E45,TRUE,J45=8,K45=0),"Valid Entries made below"
))))))))</f>
        <v>Nothing Entered below Yet</v>
      </c>
      <c r="M45" s="987"/>
      <c r="N45" s="4446" t="s">
        <v>3</v>
      </c>
      <c r="O45" s="4707" t="b">
        <f>IF(OR(N45="Compliant",N45="FE with work-a-round",N45="Functionally Equivalent"),TRUE,FALSE)</f>
        <v>0</v>
      </c>
      <c r="P45" s="818"/>
      <c r="Q45" s="1197" t="s">
        <v>565</v>
      </c>
      <c r="R45" s="749" t="b" cm="1">
        <f t="array" ref="R45">IF(AND(R46=TRUE,R53:R55=TRUE),TRUE,FALSE)</f>
        <v>0</v>
      </c>
      <c r="S45" s="705"/>
      <c r="T45" s="705"/>
      <c r="U45" s="987"/>
      <c r="V45" s="4446" t="s">
        <v>3</v>
      </c>
      <c r="W45" s="4754" t="b">
        <f>IF(OR(V45="Compliant",V45="FE with work-a-round",V45="Functionally Equivalent",V45="Not Required/Applicable"),TRUE,FALSE)</f>
        <v>0</v>
      </c>
      <c r="X45" s="133"/>
      <c r="Y45" s="133"/>
      <c r="Z45" s="134"/>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40"/>
    </row>
    <row r="46" spans="1:394" s="27" customFormat="1" ht="44" thickTop="1" x14ac:dyDescent="0.3">
      <c r="A46" s="37">
        <v>6.1</v>
      </c>
      <c r="B46" s="1495"/>
      <c r="C46" s="1727" t="s">
        <v>420</v>
      </c>
      <c r="D46" s="1727" t="s">
        <v>565</v>
      </c>
      <c r="E46" s="1514" t="b">
        <f>IF(AND(E47=TRUE,E48=TRUE,E51=TRUE,E52=TRUE),TRUE,FALSE)</f>
        <v>0</v>
      </c>
      <c r="F46" s="1514">
        <f>COUNTIF(E47,TRUE)+COUNTIF(E49:E52,TRUE)</f>
        <v>0</v>
      </c>
      <c r="G46" s="1514">
        <f>COUNTIFS(E47:E52,TRUE,G47:G52,"Not Blank")</f>
        <v>0</v>
      </c>
      <c r="H46" s="1514">
        <f>COUNTIFS(E47:E52,FALSE,G47:G52,"Not Blank")</f>
        <v>0</v>
      </c>
      <c r="I46" s="1727" t="str">
        <f xml:space="preserve">
IF(F46&gt;5,"Too Many Entries - Check Red Lines",
IF(G46&lt;F46,"Valid Entry required below - Check Amber Line/s",
IF(AND(E46=FALSE,G46=0,H46=0),"Nothing Entered below Yet",
IF(G46&lt;F46,"Valid Entry required below - Check Amber Line/s",
IF(AND(G46=0,H46&gt;0),"**Non-Valid Entry/ies below - Check Yellow Line/s",
IF(AND(G46&gt;0,H46&gt;0),"**Valid and Non-Valid Entries made below - Check Yellow Line/s",
IF(AND(E46=FALSE,F46&lt;5),"Not all requirements addressed below - Check Pink Line/s",
IF(AND(E46=FALSE,G46&lt;5,G46&gt;0,H46=0),"More entries to come",
IF(AND(E46,TRUE,G46=5,H46=0),"Valid Entries made below"
)))))))))</f>
        <v>Nothing Entered below Yet</v>
      </c>
      <c r="J46" s="1514">
        <f>COUNTIFS(E47:E52,TRUE,J47:J52,"Not Blank")</f>
        <v>0</v>
      </c>
      <c r="K46" s="1514">
        <f>COUNTIFS(E47:E52,FALSE,J47:J52,"Not Blank")</f>
        <v>0</v>
      </c>
      <c r="L46" s="1727" t="str">
        <f xml:space="preserve">
IF(J46&gt;5,"Too Many Entries - Check Red Lines",
IF(J46&lt;F46,"Valid Entry required below - Check Amber Line/s",
IF(AND(E46=FALSE,J46=0,K46=0),"Nothing Entered below Yet",
IF(AND(J46=0,K46&gt;0),"**Non-Valid Entry/ies below - Check Yellow Line/s",
IF(AND(J46&gt;0,K46&gt;0),"**Valid and Non-Valid Entries made below - Check Yellow Line/s",
IF(AND(E46=FALSE,J46&lt;5),"Not all requirements addressed below - Check Pink Line/s",
IF(AND(E46=FALSE,J46&lt;5,J46&gt;0,K46=0),"More entries to come",
IF(AND(E46,TRUE,J46=5,K46=0),"Valid Entries made below"
))))))))</f>
        <v>Nothing Entered below Yet</v>
      </c>
      <c r="M46" s="861"/>
      <c r="N46" s="4447"/>
      <c r="O46" s="4707"/>
      <c r="P46" s="1381"/>
      <c r="Q46" s="698" t="s">
        <v>565</v>
      </c>
      <c r="R46" s="735" t="b">
        <f>IF(AND(R47=TRUE,R48=TRUE,R51=TRUE,R52=TRUE),TRUE,FALSE)</f>
        <v>0</v>
      </c>
      <c r="S46" s="111"/>
      <c r="T46" s="111"/>
      <c r="U46" s="211"/>
      <c r="V46" s="4447"/>
      <c r="W46" s="4754"/>
      <c r="X46" s="111"/>
      <c r="Y46" s="111"/>
      <c r="Z46" s="120"/>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40"/>
    </row>
    <row r="47" spans="1:394" s="27" customFormat="1" ht="29.5" thickBot="1" x14ac:dyDescent="0.35">
      <c r="A47" s="37"/>
      <c r="B47" s="1869"/>
      <c r="C47" s="2316" t="s">
        <v>421</v>
      </c>
      <c r="D47" s="2315" t="s">
        <v>3</v>
      </c>
      <c r="E47" s="705" t="b">
        <f>IF(D47="Compliant",TRUE,FALSE)</f>
        <v>0</v>
      </c>
      <c r="F47" s="705"/>
      <c r="G47" s="705" t="str">
        <f>IF(I47&lt;&gt;"", "Not Blank", "")</f>
        <v/>
      </c>
      <c r="H47" s="705"/>
      <c r="I47" s="2314"/>
      <c r="J47" s="705">
        <v>1</v>
      </c>
      <c r="K47" s="705"/>
      <c r="L47" s="2314"/>
      <c r="M47" s="2312"/>
      <c r="N47" s="4447"/>
      <c r="O47" s="4707"/>
      <c r="P47" s="3795"/>
      <c r="Q47" s="2313" t="s">
        <v>3</v>
      </c>
      <c r="R47" s="944" t="b">
        <f>IF(OR(Q47="Compliant",Q47="FE with work-a-round",Q47="Functionally Equivalent"),TRUE,FALSE)</f>
        <v>0</v>
      </c>
      <c r="S47" s="3601"/>
      <c r="T47" s="3601"/>
      <c r="U47" s="3599"/>
      <c r="V47" s="4447"/>
      <c r="W47" s="4754"/>
      <c r="X47" s="124"/>
      <c r="Y47" s="124"/>
      <c r="Z47" s="125"/>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40"/>
    </row>
    <row r="48" spans="1:394" s="27" customFormat="1" ht="29.5" thickTop="1" x14ac:dyDescent="0.3">
      <c r="A48" s="37"/>
      <c r="B48" s="1495"/>
      <c r="C48" s="2148" t="s">
        <v>422</v>
      </c>
      <c r="D48" s="2149" t="s">
        <v>565</v>
      </c>
      <c r="E48" s="1929" t="b">
        <f>IF(AND(E49=TRUE,E50=TRUE),TRUE,FALSE)</f>
        <v>0</v>
      </c>
      <c r="F48" s="1514">
        <f>COUNTIF(E49:E50,TRUE)</f>
        <v>0</v>
      </c>
      <c r="G48" s="1928">
        <f>COUNTIFS(E49:E50,TRUE,G49:G50,"Not Blank")</f>
        <v>0</v>
      </c>
      <c r="H48" s="1928">
        <f>COUNTIFS(E49:E52,FALSE,G49:G52,"Not Blank")</f>
        <v>0</v>
      </c>
      <c r="I48" s="2155" t="str">
        <f xml:space="preserve">
IF(F48&gt;2,"Too Many Entries - Check Red Lines",
IF(G48&lt;F48,"Valid Entry required below - Check Amber Line/s",
IF(AND(E48=FALSE,G48=0,H48=0),"Nothing Entered below Yet",
IF(G48&lt;F48,"Valid Entry required below - Check Amber Line/s",
IF(AND(G48=0,H48&gt;0),"**Non-Valid Entry/ies below - Check Yellow Line/s",
IF(AND(G48&gt;0,H48&gt;0),"**Valid and Non-Valid Entries made below - Check Yellow Line/s",
IF(AND(E48=FALSE,F48&lt;2),"Not all requirements addressed below - Check Pink Line/s",
IF(AND(E48=FALSE,G48&lt;2,G48&gt;0,H48=0),"More entries to come",
IF(AND(E48,TRUE,G48=2,H48=0),"Valid Entries made below"
)))))))))</f>
        <v>Nothing Entered below Yet</v>
      </c>
      <c r="J48" s="1514">
        <f>COUNTIFS(E49:E50,TRUE,J49:J50,"Not Blank")</f>
        <v>0</v>
      </c>
      <c r="K48" s="1514">
        <f>COUNTIFS(E49:E50,FALSE,J49:J50,"Not Blank")</f>
        <v>0</v>
      </c>
      <c r="L48" s="1727" t="str">
        <f xml:space="preserve">
IF(J48&gt;2,"Too Many Entries - Check Red Lines",
IF(J48&lt;F48,"Valid Entry required below - Check Amber Line/s",
IF(AND(E48=FALSE,J48=0,K48=0),"Nothing Entered below Yet",
IF(AND(J48=0,K48&gt;0),"**Non-Valid Entry/ies below - Check Yellow Line/s",
IF(AND(J48&gt;0,K48&gt;0),"**Valid and Non-Valid Entries made below - Check Yellow Line/s",
IF(AND(E48=FALSE,J48&lt;2),"Not all requirements addressed below - Check Pink Line/s",
IF(AND(E48=FALSE,J48&lt;2,J48&gt;0,K48=0),"More entries to come",
IF(AND(E48,TRUE,J48=2,K48=0),"Valid Entries made below"
))))))))</f>
        <v>Nothing Entered below Yet</v>
      </c>
      <c r="M48" s="2176"/>
      <c r="N48" s="4447"/>
      <c r="O48" s="4707"/>
      <c r="P48" s="1381"/>
      <c r="Q48" s="698" t="s">
        <v>565</v>
      </c>
      <c r="R48" s="749" t="b">
        <f>IF(AND(R49=TRUE,R50=TRUE),TRUE,FALSE)</f>
        <v>0</v>
      </c>
      <c r="S48" s="111"/>
      <c r="T48" s="111"/>
      <c r="U48" s="211"/>
      <c r="V48" s="4447"/>
      <c r="W48" s="4754"/>
      <c r="X48" s="111"/>
      <c r="Y48" s="111"/>
      <c r="Z48" s="120"/>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40"/>
    </row>
    <row r="49" spans="1:83" s="27" customFormat="1" ht="29" x14ac:dyDescent="0.3">
      <c r="A49" s="37"/>
      <c r="B49" s="1504"/>
      <c r="C49" s="1806" t="s">
        <v>423</v>
      </c>
      <c r="D49" s="2096" t="s">
        <v>3</v>
      </c>
      <c r="E49" s="67" t="b">
        <f t="shared" ref="E49:E55" si="0">IF(D49="Compliant",TRUE,FALSE)</f>
        <v>0</v>
      </c>
      <c r="F49" s="44"/>
      <c r="G49" s="44" t="str">
        <f t="shared" ref="G49:G55" si="1">IF(I49&lt;&gt;"", "Not Blank", "")</f>
        <v/>
      </c>
      <c r="H49" s="44"/>
      <c r="I49" s="42"/>
      <c r="J49" s="44" t="str">
        <f t="shared" ref="J49:J55" si="2">IF(L49&lt;&gt;"", "Not Blank", "")</f>
        <v/>
      </c>
      <c r="K49" s="44"/>
      <c r="L49" s="2164"/>
      <c r="M49" s="144"/>
      <c r="N49" s="4447"/>
      <c r="O49" s="4707"/>
      <c r="P49" s="2177"/>
      <c r="Q49" s="2214" t="s">
        <v>3</v>
      </c>
      <c r="R49" s="839" t="b">
        <f t="shared" ref="R49:R55" si="3">IF(OR(Q49="Compliant",Q49="FE with work-a-round",Q49="Functionally Equivalent"),TRUE,FALSE)</f>
        <v>0</v>
      </c>
      <c r="S49" s="44"/>
      <c r="T49" s="44"/>
      <c r="U49" s="68"/>
      <c r="V49" s="4447"/>
      <c r="W49" s="4754"/>
      <c r="X49" s="44"/>
      <c r="Y49" s="44"/>
      <c r="Z49" s="122"/>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40"/>
    </row>
    <row r="50" spans="1:83" s="27" customFormat="1" ht="15.5" x14ac:dyDescent="0.3">
      <c r="A50" s="37"/>
      <c r="B50" s="1504"/>
      <c r="C50" s="1717" t="s">
        <v>424</v>
      </c>
      <c r="D50" s="699" t="s">
        <v>3</v>
      </c>
      <c r="E50" s="67" t="b">
        <f t="shared" si="0"/>
        <v>0</v>
      </c>
      <c r="F50" s="44"/>
      <c r="G50" s="44" t="str">
        <f t="shared" si="1"/>
        <v/>
      </c>
      <c r="H50" s="44"/>
      <c r="I50" s="44"/>
      <c r="J50" s="44" t="str">
        <f t="shared" si="2"/>
        <v/>
      </c>
      <c r="K50" s="44"/>
      <c r="L50" s="44"/>
      <c r="M50" s="68"/>
      <c r="N50" s="4447"/>
      <c r="O50" s="4707"/>
      <c r="P50" s="67"/>
      <c r="Q50" s="1060" t="s">
        <v>3</v>
      </c>
      <c r="R50" s="839" t="b">
        <f t="shared" si="3"/>
        <v>0</v>
      </c>
      <c r="S50" s="44"/>
      <c r="T50" s="44"/>
      <c r="U50" s="68"/>
      <c r="V50" s="4447"/>
      <c r="W50" s="4754"/>
      <c r="X50" s="44"/>
      <c r="Y50" s="44"/>
      <c r="Z50" s="122"/>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40"/>
    </row>
    <row r="51" spans="1:83" s="27" customFormat="1" ht="43.5" x14ac:dyDescent="0.3">
      <c r="A51" s="37"/>
      <c r="B51" s="1504"/>
      <c r="C51" s="1717" t="s">
        <v>591</v>
      </c>
      <c r="D51" s="699" t="s">
        <v>3</v>
      </c>
      <c r="E51" s="67" t="b">
        <f t="shared" si="0"/>
        <v>0</v>
      </c>
      <c r="F51" s="44"/>
      <c r="G51" s="44" t="str">
        <f t="shared" si="1"/>
        <v/>
      </c>
      <c r="H51" s="44"/>
      <c r="I51" s="44"/>
      <c r="J51" s="44" t="str">
        <f t="shared" si="2"/>
        <v/>
      </c>
      <c r="K51" s="44"/>
      <c r="L51" s="44"/>
      <c r="M51" s="68"/>
      <c r="N51" s="4447"/>
      <c r="O51" s="4707"/>
      <c r="P51" s="67"/>
      <c r="Q51" s="1060" t="s">
        <v>3</v>
      </c>
      <c r="R51" s="839" t="b">
        <f t="shared" si="3"/>
        <v>0</v>
      </c>
      <c r="S51" s="44"/>
      <c r="T51" s="44"/>
      <c r="U51" s="68"/>
      <c r="V51" s="4447"/>
      <c r="W51" s="4754"/>
      <c r="X51" s="44"/>
      <c r="Y51" s="44"/>
      <c r="Z51" s="122"/>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40"/>
    </row>
    <row r="52" spans="1:83" s="27" customFormat="1" ht="29" x14ac:dyDescent="0.3">
      <c r="A52" s="37"/>
      <c r="B52" s="1504"/>
      <c r="C52" s="1717" t="s">
        <v>592</v>
      </c>
      <c r="D52" s="699" t="s">
        <v>3</v>
      </c>
      <c r="E52" s="67" t="b">
        <f t="shared" si="0"/>
        <v>0</v>
      </c>
      <c r="F52" s="44"/>
      <c r="G52" s="44" t="str">
        <f t="shared" si="1"/>
        <v/>
      </c>
      <c r="H52" s="44"/>
      <c r="I52" s="44"/>
      <c r="J52" s="44" t="str">
        <f t="shared" si="2"/>
        <v/>
      </c>
      <c r="K52" s="44"/>
      <c r="L52" s="44"/>
      <c r="M52" s="68"/>
      <c r="N52" s="4447"/>
      <c r="O52" s="4707"/>
      <c r="P52" s="67"/>
      <c r="Q52" s="1060" t="s">
        <v>3</v>
      </c>
      <c r="R52" s="839" t="b">
        <f t="shared" si="3"/>
        <v>0</v>
      </c>
      <c r="S52" s="44"/>
      <c r="T52" s="44"/>
      <c r="U52" s="68"/>
      <c r="V52" s="4447"/>
      <c r="W52" s="4754"/>
      <c r="X52" s="44"/>
      <c r="Y52" s="44"/>
      <c r="Z52" s="122"/>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40"/>
    </row>
    <row r="53" spans="1:83" s="27" customFormat="1" ht="43.5" x14ac:dyDescent="0.3">
      <c r="A53" s="37">
        <v>6.2</v>
      </c>
      <c r="B53" s="1504"/>
      <c r="C53" s="1717" t="s">
        <v>428</v>
      </c>
      <c r="D53" s="699" t="s">
        <v>3</v>
      </c>
      <c r="E53" s="67" t="b">
        <f t="shared" si="0"/>
        <v>0</v>
      </c>
      <c r="F53" s="44"/>
      <c r="G53" s="44" t="str">
        <f t="shared" si="1"/>
        <v/>
      </c>
      <c r="H53" s="44"/>
      <c r="I53" s="44"/>
      <c r="J53" s="44" t="str">
        <f t="shared" si="2"/>
        <v/>
      </c>
      <c r="K53" s="44"/>
      <c r="L53" s="44"/>
      <c r="M53" s="68"/>
      <c r="N53" s="4447"/>
      <c r="O53" s="4707"/>
      <c r="P53" s="67"/>
      <c r="Q53" s="1060" t="s">
        <v>3</v>
      </c>
      <c r="R53" s="839" t="b">
        <f t="shared" si="3"/>
        <v>0</v>
      </c>
      <c r="S53" s="44"/>
      <c r="T53" s="44"/>
      <c r="U53" s="68"/>
      <c r="V53" s="4447"/>
      <c r="W53" s="4754"/>
      <c r="X53" s="44"/>
      <c r="Y53" s="44"/>
      <c r="Z53" s="122"/>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40"/>
    </row>
    <row r="54" spans="1:83" s="27" customFormat="1" ht="58" x14ac:dyDescent="0.3">
      <c r="A54" s="37">
        <v>8</v>
      </c>
      <c r="B54" s="1504"/>
      <c r="C54" s="1717" t="s">
        <v>430</v>
      </c>
      <c r="D54" s="699" t="s">
        <v>3</v>
      </c>
      <c r="E54" s="67" t="b">
        <f t="shared" si="0"/>
        <v>0</v>
      </c>
      <c r="F54" s="44"/>
      <c r="G54" s="44" t="str">
        <f t="shared" si="1"/>
        <v/>
      </c>
      <c r="H54" s="44"/>
      <c r="I54" s="44"/>
      <c r="J54" s="44" t="str">
        <f t="shared" si="2"/>
        <v/>
      </c>
      <c r="K54" s="44"/>
      <c r="L54" s="44"/>
      <c r="M54" s="68"/>
      <c r="N54" s="4447"/>
      <c r="O54" s="4707"/>
      <c r="P54" s="67"/>
      <c r="Q54" s="1060" t="s">
        <v>3</v>
      </c>
      <c r="R54" s="839" t="b">
        <f t="shared" si="3"/>
        <v>0</v>
      </c>
      <c r="S54" s="44"/>
      <c r="T54" s="44"/>
      <c r="U54" s="68"/>
      <c r="V54" s="4447"/>
      <c r="W54" s="4754"/>
      <c r="X54" s="44"/>
      <c r="Y54" s="44"/>
      <c r="Z54" s="122"/>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40"/>
    </row>
    <row r="55" spans="1:83" s="27" customFormat="1" ht="44" thickBot="1" x14ac:dyDescent="0.35">
      <c r="A55" s="37"/>
      <c r="B55" s="1504"/>
      <c r="C55" s="1807" t="s">
        <v>431</v>
      </c>
      <c r="D55" s="1038" t="s">
        <v>3</v>
      </c>
      <c r="E55" s="78" t="b">
        <f t="shared" si="0"/>
        <v>0</v>
      </c>
      <c r="F55" s="79"/>
      <c r="G55" s="79" t="str">
        <f t="shared" si="1"/>
        <v/>
      </c>
      <c r="H55" s="79"/>
      <c r="I55" s="79"/>
      <c r="J55" s="79" t="str">
        <f t="shared" si="2"/>
        <v/>
      </c>
      <c r="K55" s="79"/>
      <c r="L55" s="79"/>
      <c r="M55" s="143"/>
      <c r="N55" s="4448"/>
      <c r="O55" s="4707"/>
      <c r="P55" s="78"/>
      <c r="Q55" s="1017" t="s">
        <v>3</v>
      </c>
      <c r="R55" s="938" t="b">
        <f t="shared" si="3"/>
        <v>0</v>
      </c>
      <c r="S55" s="79"/>
      <c r="T55" s="79"/>
      <c r="U55" s="143"/>
      <c r="V55" s="4447"/>
      <c r="W55" s="4754"/>
      <c r="X55" s="124"/>
      <c r="Y55" s="124"/>
      <c r="Z55" s="125"/>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40"/>
    </row>
    <row r="56" spans="1:83" s="27" customFormat="1" ht="29.5" thickTop="1" x14ac:dyDescent="0.3">
      <c r="A56" s="37">
        <v>7</v>
      </c>
      <c r="B56" s="1495" t="s">
        <v>432</v>
      </c>
      <c r="C56" s="2148" t="s">
        <v>875</v>
      </c>
      <c r="D56" s="2149" t="s">
        <v>565</v>
      </c>
      <c r="E56" s="1929" t="b">
        <f>IF(AND(E57=TRUE,E58=TRUE,E62=TRUE,E65=TRUE,E69=TRUE,E72=TRUE,E73=TRUE,E74=TRUE,E75=TRUE,E76=TRUE,E77=TRUE,E80=TRUE,E91=TRUE,E99=TRUE),TRUE,FALSE)</f>
        <v>0</v>
      </c>
      <c r="F56" s="1514">
        <f>COUNTIF(E57,TRUE)+COUNTIF(E59:E61,TRUE)+COUNTIF(E63:E64,TRUE)+COUNTIF(E66:E68,TRUE)+COUNTIF(E70:E76,TRUE)+COUNTIF(E78:E79,TRUE)+COUNTIF(E82:E87,TRUE)+COUNTIF(E89:E90,TRUE)+COUNTIF(E93:E99,TRUE)</f>
        <v>0</v>
      </c>
      <c r="G56" s="1514">
        <f>COUNTIFS(E57,TRUE,G57,"Not Blank")+SUM(G58,G62,G65,G69)+COUNTIFS(E72:E76,TRUE,G72:G76,"Not Blank")+SUM(G77,G80,G91)+COUNTIFS(E99,TRUE,G99,"Not Blank")</f>
        <v>0</v>
      </c>
      <c r="H56" s="1514">
        <f>COUNTIFS(E57,FALSE,G57,"Not Blank")+SUM(H58,H62,H65,H69)+COUNTIFS(E72:E76,FALSE,G72:G76,"Not Blank")+SUM(H77,H80,H91)+COUNTIFS(E99,FALSE,G99,"Not Blank")</f>
        <v>0</v>
      </c>
      <c r="I56" s="2155" t="str">
        <f xml:space="preserve">
IF(F56&gt;32,"Too Many Entries - Check Red Lines",
IF(G56&lt;F56,"Valid Entry required below - Check Amber Line/s",
IF(AND(E56=FALSE,G56=0,H56=0),"Nothing Entered below Yet",
IF(G56&lt;F56,"Valid Entry required below - Check Amber Line/s",
IF(AND(G56=0,H56&gt;0),"**Non-Valid Entry/ies below - Check Yellow Line/s",
IF(AND(G56&gt;0,H56&gt;0),"**Valid and Non-Valid Entries made below - Check Yellow Line/s",
IF(AND(E56=FALSE,F56&lt;32),"Not all requirements addressed below - Check Pink Line/s",
IF(AND(E56=FALSE,G56&lt;32,G56&gt;0,H56=0),"More entries to come",
IF(AND(E56,TRUE,G56=32,H56=0),"Valid Entries made below"
)))))))))</f>
        <v>Nothing Entered below Yet</v>
      </c>
      <c r="J56" s="2155">
        <f>COUNTIFS(E57,TRUE,J57,"Not Blank")+SUM(J58,J62,J65,J69)+COUNTIFS(E72:E76,TRUE,J72:J76,"Not Blank")+SUM(J77,J80,J91)+COUNTIFS(E99,TRUE,J99,"Not Blank")</f>
        <v>0</v>
      </c>
      <c r="K56" s="2155">
        <f>COUNTIFS(E57,FALSE,J57,"Not Blank")+SUM(K58,K62,K65,K69)+COUNTIFS(E72:E76,FALSE,J72:J76,"Not Blank")+SUM(K77,K80,K91)+COUNTIFS(E99,FALSE,J99,"Not Blank")</f>
        <v>0</v>
      </c>
      <c r="L56" s="2155" t="str">
        <f xml:space="preserve">
IF(J56&gt;32,"Too Many Entries - Check Red Lines",
IF(J56&lt;F56,"Valid Entry required below - Check Amber Line/s",
IF(AND(E56=FALSE,J56=0,K56=0),"Nothing Entered below Yet",
IF(AND(J56=0,K56&gt;0),"**Non-Valid Entry/ies below - Check Yellow Line/s",
IF(AND(J56&gt;0,K56&gt;0),"**Valid and Non-Valid Entries made below - Check Yellow Line/s",
IF(AND(E56=FALSE,J56&lt;32),"Not all requirements addressed below - Check Pink Line/s",
IF(AND(E56=FALSE,J56&lt;32,J56&gt;0,K56=0),"More entries to come",
IF(AND(E56,TRUE,J56=32,K56=0),"Valid Entries made below"
))))))))</f>
        <v>Nothing Entered below Yet</v>
      </c>
      <c r="M56" s="861"/>
      <c r="N56" s="4446" t="s">
        <v>3</v>
      </c>
      <c r="O56" s="4706" t="b">
        <f>IF(OR(N56="Compliant",N56="FE with work-a-round",N56="Functionally Equivalent"),TRUE,FALSE)</f>
        <v>0</v>
      </c>
      <c r="P56" s="2176"/>
      <c r="Q56" s="2178" t="s">
        <v>565</v>
      </c>
      <c r="R56" s="941" t="b">
        <f>IF(AND(R57=TRUE,R58=TRUE,R62=TRUE,R65=TRUE,R69=TRUE,R72=TRUE,R73=TRUE,R74=TRUE,R75=TRUE,R76=TRUE,R77=TRUE,R80=TRUE,R91=TRUE,R99=TRUE),TRUE,FALSE)</f>
        <v>0</v>
      </c>
      <c r="S56" s="111"/>
      <c r="T56" s="111"/>
      <c r="U56" s="211"/>
      <c r="V56" s="4446" t="s">
        <v>3</v>
      </c>
      <c r="W56" s="4764" t="b">
        <f>IF(OR(V56="Compliant",V56="FE with work-a-round",V56="Functionally Equivalent",V56="Not Required/Applicable"),TRUE,FALSE)</f>
        <v>0</v>
      </c>
      <c r="X56" s="111"/>
      <c r="Y56" s="111"/>
      <c r="Z56" s="120"/>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40"/>
    </row>
    <row r="57" spans="1:83" s="27" customFormat="1" ht="44" thickBot="1" x14ac:dyDescent="0.35">
      <c r="A57" s="37">
        <v>7.1</v>
      </c>
      <c r="B57" s="1504"/>
      <c r="C57" s="2275" t="s">
        <v>597</v>
      </c>
      <c r="D57" s="875" t="s">
        <v>3</v>
      </c>
      <c r="E57" s="78" t="b">
        <f>IF(D57="Compliant",TRUE,FALSE)</f>
        <v>0</v>
      </c>
      <c r="F57" s="79"/>
      <c r="G57" s="79" t="str">
        <f t="shared" ref="G57:G79" si="4">IF(I57&lt;&gt;"", "Not Blank", "")</f>
        <v/>
      </c>
      <c r="H57" s="79"/>
      <c r="I57" s="705"/>
      <c r="J57" s="705" t="str">
        <f>IF(L57&lt;&gt;"", "Not Blank", "")</f>
        <v/>
      </c>
      <c r="K57" s="705"/>
      <c r="L57" s="705"/>
      <c r="M57" s="2312"/>
      <c r="N57" s="4448"/>
      <c r="O57" s="4708"/>
      <c r="P57" s="818"/>
      <c r="Q57" s="1376" t="s">
        <v>3</v>
      </c>
      <c r="R57" s="943" t="b">
        <f>IF(OR(Q57="Compliant",Q57="FE with work-a-round",Q57="Functionally Equivalent"),TRUE,FALSE)</f>
        <v>0</v>
      </c>
      <c r="S57" s="79"/>
      <c r="T57" s="79"/>
      <c r="U57" s="143"/>
      <c r="V57" s="4448"/>
      <c r="W57" s="4762"/>
      <c r="X57" s="124"/>
      <c r="Y57" s="124"/>
      <c r="Z57" s="125"/>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40"/>
    </row>
    <row r="58" spans="1:83" s="27" customFormat="1" ht="29.5" thickTop="1" x14ac:dyDescent="0.3">
      <c r="A58" s="37">
        <v>7.2</v>
      </c>
      <c r="B58" s="1495"/>
      <c r="C58" s="2148" t="s">
        <v>671</v>
      </c>
      <c r="D58" s="2149" t="s">
        <v>565</v>
      </c>
      <c r="E58" s="1929" t="b">
        <f>IF(AND(E59=TRUE,E60=TRUE,E61=TRUE),TRUE,FALSE)</f>
        <v>0</v>
      </c>
      <c r="F58" s="1514">
        <f>COUNTIF(E59:E61,TRUE)</f>
        <v>0</v>
      </c>
      <c r="G58" s="1928">
        <f>COUNTIFS(E59:E61,TRUE,G59:G61,"Not Blank")</f>
        <v>0</v>
      </c>
      <c r="H58" s="1928">
        <f>COUNTIFS(E59:E61,FALSE,G59:G61,"Not Blank")</f>
        <v>0</v>
      </c>
      <c r="I58" s="2155" t="str">
        <f xml:space="preserve">
IF(F58&gt;3,"Too Many Entries - Check Red Lines",
IF(G58&lt;F58,"Valid Entry required below - Check Amber Line/s",
IF(AND(E58=FALSE,G58=0,H58=0),"Nothing Entered below Yet",
IF(G58&lt;F58,"Valid Entry required below - Check Amber Line/s",
IF(AND(G58=0,H58&gt;0),"**Non-Valid Entry/ies below - Check Yellow Line/s",
IF(AND(G58&gt;0,H58&gt;0),"**Valid and Non-Valid Entries made below - Check Yellow Line/s",
IF(AND(E58=FALSE,F58&lt;3),"Not all requirements addressed below - Check Pink Line/s",
IF(AND(E58=FALSE,G58&lt;3,G58&gt;0,H58=0),"More entries to come",
IF(AND(E58,TRUE,G58=3,H58=0),"Valid Entries made below"
)))))))))</f>
        <v>Nothing Entered below Yet</v>
      </c>
      <c r="J58" s="2155">
        <f>COUNTIFS(E59:E61,TRUE,J59:J61,"Not Blank")</f>
        <v>0</v>
      </c>
      <c r="K58" s="2155">
        <f>COUNTIFS(E59:E61,FALSE,J59:J61,"Not Blank")</f>
        <v>0</v>
      </c>
      <c r="L58" s="2155" t="str">
        <f xml:space="preserve">
IF(J58&gt;3,"Too Many Entries - Check Red Lines",
IF(J58&lt;F58,"Valid Entry required below - Check Amber Line/s",
IF(AND(E58=FALSE,J58=0,K58=0),"Nothing Entered below Yet",
IF(AND(J58=0,K58&gt;0),"**Non-Valid Entry/ies below - Check Yellow Line/s",
IF(AND(J58&gt;0,K58&gt;0),"**Valid and Non-Valid Entries made below - Check Yellow Line/s",
IF(AND(E58=FALSE,J58&lt;3),"Not all requirements addressed below - Check Pink Line/s",
IF(AND(E58=FALSE,J58&lt;3,J58&gt;0,K58=0),"More entries to come",
IF(AND(E58,TRUE,J58=3,K58=0),"Valid Entries made below"
))))))))</f>
        <v>Nothing Entered below Yet</v>
      </c>
      <c r="M58" s="2176"/>
      <c r="N58" s="4446" t="s">
        <v>3</v>
      </c>
      <c r="O58" s="4706" t="b">
        <f>IF(OR(N58="Compliant",N58="FE with work-a-round",N58="Functionally Equivalent"),TRUE,FALSE)</f>
        <v>0</v>
      </c>
      <c r="P58" s="2176"/>
      <c r="Q58" s="2178" t="s">
        <v>565</v>
      </c>
      <c r="R58" s="749" t="b">
        <f>IF(AND(R59=TRUE,R60=TRUE,R61=TRUE),TRUE,FALSE)</f>
        <v>0</v>
      </c>
      <c r="S58" s="111"/>
      <c r="T58" s="111"/>
      <c r="U58" s="211"/>
      <c r="V58" s="4446" t="s">
        <v>3</v>
      </c>
      <c r="W58" s="4764" t="b">
        <f>IF(OR(V58="Compliant",V58="FE with work-a-round",V58="Functionally Equivalent",V58="Not Required/Applicable"),TRUE,FALSE)</f>
        <v>0</v>
      </c>
      <c r="X58" s="111"/>
      <c r="Y58" s="111"/>
      <c r="Z58" s="120"/>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40"/>
    </row>
    <row r="59" spans="1:83" s="27" customFormat="1" ht="29" x14ac:dyDescent="0.3">
      <c r="A59" s="37"/>
      <c r="B59" s="1504"/>
      <c r="C59" s="1806" t="s">
        <v>677</v>
      </c>
      <c r="D59" s="2096" t="s">
        <v>3</v>
      </c>
      <c r="E59" s="67" t="b">
        <f>IF(D59="Compliant",TRUE,FALSE)</f>
        <v>0</v>
      </c>
      <c r="F59" s="44"/>
      <c r="G59" s="44" t="str">
        <f t="shared" si="4"/>
        <v/>
      </c>
      <c r="H59" s="44"/>
      <c r="I59" s="42"/>
      <c r="J59" s="42" t="str">
        <f>IF(L59&lt;&gt;"", "Not Blank", "")</f>
        <v/>
      </c>
      <c r="K59" s="42"/>
      <c r="L59" s="42"/>
      <c r="M59" s="144"/>
      <c r="N59" s="4447"/>
      <c r="O59" s="4707"/>
      <c r="P59" s="41"/>
      <c r="Q59" s="1863" t="s">
        <v>3</v>
      </c>
      <c r="R59" s="839" t="b">
        <f>IF(OR(Q59="Compliant",Q59="FE with work-a-round",Q59="Functionally Equivalent"),TRUE,FALSE)</f>
        <v>0</v>
      </c>
      <c r="S59" s="44"/>
      <c r="T59" s="44"/>
      <c r="U59" s="68"/>
      <c r="V59" s="4447"/>
      <c r="W59" s="4754"/>
      <c r="X59" s="44"/>
      <c r="Y59" s="44"/>
      <c r="Z59" s="122"/>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40"/>
    </row>
    <row r="60" spans="1:83" s="27" customFormat="1" ht="43.5" x14ac:dyDescent="0.3">
      <c r="A60" s="37"/>
      <c r="B60" s="1504"/>
      <c r="C60" s="1717" t="s">
        <v>434</v>
      </c>
      <c r="D60" s="699" t="s">
        <v>3</v>
      </c>
      <c r="E60" s="67" t="b">
        <f>IF(D60="Compliant",TRUE,FALSE)</f>
        <v>0</v>
      </c>
      <c r="F60" s="44"/>
      <c r="G60" s="44" t="str">
        <f t="shared" si="4"/>
        <v/>
      </c>
      <c r="H60" s="44"/>
      <c r="I60" s="44"/>
      <c r="J60" s="44" t="str">
        <f>IF(L60&lt;&gt;"", "Not Blank", "")</f>
        <v/>
      </c>
      <c r="K60" s="44"/>
      <c r="L60" s="44"/>
      <c r="M60" s="68"/>
      <c r="N60" s="4447"/>
      <c r="O60" s="4707"/>
      <c r="P60" s="67"/>
      <c r="Q60" s="1060" t="s">
        <v>3</v>
      </c>
      <c r="R60" s="839" t="b">
        <f>IF(OR(Q60="Compliant",Q60="FE with work-a-round",Q60="Functionally Equivalent"),TRUE,FALSE)</f>
        <v>0</v>
      </c>
      <c r="S60" s="44"/>
      <c r="T60" s="44"/>
      <c r="U60" s="68"/>
      <c r="V60" s="4447"/>
      <c r="W60" s="4754"/>
      <c r="X60" s="44"/>
      <c r="Y60" s="44"/>
      <c r="Z60" s="122"/>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40"/>
    </row>
    <row r="61" spans="1:83" s="27" customFormat="1" ht="44" thickBot="1" x14ac:dyDescent="0.35">
      <c r="A61" s="37"/>
      <c r="B61" s="1504"/>
      <c r="C61" s="1807" t="s">
        <v>435</v>
      </c>
      <c r="D61" s="1038" t="s">
        <v>3</v>
      </c>
      <c r="E61" s="78" t="b">
        <f>IF(D61="Compliant",TRUE,FALSE)</f>
        <v>0</v>
      </c>
      <c r="F61" s="79"/>
      <c r="G61" s="79" t="str">
        <f t="shared" si="4"/>
        <v/>
      </c>
      <c r="H61" s="79"/>
      <c r="I61" s="79"/>
      <c r="J61" s="79" t="str">
        <f>IF(L61&lt;&gt;"", "Not Blank", "")</f>
        <v/>
      </c>
      <c r="K61" s="79"/>
      <c r="L61" s="79"/>
      <c r="M61" s="143"/>
      <c r="N61" s="4448"/>
      <c r="O61" s="4708"/>
      <c r="P61" s="78"/>
      <c r="Q61" s="1017" t="s">
        <v>3</v>
      </c>
      <c r="R61" s="938" t="b">
        <f>IF(OR(Q61="Compliant",Q61="FE with work-a-round",Q61="Functionally Equivalent"),TRUE,FALSE)</f>
        <v>0</v>
      </c>
      <c r="S61" s="79"/>
      <c r="T61" s="79"/>
      <c r="U61" s="143"/>
      <c r="V61" s="4448"/>
      <c r="W61" s="4762"/>
      <c r="X61" s="124"/>
      <c r="Y61" s="124"/>
      <c r="Z61" s="125"/>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40"/>
    </row>
    <row r="62" spans="1:83" s="27" customFormat="1" ht="29.5" thickTop="1" x14ac:dyDescent="0.3">
      <c r="A62" s="37">
        <v>7.3</v>
      </c>
      <c r="B62" s="1495"/>
      <c r="C62" s="2148" t="s">
        <v>672</v>
      </c>
      <c r="D62" s="2149" t="s">
        <v>565</v>
      </c>
      <c r="E62" s="2226" t="b">
        <f>IF(AND(E63=TRUE,E64=TRUE),TRUE,FALSE)</f>
        <v>0</v>
      </c>
      <c r="F62" s="2155">
        <f>COUNTIF(E63:E64,TRUE)</f>
        <v>0</v>
      </c>
      <c r="G62" s="2311">
        <f>COUNTIFS(E63:E64,TRUE,G63:G64,"Not Blank")</f>
        <v>0</v>
      </c>
      <c r="H62" s="2311">
        <f>COUNTIFS(E63:E64,FALSE,G63:G64,"Not Blank")</f>
        <v>0</v>
      </c>
      <c r="I62" s="2155" t="str">
        <f xml:space="preserve">
IF(F62&gt;2,"Too Many Entries - Check Red Lines",
IF(G62&lt;F62,"Valid Entry required below - Check Amber Line/s",
IF(AND(E62=FALSE,G62=0,H62=0),"Nothing Entered below Yet",
IF(G62&lt;F62,"Valid Entry required below - Check Amber Line/s",
IF(AND(G62=0,H62&gt;0),"**Non-Valid Entry/ies below - Check Yellow Line/s",
IF(AND(G62&gt;0,H62&gt;0),"**Valid and Non-Valid Entries made below - Check Yellow Line/s",
IF(AND(E62=FALSE,F62&lt;2),"Not all requirements addressed below - Check Pink Line/s",
IF(AND(E62=FALSE,G62&lt;2,G62&gt;0,H62=0),"More entries to come",
IF(AND(E62,TRUE,G62=2,H62=0),"Valid Entries made below"
)))))))))</f>
        <v>Nothing Entered below Yet</v>
      </c>
      <c r="J62" s="2155">
        <f>COUNTIFS(E63:E64,TRUE,J63:J64,"Not Blank")</f>
        <v>0</v>
      </c>
      <c r="K62" s="2155">
        <f>COUNTIFS(E63:E64,FALSE,J63:J64,"Not Blank")</f>
        <v>0</v>
      </c>
      <c r="L62" s="2155" t="str">
        <f xml:space="preserve">
IF(J62&gt;2,"Too Many Entries - Check Red Lines",
IF(J62&lt;F62,"Valid Entry required below - Check Amber Line/s",
IF(AND(E62=FALSE,J62=0,K62=0),"Nothing Entered below Yet",
IF(AND(J62=0,K62&gt;0),"**Non-Valid Entry/ies below - Check Yellow Line/s",
IF(AND(J62&gt;0,K62&gt;0),"**Valid and Non-Valid Entries made below - Check Yellow Line/s",
IF(AND(E62=FALSE,J62&lt;2),"Not all requirements addressed below - Check Pink Line/s",
IF(AND(E62=FALSE,J62&lt;2,J62&gt;0,K62=0),"More entries to come",
IF(AND(E62,TRUE,J62=2,K62=0),"Valid Entries made below"
))))))))</f>
        <v>Nothing Entered below Yet</v>
      </c>
      <c r="M62" s="861"/>
      <c r="N62" s="4446" t="s">
        <v>3</v>
      </c>
      <c r="O62" s="4706" t="b">
        <f>IF(OR(N62="Compliant",N62="FE with work-a-round",N62="Functionally Equivalent"),TRUE,FALSE)</f>
        <v>0</v>
      </c>
      <c r="P62" s="2176"/>
      <c r="Q62" s="1939" t="s">
        <v>565</v>
      </c>
      <c r="R62" s="941" t="b">
        <f>IF(AND(R63=TRUE,R64=TRUE),TRUE,FALSE)</f>
        <v>0</v>
      </c>
      <c r="S62" s="111"/>
      <c r="T62" s="111"/>
      <c r="U62" s="211"/>
      <c r="V62" s="4446" t="s">
        <v>3</v>
      </c>
      <c r="W62" s="4764" t="b">
        <f>IF(OR(V62="Compliant",V62="FE with work-a-round",V62="Functionally Equivalent",V62="Not Required/Applicable"),TRUE,FALSE)</f>
        <v>0</v>
      </c>
      <c r="X62" s="111"/>
      <c r="Y62" s="111"/>
      <c r="Z62" s="120"/>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40"/>
    </row>
    <row r="63" spans="1:83" s="27" customFormat="1" ht="29" x14ac:dyDescent="0.3">
      <c r="A63" s="37"/>
      <c r="B63" s="1504"/>
      <c r="C63" s="1806" t="s">
        <v>436</v>
      </c>
      <c r="D63" s="2096" t="s">
        <v>3</v>
      </c>
      <c r="E63" s="41" t="b">
        <f>IF(D63="Compliant",TRUE,FALSE)</f>
        <v>0</v>
      </c>
      <c r="F63" s="42"/>
      <c r="G63" s="42" t="str">
        <f t="shared" si="4"/>
        <v/>
      </c>
      <c r="H63" s="42"/>
      <c r="I63" s="42"/>
      <c r="J63" s="42" t="str">
        <f>IF(L63&lt;&gt;"", "Not Blank", "")</f>
        <v/>
      </c>
      <c r="K63" s="42"/>
      <c r="L63" s="42"/>
      <c r="M63" s="2177"/>
      <c r="N63" s="4447"/>
      <c r="O63" s="4707"/>
      <c r="P63" s="41"/>
      <c r="Q63" s="2214" t="s">
        <v>3</v>
      </c>
      <c r="R63" s="839" t="b">
        <f>IF(OR(Q63="Compliant",Q63="FE with work-a-round",Q63="Functionally Equivalent"),TRUE,FALSE)</f>
        <v>0</v>
      </c>
      <c r="S63" s="44"/>
      <c r="T63" s="44"/>
      <c r="U63" s="68"/>
      <c r="V63" s="4447"/>
      <c r="W63" s="4754"/>
      <c r="X63" s="44"/>
      <c r="Y63" s="44"/>
      <c r="Z63" s="122"/>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40"/>
    </row>
    <row r="64" spans="1:83" s="27" customFormat="1" ht="44" thickBot="1" x14ac:dyDescent="0.35">
      <c r="A64" s="37"/>
      <c r="B64" s="1504"/>
      <c r="C64" s="1807" t="s">
        <v>437</v>
      </c>
      <c r="D64" s="1038" t="s">
        <v>3</v>
      </c>
      <c r="E64" s="78" t="b">
        <f>IF(D64="Compliant",TRUE,FALSE)</f>
        <v>0</v>
      </c>
      <c r="F64" s="79"/>
      <c r="G64" s="79" t="str">
        <f t="shared" si="4"/>
        <v/>
      </c>
      <c r="H64" s="79"/>
      <c r="I64" s="79"/>
      <c r="J64" s="79" t="str">
        <f>IF(L64&lt;&gt;"", "Not Blank", "")</f>
        <v/>
      </c>
      <c r="K64" s="79"/>
      <c r="L64" s="79"/>
      <c r="M64" s="143"/>
      <c r="N64" s="4448"/>
      <c r="O64" s="4708"/>
      <c r="P64" s="78"/>
      <c r="Q64" s="1017" t="s">
        <v>3</v>
      </c>
      <c r="R64" s="938" t="b">
        <f>IF(OR(Q64="Compliant",Q64="FE with work-a-round",Q64="Functionally Equivalent"),TRUE,FALSE)</f>
        <v>0</v>
      </c>
      <c r="S64" s="79"/>
      <c r="T64" s="79"/>
      <c r="U64" s="143"/>
      <c r="V64" s="4448"/>
      <c r="W64" s="4762"/>
      <c r="X64" s="124"/>
      <c r="Y64" s="124"/>
      <c r="Z64" s="125"/>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40"/>
    </row>
    <row r="65" spans="1:83" s="27" customFormat="1" ht="29.5" thickTop="1" x14ac:dyDescent="0.3">
      <c r="A65" s="37">
        <v>7.4</v>
      </c>
      <c r="B65" s="1495"/>
      <c r="C65" s="2175" t="s">
        <v>595</v>
      </c>
      <c r="D65" s="2010" t="s">
        <v>565</v>
      </c>
      <c r="E65" s="1929" t="b">
        <f>IF(AND(E66=TRUE,E67=TRUE,E68=TRUE),TRUE,FALSE)</f>
        <v>0</v>
      </c>
      <c r="F65" s="1514">
        <f>COUNTIF(E66:E68,TRUE)</f>
        <v>0</v>
      </c>
      <c r="G65" s="1928">
        <f>COUNTIFS(E66:E68,TRUE,G66:G68,"Not Blank")</f>
        <v>0</v>
      </c>
      <c r="H65" s="1928">
        <f>COUNTIFS(E66:E68,FALSE,G66:G68,"Not Blank")</f>
        <v>0</v>
      </c>
      <c r="I65" s="1727" t="str">
        <f xml:space="preserve">
IF(F65&gt;3,"Too Many Entries - Check Red Lines",
IF(G65&lt;F65,"Valid Entry required below - Check Amber Line/s",
IF(AND(E65=FALSE,G65=0,H65=0),"Nothing Entered below Yet",
IF(G65&lt;F65,"Valid Entry required below - Check Amber Line/s",
IF(AND(G65=0,H65&gt;0),"**Non-Valid Entry/ies below - Check Yellow Line/s",
IF(AND(G65&gt;0,H65&gt;0),"**Valid and Non-Valid Entries made below - Check Yellow Line/s",
IF(AND(E65=FALSE,F65&lt;3),"Not all requirements addressed below - Check Pink Line/s",
IF(AND(E65=FALSE,G65&lt;3,G65&gt;0,H65=0),"More entries to come",
IF(AND(E65,TRUE,G65=3,H65=0),"Valid Entries made below"
)))))))))</f>
        <v>Nothing Entered below Yet</v>
      </c>
      <c r="J65" s="1514">
        <f>COUNTIFS(E66:E68,TRUE,J66:J68,"Not Blank")</f>
        <v>0</v>
      </c>
      <c r="K65" s="1514">
        <f>COUNTIFS(E66:E68,FALSE,J66:J68,"Not Blank")</f>
        <v>0</v>
      </c>
      <c r="L65" s="1727" t="str">
        <f xml:space="preserve">
IF(J65&gt;3,"Too Many Entries - Check Red Lines",
IF(J65&lt;F65,"Valid Entry required below - Check Amber Line/s",
IF(AND(E65=FALSE,J65=0,K65=0),"Nothing Entered below Yet",
IF(AND(J65=0,K65&gt;0),"**Non-Valid Entry/ies below - Check Yellow Line/s",
IF(AND(J65&gt;0,K65&gt;0),"**Valid and Non-Valid Entries made below - Check Yellow Line/s",
IF(AND(E65=FALSE,J65&lt;3),"Not all requirements addressed below - Check Pink Line/s",
IF(AND(E65=FALSE,J65&lt;3,J65&gt;0,K65=0),"More entries to come",
IF(AND(E65,TRUE,J65=3,K65=0),"Valid Entries made below"
))))))))</f>
        <v>Nothing Entered below Yet</v>
      </c>
      <c r="M65" s="211"/>
      <c r="N65" s="4446" t="s">
        <v>3</v>
      </c>
      <c r="O65" s="4706" t="b">
        <f>IF(OR(N65="Compliant",N65="FE with work-a-round",N65="Functionally Equivalent"),TRUE,FALSE)</f>
        <v>0</v>
      </c>
      <c r="P65" s="139"/>
      <c r="Q65" s="1939" t="s">
        <v>565</v>
      </c>
      <c r="R65" s="941" t="b">
        <f>IF(AND(R66=TRUE,R67=TRUE,R68=TRUE),TRUE,FALSE)</f>
        <v>0</v>
      </c>
      <c r="S65" s="111"/>
      <c r="T65" s="111"/>
      <c r="U65" s="211"/>
      <c r="V65" s="4446" t="s">
        <v>3</v>
      </c>
      <c r="W65" s="4764" t="b">
        <f>IF(OR(V65="Compliant",V65="FE with work-a-round",V65="Functionally Equivalent",V65="Not Required/Applicable"),TRUE,FALSE)</f>
        <v>0</v>
      </c>
      <c r="X65" s="111"/>
      <c r="Y65" s="111"/>
      <c r="Z65" s="120"/>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40"/>
    </row>
    <row r="66" spans="1:83" s="27" customFormat="1" ht="29" x14ac:dyDescent="0.3">
      <c r="A66" s="37"/>
      <c r="B66" s="1504"/>
      <c r="C66" s="1806" t="s">
        <v>673</v>
      </c>
      <c r="D66" s="2219" t="s">
        <v>3</v>
      </c>
      <c r="E66" s="67" t="b">
        <f>IF(D66="Compliant",TRUE,FALSE)</f>
        <v>0</v>
      </c>
      <c r="F66" s="44"/>
      <c r="G66" s="44" t="str">
        <f t="shared" si="4"/>
        <v/>
      </c>
      <c r="H66" s="44"/>
      <c r="I66" s="2164"/>
      <c r="J66" s="44" t="str">
        <f>IF(L66&lt;&gt;"", "Not Blank", "")</f>
        <v/>
      </c>
      <c r="K66" s="44"/>
      <c r="L66" s="2164"/>
      <c r="M66" s="68"/>
      <c r="N66" s="4447"/>
      <c r="O66" s="4707"/>
      <c r="P66" s="67"/>
      <c r="Q66" s="2214" t="s">
        <v>3</v>
      </c>
      <c r="R66" s="839" t="b">
        <f>IF(OR(Q66="Compliant",Q66="FE with work-a-round",Q66="Functionally Equivalent"),TRUE,FALSE)</f>
        <v>0</v>
      </c>
      <c r="S66" s="44"/>
      <c r="T66" s="44"/>
      <c r="U66" s="68"/>
      <c r="V66" s="4447"/>
      <c r="W66" s="4754"/>
      <c r="X66" s="44"/>
      <c r="Y66" s="44"/>
      <c r="Z66" s="122"/>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40"/>
    </row>
    <row r="67" spans="1:83" s="27" customFormat="1" ht="29" x14ac:dyDescent="0.3">
      <c r="A67" s="37"/>
      <c r="B67" s="1504"/>
      <c r="C67" s="1717" t="s">
        <v>438</v>
      </c>
      <c r="D67" s="699" t="s">
        <v>3</v>
      </c>
      <c r="E67" s="67" t="b">
        <f>IF(D67="Compliant",TRUE,FALSE)</f>
        <v>0</v>
      </c>
      <c r="F67" s="44"/>
      <c r="G67" s="44" t="str">
        <f t="shared" si="4"/>
        <v/>
      </c>
      <c r="H67" s="44"/>
      <c r="I67" s="44"/>
      <c r="J67" s="44" t="str">
        <f>IF(L67&lt;&gt;"", "Not Blank", "")</f>
        <v/>
      </c>
      <c r="K67" s="44"/>
      <c r="L67" s="44"/>
      <c r="M67" s="68"/>
      <c r="N67" s="4447"/>
      <c r="O67" s="4707"/>
      <c r="P67" s="67"/>
      <c r="Q67" s="1060" t="s">
        <v>3</v>
      </c>
      <c r="R67" s="839" t="b">
        <f>IF(OR(Q67="Compliant",Q67="FE with work-a-round",Q67="Functionally Equivalent"),TRUE,FALSE)</f>
        <v>0</v>
      </c>
      <c r="S67" s="44"/>
      <c r="T67" s="44"/>
      <c r="U67" s="68"/>
      <c r="V67" s="4447"/>
      <c r="W67" s="4754"/>
      <c r="X67" s="44"/>
      <c r="Y67" s="44"/>
      <c r="Z67" s="122"/>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40"/>
    </row>
    <row r="68" spans="1:83" s="27" customFormat="1" ht="29.5" thickBot="1" x14ac:dyDescent="0.35">
      <c r="A68" s="37"/>
      <c r="B68" s="1504"/>
      <c r="C68" s="1807" t="s">
        <v>439</v>
      </c>
      <c r="D68" s="700" t="s">
        <v>3</v>
      </c>
      <c r="E68" s="78" t="b">
        <f>IF(D68="Compliant",TRUE,FALSE)</f>
        <v>0</v>
      </c>
      <c r="F68" s="79"/>
      <c r="G68" s="79" t="str">
        <f t="shared" si="4"/>
        <v/>
      </c>
      <c r="H68" s="79"/>
      <c r="I68" s="79"/>
      <c r="J68" s="79" t="str">
        <f>IF(L68&lt;&gt;"", "Not Blank", "")</f>
        <v/>
      </c>
      <c r="K68" s="79"/>
      <c r="L68" s="79"/>
      <c r="M68" s="143"/>
      <c r="N68" s="4448"/>
      <c r="O68" s="4708"/>
      <c r="P68" s="78"/>
      <c r="Q68" s="1017" t="s">
        <v>3</v>
      </c>
      <c r="R68" s="938" t="b">
        <f>IF(OR(Q68="Compliant",Q68="FE with work-a-round",Q68="Functionally Equivalent"),TRUE,FALSE)</f>
        <v>0</v>
      </c>
      <c r="S68" s="79"/>
      <c r="T68" s="79"/>
      <c r="U68" s="143"/>
      <c r="V68" s="4448"/>
      <c r="W68" s="4762"/>
      <c r="X68" s="124"/>
      <c r="Y68" s="124"/>
      <c r="Z68" s="125"/>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40"/>
    </row>
    <row r="69" spans="1:83" s="27" customFormat="1" ht="29.5" thickTop="1" x14ac:dyDescent="0.3">
      <c r="A69" s="37">
        <v>7.5</v>
      </c>
      <c r="B69" s="1495"/>
      <c r="C69" s="1734" t="s">
        <v>674</v>
      </c>
      <c r="D69" s="2149" t="s">
        <v>565</v>
      </c>
      <c r="E69" s="1929" t="b">
        <f>IF(AND(E70=TRUE,E71=TRUE),TRUE,FALSE)</f>
        <v>0</v>
      </c>
      <c r="F69" s="1514">
        <f>COUNTIF(E70:E71,TRUE)</f>
        <v>0</v>
      </c>
      <c r="G69" s="1928">
        <f>COUNTIFS(E70:E71,TRUE,G70:G71,"Not Blank")</f>
        <v>0</v>
      </c>
      <c r="H69" s="1928">
        <f>COUNTIFS(E70:E71,FALSE,G70:G71,"Not Blank")</f>
        <v>0</v>
      </c>
      <c r="I69" s="1727" t="str">
        <f xml:space="preserve">
IF(F69&gt;2,"Too Many Entries - Check Red Lines",
IF(G69&lt;F69,"Valid Entry required below - Check Amber Line/s",
IF(AND(E69=FALSE,G69=0,H69=0),"Nothing Entered below Yet",
IF(G69&lt;F69,"Valid Entry required below - Check Amber Line/s",
IF(AND(G69=0,H69&gt;0),"**Non-Valid Entry/ies below - Check Yellow Line/s",
IF(AND(G69&gt;0,H69&gt;0),"**Valid and Non-Valid Entries made below - Check Yellow Line/s",
IF(AND(E69=FALSE,F69&lt;2),"Not all requirements addressed below - Check Pink Line/s",
IF(AND(E69=FALSE,G69&lt;2,G69&gt;0,H69=0),"More entries to come",
IF(AND(E69,TRUE,G69=2,H69=0),"Valid Entries made below"
)))))))))</f>
        <v>Nothing Entered below Yet</v>
      </c>
      <c r="J69" s="1514">
        <f>COUNTIFS(E70:E71,TRUE,J70:J71,"Not Blank")</f>
        <v>0</v>
      </c>
      <c r="K69" s="1514">
        <f>COUNTIFS(E70:E71,FALSE,J70:J71,"Not Blank")</f>
        <v>0</v>
      </c>
      <c r="L69" s="1727" t="str">
        <f xml:space="preserve">
IF(J69&gt;2,"Too Many Entries - Check Red Lines",
IF(J69&lt;F69,"Valid Entry required below - Check Amber Line/s",
IF(AND(E69=FALSE,J69=0,K69=0),"Nothing Entered below Yet",
IF(AND(J69=0,K69&gt;0),"**Non-Valid Entry/ies below - Check Yellow Line/s",
IF(AND(J69&gt;0,K69&gt;0),"**Valid and Non-Valid Entries made below - Check Yellow Line/s",
IF(AND(E69=FALSE,J69&lt;2),"Not all requirements addressed below - Check Pink Line/s",
IF(AND(E69=FALSE,J69&lt;2,J69&gt;0,K69=0),"More entries to come",
IF(AND(E69,TRUE,J69=2,K69=0),"Valid Entries made below"
))))))))</f>
        <v>Nothing Entered below Yet</v>
      </c>
      <c r="M69" s="2176"/>
      <c r="N69" s="4446" t="s">
        <v>3</v>
      </c>
      <c r="O69" s="4706" t="b">
        <f>IF(OR(N69="Compliant",N69="FE with work-a-round",N69="Functionally Equivalent"),TRUE,FALSE)</f>
        <v>0</v>
      </c>
      <c r="P69" s="1381"/>
      <c r="Q69" s="1939" t="s">
        <v>565</v>
      </c>
      <c r="R69" s="941" t="b">
        <f>IF(AND(R70=TRUE,R71=TRUE),TRUE,FALSE)</f>
        <v>0</v>
      </c>
      <c r="S69" s="111"/>
      <c r="T69" s="111"/>
      <c r="U69" s="120"/>
      <c r="V69" s="4446" t="s">
        <v>3</v>
      </c>
      <c r="W69" s="4765" t="b">
        <f>IF(OR(V69="Compliant",V69="FE with work-a-round",V69="Functionally Equivalent",V69="Not Required/Applicable"),TRUE,FALSE)</f>
        <v>0</v>
      </c>
      <c r="X69" s="111"/>
      <c r="Y69" s="111"/>
      <c r="Z69" s="120"/>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40"/>
    </row>
    <row r="70" spans="1:83" s="27" customFormat="1" ht="116" x14ac:dyDescent="0.3">
      <c r="A70" s="37"/>
      <c r="B70" s="1504"/>
      <c r="C70" s="2167" t="s">
        <v>440</v>
      </c>
      <c r="D70" s="2096" t="s">
        <v>3</v>
      </c>
      <c r="E70" s="67" t="b">
        <f t="shared" ref="E70:E76" si="5">IF(D70="Compliant",TRUE,FALSE)</f>
        <v>0</v>
      </c>
      <c r="F70" s="44"/>
      <c r="G70" s="44" t="str">
        <f t="shared" si="4"/>
        <v/>
      </c>
      <c r="H70" s="44"/>
      <c r="I70" s="2164"/>
      <c r="J70" s="44" t="str">
        <f t="shared" ref="J70:J76" si="6">IF(L70&lt;&gt;"", "Not Blank", "")</f>
        <v/>
      </c>
      <c r="K70" s="44"/>
      <c r="L70" s="2164"/>
      <c r="M70" s="144"/>
      <c r="N70" s="4447"/>
      <c r="O70" s="4707"/>
      <c r="P70" s="2177"/>
      <c r="Q70" s="2214" t="s">
        <v>3</v>
      </c>
      <c r="R70" s="839" t="b">
        <f t="shared" ref="R70:R76" si="7">IF(OR(Q70="Compliant",Q70="FE with work-a-round",Q70="Functionally Equivalent"),TRUE,FALSE)</f>
        <v>0</v>
      </c>
      <c r="S70" s="44"/>
      <c r="T70" s="44"/>
      <c r="U70" s="122"/>
      <c r="V70" s="4447"/>
      <c r="W70" s="4766"/>
      <c r="X70" s="44"/>
      <c r="Y70" s="44"/>
      <c r="Z70" s="122"/>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41"/>
      <c r="BP70" s="42"/>
      <c r="BQ70" s="42"/>
      <c r="BR70" s="42"/>
      <c r="BS70" s="42"/>
      <c r="BT70" s="42"/>
      <c r="BU70" s="42"/>
      <c r="BV70" s="42"/>
      <c r="BW70" s="42"/>
      <c r="BX70" s="42"/>
      <c r="BY70" s="42"/>
      <c r="BZ70" s="42"/>
      <c r="CA70" s="42"/>
      <c r="CB70" s="42"/>
      <c r="CC70" s="42"/>
      <c r="CD70" s="42"/>
      <c r="CE70" s="43"/>
    </row>
    <row r="71" spans="1:83" s="27" customFormat="1" ht="15.5" x14ac:dyDescent="0.3">
      <c r="A71" s="37"/>
      <c r="B71" s="1504"/>
      <c r="C71" s="1717" t="s">
        <v>441</v>
      </c>
      <c r="D71" s="699" t="s">
        <v>3</v>
      </c>
      <c r="E71" s="67" t="b">
        <f t="shared" si="5"/>
        <v>0</v>
      </c>
      <c r="F71" s="44"/>
      <c r="G71" s="44" t="str">
        <f t="shared" si="4"/>
        <v/>
      </c>
      <c r="H71" s="44"/>
      <c r="I71" s="44"/>
      <c r="J71" s="44" t="str">
        <f t="shared" si="6"/>
        <v/>
      </c>
      <c r="K71" s="44"/>
      <c r="L71" s="44"/>
      <c r="M71" s="68"/>
      <c r="N71" s="4447"/>
      <c r="O71" s="4707"/>
      <c r="P71" s="67"/>
      <c r="Q71" s="1060" t="s">
        <v>3</v>
      </c>
      <c r="R71" s="839" t="b">
        <f t="shared" si="7"/>
        <v>0</v>
      </c>
      <c r="S71" s="44"/>
      <c r="T71" s="44"/>
      <c r="U71" s="68"/>
      <c r="V71" s="4447"/>
      <c r="W71" s="4766"/>
      <c r="X71" s="44"/>
      <c r="Y71" s="44"/>
      <c r="Z71" s="122"/>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67"/>
      <c r="BP71" s="44"/>
      <c r="BQ71" s="44"/>
      <c r="BR71" s="44"/>
      <c r="BS71" s="44"/>
      <c r="BT71" s="44"/>
      <c r="BU71" s="44"/>
      <c r="BV71" s="44"/>
      <c r="BW71" s="44"/>
      <c r="BX71" s="44"/>
      <c r="BY71" s="44"/>
      <c r="BZ71" s="44"/>
      <c r="CA71" s="44"/>
      <c r="CB71" s="44"/>
      <c r="CC71" s="44"/>
      <c r="CD71" s="44"/>
      <c r="CE71" s="45"/>
    </row>
    <row r="72" spans="1:83" s="27" customFormat="1" ht="43.5" x14ac:dyDescent="0.3">
      <c r="A72" s="37">
        <v>7.6</v>
      </c>
      <c r="B72" s="1504"/>
      <c r="C72" s="1717" t="s">
        <v>598</v>
      </c>
      <c r="D72" s="699" t="s">
        <v>3</v>
      </c>
      <c r="E72" s="67" t="b">
        <f t="shared" si="5"/>
        <v>0</v>
      </c>
      <c r="F72" s="44"/>
      <c r="G72" s="44" t="str">
        <f t="shared" si="4"/>
        <v/>
      </c>
      <c r="H72" s="44"/>
      <c r="I72" s="44"/>
      <c r="J72" s="44" t="str">
        <f t="shared" si="6"/>
        <v/>
      </c>
      <c r="K72" s="44"/>
      <c r="L72" s="44"/>
      <c r="M72" s="68"/>
      <c r="N72" s="4447"/>
      <c r="O72" s="4707"/>
      <c r="P72" s="67"/>
      <c r="Q72" s="1060" t="s">
        <v>3</v>
      </c>
      <c r="R72" s="839" t="b">
        <f t="shared" si="7"/>
        <v>0</v>
      </c>
      <c r="S72" s="44"/>
      <c r="T72" s="44"/>
      <c r="U72" s="68"/>
      <c r="V72" s="4447"/>
      <c r="W72" s="4766"/>
      <c r="X72" s="44"/>
      <c r="Y72" s="44"/>
      <c r="Z72" s="122"/>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67"/>
      <c r="BP72" s="44"/>
      <c r="BQ72" s="44"/>
      <c r="BR72" s="44"/>
      <c r="BS72" s="44"/>
      <c r="BT72" s="44"/>
      <c r="BU72" s="44"/>
      <c r="BV72" s="44"/>
      <c r="BW72" s="44"/>
      <c r="BX72" s="44"/>
      <c r="BY72" s="44"/>
      <c r="BZ72" s="44"/>
      <c r="CA72" s="44"/>
      <c r="CB72" s="44"/>
      <c r="CC72" s="44"/>
      <c r="CD72" s="44"/>
      <c r="CE72" s="45"/>
    </row>
    <row r="73" spans="1:83" s="27" customFormat="1" ht="43.5" x14ac:dyDescent="0.3">
      <c r="A73" s="37">
        <v>7.7</v>
      </c>
      <c r="B73" s="1504"/>
      <c r="C73" s="1717" t="s">
        <v>596</v>
      </c>
      <c r="D73" s="699" t="s">
        <v>3</v>
      </c>
      <c r="E73" s="67" t="b">
        <f t="shared" si="5"/>
        <v>0</v>
      </c>
      <c r="F73" s="44"/>
      <c r="G73" s="44" t="str">
        <f t="shared" si="4"/>
        <v/>
      </c>
      <c r="H73" s="44"/>
      <c r="I73" s="44"/>
      <c r="J73" s="44" t="str">
        <f t="shared" si="6"/>
        <v/>
      </c>
      <c r="K73" s="44"/>
      <c r="L73" s="44"/>
      <c r="M73" s="68"/>
      <c r="N73" s="4447"/>
      <c r="O73" s="4707"/>
      <c r="P73" s="67"/>
      <c r="Q73" s="1060" t="s">
        <v>3</v>
      </c>
      <c r="R73" s="839" t="b">
        <f t="shared" si="7"/>
        <v>0</v>
      </c>
      <c r="S73" s="44"/>
      <c r="T73" s="44"/>
      <c r="U73" s="68"/>
      <c r="V73" s="4447"/>
      <c r="W73" s="4766"/>
      <c r="X73" s="44"/>
      <c r="Y73" s="44"/>
      <c r="Z73" s="122"/>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67"/>
      <c r="BP73" s="44"/>
      <c r="BQ73" s="44"/>
      <c r="BR73" s="44"/>
      <c r="BS73" s="44"/>
      <c r="BT73" s="44"/>
      <c r="BU73" s="44"/>
      <c r="BV73" s="44"/>
      <c r="BW73" s="44"/>
      <c r="BX73" s="44"/>
      <c r="BY73" s="44"/>
      <c r="BZ73" s="44"/>
      <c r="CA73" s="44"/>
      <c r="CB73" s="44"/>
      <c r="CC73" s="44"/>
      <c r="CD73" s="44"/>
      <c r="CE73" s="45"/>
    </row>
    <row r="74" spans="1:83" s="27" customFormat="1" ht="72.5" x14ac:dyDescent="0.3">
      <c r="A74" s="37">
        <v>7.8</v>
      </c>
      <c r="B74" s="1504"/>
      <c r="C74" s="1717" t="s">
        <v>599</v>
      </c>
      <c r="D74" s="699" t="s">
        <v>3</v>
      </c>
      <c r="E74" s="67" t="b">
        <f t="shared" si="5"/>
        <v>0</v>
      </c>
      <c r="F74" s="44"/>
      <c r="G74" s="44" t="str">
        <f t="shared" si="4"/>
        <v/>
      </c>
      <c r="H74" s="44"/>
      <c r="I74" s="44"/>
      <c r="J74" s="44" t="str">
        <f t="shared" si="6"/>
        <v/>
      </c>
      <c r="K74" s="44"/>
      <c r="L74" s="44"/>
      <c r="M74" s="68"/>
      <c r="N74" s="4447"/>
      <c r="O74" s="4707"/>
      <c r="P74" s="67"/>
      <c r="Q74" s="1060" t="s">
        <v>3</v>
      </c>
      <c r="R74" s="839" t="b">
        <f t="shared" si="7"/>
        <v>0</v>
      </c>
      <c r="S74" s="44"/>
      <c r="T74" s="44"/>
      <c r="U74" s="68"/>
      <c r="V74" s="4447"/>
      <c r="W74" s="4766"/>
      <c r="X74" s="44"/>
      <c r="Y74" s="44"/>
      <c r="Z74" s="122"/>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67"/>
      <c r="BP74" s="44"/>
      <c r="BQ74" s="44"/>
      <c r="BR74" s="44"/>
      <c r="BS74" s="44"/>
      <c r="BT74" s="44"/>
      <c r="BU74" s="44"/>
      <c r="BV74" s="44"/>
      <c r="BW74" s="44"/>
      <c r="BX74" s="44"/>
      <c r="BY74" s="44"/>
      <c r="BZ74" s="44"/>
      <c r="CA74" s="44"/>
      <c r="CB74" s="44"/>
      <c r="CC74" s="44"/>
      <c r="CD74" s="44"/>
      <c r="CE74" s="45"/>
    </row>
    <row r="75" spans="1:83" s="27" customFormat="1" ht="58" x14ac:dyDescent="0.3">
      <c r="A75" s="37">
        <v>7.9</v>
      </c>
      <c r="B75" s="1504"/>
      <c r="C75" s="1717" t="s">
        <v>600</v>
      </c>
      <c r="D75" s="699" t="s">
        <v>3</v>
      </c>
      <c r="E75" s="67" t="b">
        <f t="shared" si="5"/>
        <v>0</v>
      </c>
      <c r="F75" s="44"/>
      <c r="G75" s="44" t="str">
        <f t="shared" si="4"/>
        <v/>
      </c>
      <c r="H75" s="44"/>
      <c r="I75" s="44"/>
      <c r="J75" s="44" t="str">
        <f t="shared" si="6"/>
        <v/>
      </c>
      <c r="K75" s="44"/>
      <c r="L75" s="44"/>
      <c r="M75" s="68"/>
      <c r="N75" s="4447"/>
      <c r="O75" s="4707"/>
      <c r="P75" s="67"/>
      <c r="Q75" s="1060" t="s">
        <v>3</v>
      </c>
      <c r="R75" s="839" t="b">
        <f t="shared" si="7"/>
        <v>0</v>
      </c>
      <c r="S75" s="44"/>
      <c r="T75" s="44"/>
      <c r="U75" s="68"/>
      <c r="V75" s="4447"/>
      <c r="W75" s="4766"/>
      <c r="X75" s="44"/>
      <c r="Y75" s="44"/>
      <c r="Z75" s="122"/>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67"/>
      <c r="BP75" s="44"/>
      <c r="BQ75" s="44"/>
      <c r="BR75" s="44"/>
      <c r="BS75" s="44"/>
      <c r="BT75" s="44"/>
      <c r="BU75" s="44"/>
      <c r="BV75" s="44"/>
      <c r="BW75" s="44"/>
      <c r="BX75" s="44"/>
      <c r="BY75" s="44"/>
      <c r="BZ75" s="44"/>
      <c r="CA75" s="44"/>
      <c r="CB75" s="44"/>
      <c r="CC75" s="44"/>
      <c r="CD75" s="44"/>
      <c r="CE75" s="45"/>
    </row>
    <row r="76" spans="1:83" s="27" customFormat="1" ht="44" thickBot="1" x14ac:dyDescent="0.35">
      <c r="A76" s="37"/>
      <c r="B76" s="1504"/>
      <c r="C76" s="1807" t="s">
        <v>442</v>
      </c>
      <c r="D76" s="700" t="s">
        <v>3</v>
      </c>
      <c r="E76" s="78" t="b">
        <f t="shared" si="5"/>
        <v>0</v>
      </c>
      <c r="F76" s="79"/>
      <c r="G76" s="79" t="str">
        <f t="shared" si="4"/>
        <v/>
      </c>
      <c r="H76" s="79"/>
      <c r="I76" s="79"/>
      <c r="J76" s="79" t="str">
        <f t="shared" si="6"/>
        <v/>
      </c>
      <c r="K76" s="79"/>
      <c r="L76" s="79"/>
      <c r="M76" s="143"/>
      <c r="N76" s="4448"/>
      <c r="O76" s="4708"/>
      <c r="P76" s="78"/>
      <c r="Q76" s="1017" t="s">
        <v>3</v>
      </c>
      <c r="R76" s="938" t="b">
        <f t="shared" si="7"/>
        <v>0</v>
      </c>
      <c r="S76" s="79"/>
      <c r="T76" s="79"/>
      <c r="U76" s="143"/>
      <c r="V76" s="4448"/>
      <c r="W76" s="4767"/>
      <c r="X76" s="124"/>
      <c r="Y76" s="124"/>
      <c r="Z76" s="125"/>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67"/>
      <c r="BP76" s="44"/>
      <c r="BQ76" s="44"/>
      <c r="BR76" s="44"/>
      <c r="BS76" s="44"/>
      <c r="BT76" s="44"/>
      <c r="BU76" s="44"/>
      <c r="BV76" s="44"/>
      <c r="BW76" s="44"/>
      <c r="BX76" s="44"/>
      <c r="BY76" s="44"/>
      <c r="BZ76" s="44"/>
      <c r="CA76" s="44"/>
      <c r="CB76" s="44"/>
      <c r="CC76" s="44"/>
      <c r="CD76" s="44"/>
      <c r="CE76" s="45"/>
    </row>
    <row r="77" spans="1:83" s="27" customFormat="1" ht="44" thickTop="1" x14ac:dyDescent="0.3">
      <c r="A77" s="37">
        <v>7.1</v>
      </c>
      <c r="B77" s="1495" t="s">
        <v>1659</v>
      </c>
      <c r="C77" s="2175" t="s">
        <v>537</v>
      </c>
      <c r="D77" s="2149" t="s">
        <v>565</v>
      </c>
      <c r="E77" s="1929" t="b">
        <f>IF(AND(E78=TRUE,E79=TRUE),TRUE,FALSE)</f>
        <v>0</v>
      </c>
      <c r="F77" s="1514">
        <f>COUNTIF(E78:E79,TRUE)</f>
        <v>0</v>
      </c>
      <c r="G77" s="1514">
        <f>COUNTIFS(E78:E79,TRUE,G78:G79,"Not Blank")</f>
        <v>0</v>
      </c>
      <c r="H77" s="1514">
        <f>COUNTIFS(E78:E79,FALSE,G78:G79,"Not Blank")</f>
        <v>0</v>
      </c>
      <c r="I77" s="2155" t="str">
        <f xml:space="preserve">
IF(F77&gt;2,"Too Many Entries - Check Red Lines",
IF(G77&lt;F77,"Valid Entry required below - Check Amber Line/s",
IF(AND(E77=FALSE,G77=0,H77=0),"Nothing Entered below Yet",
IF(G77&lt;F77,"Valid Entry required below - Check Amber Line/s",
IF(AND(G77=0,H77&gt;0),"**Non-Valid Entry/ies below - Check Yellow Line/s",
IF(AND(G77&gt;0,H77&gt;0),"**Valid and Non-Valid Entries made below - Check Yellow Line/s",
IF(AND(E77=FALSE,F77&lt;2),"Not all requirements addressed below - Check Pink Line/s",
IF(AND(E77=FALSE,G77&lt;2,G77&gt;0,H77=0),"More entries to come",
IF(AND(E77,TRUE,G77=2,H77=0),"Valid Entries made below"
)))))))))</f>
        <v>Nothing Entered below Yet</v>
      </c>
      <c r="J77" s="1514">
        <f>COUNTIFS(E78:E79,TRUE,J78:J79,"Not Blank")</f>
        <v>0</v>
      </c>
      <c r="K77" s="1514">
        <f>COUNTIFS(E78:E79,FALSE,J78:J79,"Not Blank")</f>
        <v>0</v>
      </c>
      <c r="L77" s="2155" t="str">
        <f xml:space="preserve">
IF(J77&gt;2,"Too Many Entries - Check Red Lines",
IF(J77&lt;F77,"Valid Entry required below - Check Amber Line/s",
IF(AND(E77=FALSE,J77=0,K77=0),"Nothing Entered below Yet",
IF(AND(J77=0,K77&gt;0),"**Non-Valid Entry/ies below - Check Yellow Line/s",
IF(AND(J77&gt;0,K77&gt;0),"**Valid and Non-Valid Entries made below - Check Yellow Line/s",
IF(AND(E77=FALSE,J77&lt;2),"Not all requirements addressed below - Check Pink Line/s",
IF(AND(E77=FALSE,J77&lt;2,J77&gt;0,K77=0),"More entries to come",
IF(AND(E77,TRUE,J77=2,K77=0),"Valid Entries made below"
))))))))</f>
        <v>Nothing Entered below Yet</v>
      </c>
      <c r="M77" s="861"/>
      <c r="N77" s="4446" t="s">
        <v>3</v>
      </c>
      <c r="O77" s="4706" t="b">
        <f>IF(OR(N77="Compliant",N77="FE with work-a-round",N77="Functionally Equivalent"),TRUE,FALSE)</f>
        <v>0</v>
      </c>
      <c r="P77" s="1381"/>
      <c r="Q77" s="2178" t="s">
        <v>565</v>
      </c>
      <c r="R77" s="941" t="b">
        <f>IF(AND(R78=TRUE,R79=TRUE),TRUE,FALSE)</f>
        <v>0</v>
      </c>
      <c r="S77" s="111"/>
      <c r="T77" s="111"/>
      <c r="U77" s="211"/>
      <c r="V77" s="4446" t="s">
        <v>3</v>
      </c>
      <c r="W77" s="4764" t="b">
        <f>IF(OR(V77="Compliant",V77="FE with work-a-round",V77="Functionally Equivalent",V77="Not Required/Applicable"),TRUE,FALSE)</f>
        <v>0</v>
      </c>
      <c r="X77" s="111"/>
      <c r="Y77" s="111"/>
      <c r="Z77" s="12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67"/>
      <c r="BP77" s="44"/>
      <c r="BQ77" s="44"/>
      <c r="BR77" s="44"/>
      <c r="BS77" s="44"/>
      <c r="BT77" s="44"/>
      <c r="BU77" s="44"/>
      <c r="BV77" s="44"/>
      <c r="BW77" s="44"/>
      <c r="BX77" s="44"/>
      <c r="BY77" s="44"/>
      <c r="BZ77" s="44"/>
      <c r="CA77" s="44"/>
      <c r="CB77" s="44"/>
      <c r="CC77" s="44"/>
      <c r="CD77" s="44"/>
      <c r="CE77" s="45"/>
    </row>
    <row r="78" spans="1:83" s="27" customFormat="1" ht="29" x14ac:dyDescent="0.3">
      <c r="A78" s="37"/>
      <c r="B78" s="1504"/>
      <c r="C78" s="1806" t="s">
        <v>682</v>
      </c>
      <c r="D78" s="2096" t="s">
        <v>3</v>
      </c>
      <c r="E78" s="67" t="b">
        <f>IF(D78="Compliant",TRUE,FALSE)</f>
        <v>0</v>
      </c>
      <c r="F78" s="44"/>
      <c r="G78" s="44" t="str">
        <f t="shared" si="4"/>
        <v/>
      </c>
      <c r="H78" s="44"/>
      <c r="I78" s="42"/>
      <c r="J78" s="44" t="str">
        <f>IF(L78&lt;&gt;"", "Not Blank", "")</f>
        <v/>
      </c>
      <c r="K78" s="44"/>
      <c r="L78" s="42"/>
      <c r="M78" s="2177"/>
      <c r="N78" s="4447"/>
      <c r="O78" s="4707"/>
      <c r="P78" s="2177"/>
      <c r="Q78" s="1863" t="s">
        <v>3</v>
      </c>
      <c r="R78" s="839" t="b">
        <f>IF(OR(Q78="Compliant",Q78="FE with work-a-round",Q78="Functionally Equivalent"),TRUE,FALSE)</f>
        <v>0</v>
      </c>
      <c r="S78" s="44"/>
      <c r="T78" s="44"/>
      <c r="U78" s="68"/>
      <c r="V78" s="4447"/>
      <c r="W78" s="4754"/>
      <c r="X78" s="44"/>
      <c r="Y78" s="44"/>
      <c r="Z78" s="122"/>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67"/>
      <c r="BP78" s="44"/>
      <c r="BQ78" s="44"/>
      <c r="BR78" s="44"/>
      <c r="BS78" s="44"/>
      <c r="BT78" s="44"/>
      <c r="BU78" s="44"/>
      <c r="BV78" s="44"/>
      <c r="BW78" s="44"/>
      <c r="BX78" s="44"/>
      <c r="BY78" s="44"/>
      <c r="BZ78" s="44"/>
      <c r="CA78" s="44"/>
      <c r="CB78" s="44"/>
      <c r="CC78" s="44"/>
      <c r="CD78" s="44"/>
      <c r="CE78" s="45"/>
    </row>
    <row r="79" spans="1:83" s="27" customFormat="1" ht="29.5" thickBot="1" x14ac:dyDescent="0.35">
      <c r="A79" s="37"/>
      <c r="B79" s="1508"/>
      <c r="C79" s="1807" t="s">
        <v>683</v>
      </c>
      <c r="D79" s="1038" t="s">
        <v>3</v>
      </c>
      <c r="E79" s="78" t="b">
        <f>IF(D79="Compliant",TRUE,FALSE)</f>
        <v>0</v>
      </c>
      <c r="F79" s="79"/>
      <c r="G79" s="79" t="str">
        <f t="shared" si="4"/>
        <v/>
      </c>
      <c r="H79" s="79"/>
      <c r="I79" s="79"/>
      <c r="J79" s="79" t="str">
        <f>IF(L79&lt;&gt;"", "Not Blank", "")</f>
        <v/>
      </c>
      <c r="K79" s="79"/>
      <c r="L79" s="79"/>
      <c r="M79" s="143"/>
      <c r="N79" s="4448"/>
      <c r="O79" s="4708"/>
      <c r="P79" s="78"/>
      <c r="Q79" s="1017" t="s">
        <v>3</v>
      </c>
      <c r="R79" s="943" t="b">
        <f>IF(OR(Q79="Compliant",Q79="FE with work-a-round",Q79="Functionally Equivalent"),TRUE,FALSE)</f>
        <v>0</v>
      </c>
      <c r="S79" s="79"/>
      <c r="T79" s="79"/>
      <c r="U79" s="143"/>
      <c r="V79" s="4448"/>
      <c r="W79" s="4762"/>
      <c r="X79" s="124"/>
      <c r="Y79" s="124"/>
      <c r="Z79" s="125"/>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67"/>
      <c r="BP79" s="44"/>
      <c r="BQ79" s="44"/>
      <c r="BR79" s="44"/>
      <c r="BS79" s="44"/>
      <c r="BT79" s="44"/>
      <c r="BU79" s="44"/>
      <c r="BV79" s="44"/>
      <c r="BW79" s="44"/>
      <c r="BX79" s="44"/>
      <c r="BY79" s="44"/>
      <c r="BZ79" s="44"/>
      <c r="CA79" s="44"/>
      <c r="CB79" s="44"/>
      <c r="CC79" s="44"/>
      <c r="CD79" s="44"/>
      <c r="CE79" s="45"/>
    </row>
    <row r="80" spans="1:83" s="27" customFormat="1" ht="30" thickTop="1" thickBot="1" x14ac:dyDescent="0.35">
      <c r="A80" s="37">
        <v>8</v>
      </c>
      <c r="B80" s="1945" t="s">
        <v>443</v>
      </c>
      <c r="C80" s="1697" t="s">
        <v>444</v>
      </c>
      <c r="D80" s="1925" t="s">
        <v>565</v>
      </c>
      <c r="E80" s="1929" t="b">
        <f>IF(AND(E81=TRUE,E84=TRUE,E85=TRUE,E86=TRUE,E87=TRUE,E88=TRUE),TRUE,FALSE)</f>
        <v>0</v>
      </c>
      <c r="F80" s="1514">
        <f>COUNTIF(E89:E90,TRUE)+COUNTIF(E82:E87,TRUE)</f>
        <v>0</v>
      </c>
      <c r="G80" s="1514">
        <f>COUNTIFS(E82:E90,TRUE,G82:G90,"Not Blank")</f>
        <v>0</v>
      </c>
      <c r="H80" s="1708">
        <f>COUNTIFS(E82:E90,FALSE,G82:G90,"Not Blank")</f>
        <v>0</v>
      </c>
      <c r="I80" s="2288" t="str">
        <f xml:space="preserve">
IF(F80&gt;7,"Too Many Entries - Check Red Lines",
IF(G80&lt;F80,"Valid Entry required below - Check Amber Line/s",
IF(AND(E80=FALSE,G80=0,H80=0),"Nothing Entered below Yet",
IF(G80&lt;F80,"Valid Entry required below - Check Amber Line/s",
IF(AND(G80=0,H80&gt;0),"**Non-Valid Entry/ies below - Check Yellow Line/s",
IF(AND(G80&gt;0,H80&gt;0),"**Valid and Non-Valid Entries made below - Check Yellow Line/s",
IF(AND(E80=FALSE,F80&lt;7),"Not all requirements addressed below - Check Pink Line/s",
IF(AND(E80=FALSE,G80&lt;7,G80&gt;0,H80=0),"More entries to come",
IF(AND(E80,TRUE,G80=7,H80=0),"Valid Entries made below"
)))))))))</f>
        <v>Nothing Entered below Yet</v>
      </c>
      <c r="J80" s="1497">
        <f>COUNTIFS(E82:E90,TRUE,J82:J90,"Not Blank")</f>
        <v>0</v>
      </c>
      <c r="K80" s="1497">
        <f>COUNTIFS(E82:E90,FALSE,J82:J90,"Not Blank")</f>
        <v>0</v>
      </c>
      <c r="L80" s="1497" t="str">
        <f xml:space="preserve">
IF(J80&gt;7,"Too Many Entries - Check Red Lines",
IF(J80&lt;F80,"Valid Entry required below - Check Amber Line/s",
IF(AND(E80=FALSE,J80=0,K80=0),"Nothing Entered below Yet",
IF(AND(J80=0,K80&gt;0),"**Non-Valid Entry/ies below - Check Yellow Line/s",
IF(AND(J80&gt;0,K80&gt;0),"**Valid and Non-Valid Entries made below - Check Yellow Line/s",
IF(AND(E80=FALSE,J80&lt;7),"Not all requirements addressed below - Check Pink Line/s",
IF(AND(E80=FALSE,J80&lt;7,J80&gt;0,K80=0),"More entries to come",
IF(AND(E80,TRUE,J80=7,K80=0),"Valid Entries made below"
))))))))</f>
        <v>Nothing Entered below Yet</v>
      </c>
      <c r="M80" s="134"/>
      <c r="N80" s="1909" t="s">
        <v>565</v>
      </c>
      <c r="O80" s="36" t="b">
        <f>IF(AND(O81=TRUE,O88=TRUE),TRUE,FALSE)</f>
        <v>0</v>
      </c>
      <c r="P80" s="807"/>
      <c r="Q80" s="1909" t="s">
        <v>565</v>
      </c>
      <c r="R80" s="734" t="b">
        <f>IF(AND(R81=TRUE,R84=TRUE,R85=TRUE,R86=TRUE,R87=TRUE,R88=TRUE),TRUE,FALSE)</f>
        <v>0</v>
      </c>
      <c r="S80" s="111"/>
      <c r="T80" s="111"/>
      <c r="U80" s="120"/>
      <c r="V80" s="1909" t="s">
        <v>565</v>
      </c>
      <c r="W80" s="507" t="b">
        <f>IF(AND(W81=TRUE,W88=TRUE),TRUE,FALSE)</f>
        <v>0</v>
      </c>
      <c r="X80" s="133"/>
      <c r="Y80" s="133"/>
      <c r="Z80" s="134"/>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67"/>
      <c r="BP80" s="44"/>
      <c r="BQ80" s="44"/>
      <c r="BR80" s="44"/>
      <c r="BS80" s="44"/>
      <c r="BT80" s="44"/>
      <c r="BU80" s="44"/>
      <c r="BV80" s="44"/>
      <c r="BW80" s="44"/>
      <c r="BX80" s="44"/>
      <c r="BY80" s="44"/>
      <c r="BZ80" s="44"/>
      <c r="CA80" s="44"/>
      <c r="CB80" s="44"/>
      <c r="CC80" s="44"/>
      <c r="CD80" s="44"/>
      <c r="CE80" s="45"/>
    </row>
    <row r="81" spans="1:83" s="27" customFormat="1" ht="29.5" thickTop="1" x14ac:dyDescent="0.3">
      <c r="A81" s="37">
        <v>8.1</v>
      </c>
      <c r="B81" s="1504" t="s">
        <v>1660</v>
      </c>
      <c r="C81" s="2258" t="s">
        <v>603</v>
      </c>
      <c r="D81" s="2259" t="s">
        <v>565</v>
      </c>
      <c r="E81" s="1940" t="b">
        <f>IF(OR(E82=TRUE,E83=TRUE),TRUE,FALSE)</f>
        <v>0</v>
      </c>
      <c r="F81" s="1517">
        <f>COUNTIF(E82:E83,TRUE)</f>
        <v>0</v>
      </c>
      <c r="G81" s="1941">
        <f>COUNTIFS(E82:E83,TRUE,G82:G83,"Not Blank")</f>
        <v>0</v>
      </c>
      <c r="H81" s="1941">
        <f>COUNTIFS(E82:E83,FALSE,G82:G83,"Not Blank")</f>
        <v>0</v>
      </c>
      <c r="I81" s="2262" t="str">
        <f xml:space="preserve">
IF(F81&gt;2,"Too Many Entries - Check Red Lines",
IF(G81&lt;F81,"Valid Entry required below - Check Amber Line/s",
IF(AND(E81=FALSE,G81=0,H81=0),"Nothing Entered below Yet",
IF(G81&lt;F81,"Valid Entry required below - Check Amber Line/s",
IF(AND(G81=0,H81&gt;0),"**Non-Valid Entry/ies below - Check Yellow Line/s",
IF(AND(G81&gt;0,H81&gt;0),"**Valid and Non-Valid Entries made below - Check Yellow Line/s",
IF(AND(E81=FALSE,F81&lt;2),"Not all requirements addressed below - Check Pink Line/s",
IF(AND(E81=FALSE,G81&lt;2,G81&gt;0,H81=0),"More entries to come",
IF(AND(E81,TRUE,G81=2,H81=0),"Valid Entries made below"
)))))))))</f>
        <v>Nothing Entered below Yet</v>
      </c>
      <c r="J81" s="2262">
        <f>COUNTIFS(E82:E85,TRUE,J82:J85,"Not Blank")</f>
        <v>0</v>
      </c>
      <c r="K81" s="2262">
        <f>COUNTIFS(E82:E85,FALSE,J82:J85,"Not Blank")</f>
        <v>0</v>
      </c>
      <c r="L81" s="2262" t="str">
        <f xml:space="preserve">
IF(J81&gt;2,"Too Many Entries - Check Red Lines",
IF(J81&lt;F81,"Valid Entry required below - Check Amber Line/s",
IF(AND(E81=FALSE,J81=0,K81=0),"Nothing Entered below Yet",
IF(AND(J81=0,K81&gt;0),"**Non-Valid Entry/ies below - Check Yellow Line/s",
IF(AND(J81&gt;0,K81&gt;0),"**Valid and Non-Valid Entries made below - Check Yellow Line/s",
IF(AND(E81=FALSE,J81&lt;2),"Not all requirements addressed below - Check Pink Line/s",
IF(AND(E81=FALSE,J81&lt;2,J81&gt;0,K81=0),"More entries to come",
IF(AND(E81,TRUE,J81=2,K81=0),"Valid Entries made below"
))))))))</f>
        <v>Nothing Entered below Yet</v>
      </c>
      <c r="M81" s="987"/>
      <c r="N81" s="4446" t="s">
        <v>3</v>
      </c>
      <c r="O81" s="4706" t="b">
        <f>IF(OR(N81="Compliant",N81="FE with work-a-round",N81="Functionally Equivalent"),TRUE,FALSE)</f>
        <v>0</v>
      </c>
      <c r="P81" s="2176"/>
      <c r="Q81" s="2178" t="s">
        <v>565</v>
      </c>
      <c r="R81" s="749" t="b">
        <f>IF(OR(R82=TRUE,R83=TRUE),TRUE,FALSE)</f>
        <v>0</v>
      </c>
      <c r="S81" s="44"/>
      <c r="T81" s="44"/>
      <c r="U81" s="68"/>
      <c r="V81" s="4446" t="s">
        <v>3</v>
      </c>
      <c r="W81" s="4764" t="b">
        <f>IF(OR(V81="Compliant",V81="FE with work-a-round",V81="Functionally Equivalent",V81="Not Required/Applicable"),TRUE,FALSE)</f>
        <v>0</v>
      </c>
      <c r="X81" s="111"/>
      <c r="Y81" s="111"/>
      <c r="Z81" s="12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67"/>
      <c r="BP81" s="44"/>
      <c r="BQ81" s="44"/>
      <c r="BR81" s="44"/>
      <c r="BS81" s="44"/>
      <c r="BT81" s="44"/>
      <c r="BU81" s="44"/>
      <c r="BV81" s="44"/>
      <c r="BW81" s="44"/>
      <c r="BX81" s="44"/>
      <c r="BY81" s="44"/>
      <c r="BZ81" s="44"/>
      <c r="CA81" s="44"/>
      <c r="CB81" s="44"/>
      <c r="CC81" s="44"/>
      <c r="CD81" s="44"/>
      <c r="CE81" s="45"/>
    </row>
    <row r="82" spans="1:83" s="27" customFormat="1" ht="43.5" x14ac:dyDescent="0.3">
      <c r="A82" s="37" t="s">
        <v>601</v>
      </c>
      <c r="B82" s="1504"/>
      <c r="C82" s="1806" t="s">
        <v>604</v>
      </c>
      <c r="D82" s="2096" t="s">
        <v>3</v>
      </c>
      <c r="E82" s="67" t="b">
        <f t="shared" ref="E82:E87" si="8">IF(D82="Compliant",TRUE,FALSE)</f>
        <v>0</v>
      </c>
      <c r="F82" s="44"/>
      <c r="G82" s="44" t="str">
        <f t="shared" ref="G82:G90" si="9">IF(I82&lt;&gt;"", "Not Blank", "")</f>
        <v/>
      </c>
      <c r="H82" s="44"/>
      <c r="I82" s="42"/>
      <c r="J82" s="42" t="str">
        <f t="shared" ref="J82:J87" si="10">IF(L82&lt;&gt;"", "Not Blank", "")</f>
        <v/>
      </c>
      <c r="K82" s="42"/>
      <c r="L82" s="42"/>
      <c r="M82" s="2177"/>
      <c r="N82" s="4447"/>
      <c r="O82" s="4707"/>
      <c r="P82" s="2177"/>
      <c r="Q82" s="1863" t="s">
        <v>3</v>
      </c>
      <c r="R82" s="839" t="b">
        <f t="shared" ref="R82:R87" si="11">IF(OR(Q82="Compliant",Q82="FE with work-a-round",Q82="Functionally Equivalent"),TRUE,FALSE)</f>
        <v>0</v>
      </c>
      <c r="S82" s="44"/>
      <c r="T82" s="44"/>
      <c r="U82" s="68"/>
      <c r="V82" s="4447"/>
      <c r="W82" s="4754"/>
      <c r="X82" s="44"/>
      <c r="Y82" s="44"/>
      <c r="Z82" s="122"/>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67"/>
      <c r="BP82" s="44"/>
      <c r="BQ82" s="44"/>
      <c r="BR82" s="44"/>
      <c r="BS82" s="44"/>
      <c r="BT82" s="44"/>
      <c r="BU82" s="44"/>
      <c r="BV82" s="44"/>
      <c r="BW82" s="44"/>
      <c r="BX82" s="44"/>
      <c r="BY82" s="44"/>
      <c r="BZ82" s="44"/>
      <c r="CA82" s="44"/>
      <c r="CB82" s="44"/>
      <c r="CC82" s="44"/>
      <c r="CD82" s="44"/>
      <c r="CE82" s="45"/>
    </row>
    <row r="83" spans="1:83" s="27" customFormat="1" ht="43.5" x14ac:dyDescent="0.3">
      <c r="A83" s="37" t="s">
        <v>602</v>
      </c>
      <c r="B83" s="1504"/>
      <c r="C83" s="1717" t="s">
        <v>647</v>
      </c>
      <c r="D83" s="699" t="s">
        <v>3</v>
      </c>
      <c r="E83" s="67" t="b">
        <f t="shared" si="8"/>
        <v>0</v>
      </c>
      <c r="F83" s="44"/>
      <c r="G83" s="44" t="str">
        <f t="shared" si="9"/>
        <v/>
      </c>
      <c r="H83" s="44"/>
      <c r="I83" s="44"/>
      <c r="J83" s="44" t="str">
        <f t="shared" si="10"/>
        <v/>
      </c>
      <c r="K83" s="44"/>
      <c r="L83" s="44"/>
      <c r="M83" s="68"/>
      <c r="N83" s="4447"/>
      <c r="O83" s="4707"/>
      <c r="P83" s="67"/>
      <c r="Q83" s="1060" t="s">
        <v>3</v>
      </c>
      <c r="R83" s="839" t="b">
        <f t="shared" si="11"/>
        <v>0</v>
      </c>
      <c r="S83" s="44"/>
      <c r="T83" s="44"/>
      <c r="U83" s="68"/>
      <c r="V83" s="4447"/>
      <c r="W83" s="4754"/>
      <c r="X83" s="44"/>
      <c r="Y83" s="44"/>
      <c r="Z83" s="122"/>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67"/>
      <c r="BP83" s="44"/>
      <c r="BQ83" s="44"/>
      <c r="BR83" s="44"/>
      <c r="BS83" s="44"/>
      <c r="BT83" s="44"/>
      <c r="BU83" s="44"/>
      <c r="BV83" s="44"/>
      <c r="BW83" s="44"/>
      <c r="BX83" s="44"/>
      <c r="BY83" s="44"/>
      <c r="BZ83" s="44"/>
      <c r="CA83" s="44"/>
      <c r="CB83" s="44"/>
      <c r="CC83" s="44"/>
      <c r="CD83" s="44"/>
      <c r="CE83" s="45"/>
    </row>
    <row r="84" spans="1:83" s="27" customFormat="1" ht="58" x14ac:dyDescent="0.3">
      <c r="A84" s="37">
        <v>8.1999999999999993</v>
      </c>
      <c r="B84" s="1504"/>
      <c r="C84" s="1717" t="s">
        <v>646</v>
      </c>
      <c r="D84" s="699" t="s">
        <v>3</v>
      </c>
      <c r="E84" s="67" t="b">
        <f t="shared" si="8"/>
        <v>0</v>
      </c>
      <c r="F84" s="44"/>
      <c r="G84" s="44" t="str">
        <f t="shared" si="9"/>
        <v/>
      </c>
      <c r="H84" s="44"/>
      <c r="I84" s="44"/>
      <c r="J84" s="44" t="str">
        <f t="shared" si="10"/>
        <v/>
      </c>
      <c r="K84" s="44"/>
      <c r="L84" s="44"/>
      <c r="M84" s="68"/>
      <c r="N84" s="4447"/>
      <c r="O84" s="4707"/>
      <c r="P84" s="67"/>
      <c r="Q84" s="1060" t="s">
        <v>3</v>
      </c>
      <c r="R84" s="839" t="b">
        <f t="shared" si="11"/>
        <v>0</v>
      </c>
      <c r="S84" s="44"/>
      <c r="T84" s="44"/>
      <c r="U84" s="68"/>
      <c r="V84" s="4447"/>
      <c r="W84" s="4754"/>
      <c r="X84" s="44"/>
      <c r="Y84" s="44"/>
      <c r="Z84" s="122"/>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67"/>
      <c r="BP84" s="44"/>
      <c r="BQ84" s="44"/>
      <c r="BR84" s="44"/>
      <c r="BS84" s="44"/>
      <c r="BT84" s="44"/>
      <c r="BU84" s="44"/>
      <c r="BV84" s="44"/>
      <c r="BW84" s="44"/>
      <c r="BX84" s="44"/>
      <c r="BY84" s="44"/>
      <c r="BZ84" s="44"/>
      <c r="CA84" s="44"/>
      <c r="CB84" s="44"/>
      <c r="CC84" s="44"/>
      <c r="CD84" s="44"/>
      <c r="CE84" s="45"/>
    </row>
    <row r="85" spans="1:83" s="27" customFormat="1" ht="87" x14ac:dyDescent="0.3">
      <c r="A85" s="37">
        <v>8.3000000000000007</v>
      </c>
      <c r="B85" s="1504"/>
      <c r="C85" s="1717" t="s">
        <v>605</v>
      </c>
      <c r="D85" s="699" t="s">
        <v>3</v>
      </c>
      <c r="E85" s="67" t="b">
        <f t="shared" si="8"/>
        <v>0</v>
      </c>
      <c r="F85" s="44"/>
      <c r="G85" s="44" t="str">
        <f t="shared" si="9"/>
        <v/>
      </c>
      <c r="H85" s="44"/>
      <c r="I85" s="44"/>
      <c r="J85" s="44" t="str">
        <f t="shared" si="10"/>
        <v/>
      </c>
      <c r="K85" s="44"/>
      <c r="L85" s="44"/>
      <c r="M85" s="68"/>
      <c r="N85" s="4447"/>
      <c r="O85" s="4707"/>
      <c r="P85" s="67"/>
      <c r="Q85" s="1060" t="s">
        <v>3</v>
      </c>
      <c r="R85" s="839" t="b">
        <f t="shared" si="11"/>
        <v>0</v>
      </c>
      <c r="S85" s="44"/>
      <c r="T85" s="44"/>
      <c r="U85" s="68"/>
      <c r="V85" s="4447"/>
      <c r="W85" s="4754"/>
      <c r="X85" s="44"/>
      <c r="Y85" s="44"/>
      <c r="Z85" s="122"/>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67"/>
      <c r="BP85" s="44"/>
      <c r="BQ85" s="44"/>
      <c r="BR85" s="44"/>
      <c r="BS85" s="44"/>
      <c r="BT85" s="44"/>
      <c r="BU85" s="44"/>
      <c r="BV85" s="44"/>
      <c r="BW85" s="44"/>
      <c r="BX85" s="44"/>
      <c r="BY85" s="44"/>
      <c r="BZ85" s="44"/>
      <c r="CA85" s="44"/>
      <c r="CB85" s="44"/>
      <c r="CC85" s="44"/>
      <c r="CD85" s="44"/>
      <c r="CE85" s="45"/>
    </row>
    <row r="86" spans="1:83" s="27" customFormat="1" ht="58" x14ac:dyDescent="0.3">
      <c r="A86" s="37">
        <v>8.4</v>
      </c>
      <c r="B86" s="1504"/>
      <c r="C86" s="1717" t="s">
        <v>606</v>
      </c>
      <c r="D86" s="699" t="s">
        <v>3</v>
      </c>
      <c r="E86" s="67" t="b">
        <f t="shared" si="8"/>
        <v>0</v>
      </c>
      <c r="F86" s="44"/>
      <c r="G86" s="44" t="str">
        <f t="shared" si="9"/>
        <v/>
      </c>
      <c r="H86" s="44"/>
      <c r="I86" s="44"/>
      <c r="J86" s="44" t="str">
        <f t="shared" si="10"/>
        <v/>
      </c>
      <c r="K86" s="44"/>
      <c r="L86" s="44"/>
      <c r="M86" s="68"/>
      <c r="N86" s="4447"/>
      <c r="O86" s="4707"/>
      <c r="P86" s="67"/>
      <c r="Q86" s="1060" t="s">
        <v>3</v>
      </c>
      <c r="R86" s="839" t="b">
        <f t="shared" si="11"/>
        <v>0</v>
      </c>
      <c r="S86" s="44"/>
      <c r="T86" s="44"/>
      <c r="U86" s="68"/>
      <c r="V86" s="4447"/>
      <c r="W86" s="4754"/>
      <c r="X86" s="44"/>
      <c r="Y86" s="44"/>
      <c r="Z86" s="122"/>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67"/>
      <c r="BP86" s="44"/>
      <c r="BQ86" s="44"/>
      <c r="BR86" s="44"/>
      <c r="BS86" s="44"/>
      <c r="BT86" s="44"/>
      <c r="BU86" s="44"/>
      <c r="BV86" s="44"/>
      <c r="BW86" s="44"/>
      <c r="BX86" s="44"/>
      <c r="BY86" s="44"/>
      <c r="BZ86" s="44"/>
      <c r="CA86" s="44"/>
      <c r="CB86" s="44"/>
      <c r="CC86" s="44"/>
      <c r="CD86" s="44"/>
      <c r="CE86" s="45"/>
    </row>
    <row r="87" spans="1:83" s="27" customFormat="1" ht="29.5" thickBot="1" x14ac:dyDescent="0.35">
      <c r="A87" s="37">
        <v>8.5</v>
      </c>
      <c r="B87" s="1504"/>
      <c r="C87" s="1807" t="s">
        <v>607</v>
      </c>
      <c r="D87" s="700" t="s">
        <v>3</v>
      </c>
      <c r="E87" s="78" t="b">
        <f t="shared" si="8"/>
        <v>0</v>
      </c>
      <c r="F87" s="79"/>
      <c r="G87" s="79" t="str">
        <f t="shared" si="9"/>
        <v/>
      </c>
      <c r="H87" s="79"/>
      <c r="I87" s="79"/>
      <c r="J87" s="79" t="str">
        <f t="shared" si="10"/>
        <v/>
      </c>
      <c r="K87" s="79"/>
      <c r="L87" s="79"/>
      <c r="M87" s="143"/>
      <c r="N87" s="4448"/>
      <c r="O87" s="4708"/>
      <c r="P87" s="79"/>
      <c r="Q87" s="1017" t="s">
        <v>3</v>
      </c>
      <c r="R87" s="938" t="b">
        <f t="shared" si="11"/>
        <v>0</v>
      </c>
      <c r="S87" s="79"/>
      <c r="T87" s="79"/>
      <c r="U87" s="143"/>
      <c r="V87" s="4448"/>
      <c r="W87" s="4762"/>
      <c r="X87" s="124"/>
      <c r="Y87" s="124"/>
      <c r="Z87" s="125"/>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67"/>
      <c r="BP87" s="44"/>
      <c r="BQ87" s="44"/>
      <c r="BR87" s="44"/>
      <c r="BS87" s="44"/>
      <c r="BT87" s="44"/>
      <c r="BU87" s="44"/>
      <c r="BV87" s="44"/>
      <c r="BW87" s="44"/>
      <c r="BX87" s="44"/>
      <c r="BY87" s="44"/>
      <c r="BZ87" s="44"/>
      <c r="CA87" s="44"/>
      <c r="CB87" s="44"/>
      <c r="CC87" s="44"/>
      <c r="CD87" s="44"/>
      <c r="CE87" s="45"/>
    </row>
    <row r="88" spans="1:83" s="27" customFormat="1" ht="29.5" thickTop="1" x14ac:dyDescent="0.3">
      <c r="A88" s="37" t="s">
        <v>609</v>
      </c>
      <c r="B88" s="1495" t="s">
        <v>1661</v>
      </c>
      <c r="C88" s="1734" t="s">
        <v>608</v>
      </c>
      <c r="D88" s="2149" t="s">
        <v>565</v>
      </c>
      <c r="E88" s="1929" t="b">
        <f>IF(OR(E89=TRUE,E90=TRUE),TRUE,FALSE)</f>
        <v>0</v>
      </c>
      <c r="F88" s="1514">
        <f>COUNTIF(E89:E90,TRUE)</f>
        <v>0</v>
      </c>
      <c r="G88" s="1928">
        <f>COUNTIFS(E89:E90,TRUE,G89:G90,"Not Blank")</f>
        <v>0</v>
      </c>
      <c r="H88" s="1928">
        <f>COUNTIFS(E89:E90,FALSE,G89:G90,"Not Blank")</f>
        <v>0</v>
      </c>
      <c r="I88" s="1727" t="str">
        <f xml:space="preserve">
IF(F88&gt;1,"Too Many Entries - Check Red Lines",
IF(G88&lt;F88,"Valid Entry required below - Check Amber Line/s",
IF(AND(E88=FALSE,G88=0,H88=0),"Nothing Entered below Yet",
IF(G88&lt;F88,"Valid Entry required below - Check Amber Line/s",
IF(AND(G88=0,H88&gt;0),"**Non-Valid Entry/ies below - Check Yellow Line/s",
IF(AND(G88&gt;0,H88&gt;0),"**Valid and Non-Valid Entries made below - Check Yellow Line/s",
IF(AND(E88=FALSE,F88&lt;1),"Not all requirements addressed below - Check Pink Line/s",
IF(AND(E88=FALSE,G88&lt;1,G88&gt;0,H88=0),"More entries to come",
IF(AND(E88,TRUE,G88=1,H88=0),"Valid Entries made below"
)))))))))</f>
        <v>Nothing Entered below Yet</v>
      </c>
      <c r="J88" s="1514">
        <f>COUNTIFS(E89:E92,TRUE,J89:J92,"Not Blank")</f>
        <v>0</v>
      </c>
      <c r="K88" s="1514">
        <f>COUNTIFS(E89:E92,FALSE,J89:J92,"Not Blank")</f>
        <v>0</v>
      </c>
      <c r="L88" s="1727" t="str">
        <f xml:space="preserve">
IF(J88&gt;1,"Too Many Entries - Check Red Lines",
IF(J88&lt;F88,"Valid Entry required below - Check Amber Line/s",
IF(AND(E88=FALSE,J88=0,K88=0),"Nothing Entered below Yet",
IF(AND(J88=0,K88&gt;0),"**Non-Valid Entry/ies below - Check Yellow Line/s",
IF(AND(J88&gt;0,K88&gt;0),"**Valid and Non-Valid Entries made below - Check Yellow Line/s",
IF(AND(E88=FALSE,J88&lt;1),"Not all requirements addressed below - Check Pink Line/s",
IF(AND(E88=FALSE,J88&lt;1,J88&gt;0,K88=0),"More entries to come",
IF(AND(E88,TRUE,J88=1,K88=0),"Valid Entries made below"
))))))))</f>
        <v>Nothing Entered below Yet</v>
      </c>
      <c r="M88" s="861"/>
      <c r="N88" s="4447" t="s">
        <v>3</v>
      </c>
      <c r="O88" s="4706" t="b">
        <f>IF(OR(N88="Compliant",N88="FE with work-a-round",N88="Functionally Equivalent"),TRUE,FALSE)</f>
        <v>0</v>
      </c>
      <c r="P88" s="1381"/>
      <c r="Q88" s="1939" t="s">
        <v>565</v>
      </c>
      <c r="R88" s="941" t="b">
        <f>IF(OR(R89=TRUE,R90=TRUE),TRUE,FALSE)</f>
        <v>0</v>
      </c>
      <c r="S88" s="111"/>
      <c r="T88" s="111"/>
      <c r="U88" s="211"/>
      <c r="V88" s="4446" t="s">
        <v>3</v>
      </c>
      <c r="W88" s="4754" t="b">
        <f>IF(OR(V88="Compliant",V88="FE with work-a-round",V88="Functionally Equivalent",V88="Not Required/Applicable"),TRUE,FALSE)</f>
        <v>0</v>
      </c>
      <c r="X88" s="111"/>
      <c r="Y88" s="111"/>
      <c r="Z88" s="120"/>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67"/>
      <c r="BP88" s="44"/>
      <c r="BQ88" s="44"/>
      <c r="BR88" s="44"/>
      <c r="BS88" s="44"/>
      <c r="BT88" s="44"/>
      <c r="BU88" s="44"/>
      <c r="BV88" s="44"/>
      <c r="BW88" s="44"/>
      <c r="BX88" s="44"/>
      <c r="BY88" s="44"/>
      <c r="BZ88" s="44"/>
      <c r="CA88" s="44"/>
      <c r="CB88" s="44"/>
      <c r="CC88" s="44"/>
      <c r="CD88" s="44"/>
      <c r="CE88" s="45"/>
    </row>
    <row r="89" spans="1:83" s="27" customFormat="1" ht="58" x14ac:dyDescent="0.3">
      <c r="A89" s="37">
        <v>8.6</v>
      </c>
      <c r="B89" s="1504"/>
      <c r="C89" s="2167" t="s">
        <v>610</v>
      </c>
      <c r="D89" s="2096" t="s">
        <v>3</v>
      </c>
      <c r="E89" s="67" t="b">
        <f>IF(D89="Compliant",TRUE,FALSE)</f>
        <v>0</v>
      </c>
      <c r="F89" s="44"/>
      <c r="G89" s="44" t="str">
        <f t="shared" si="9"/>
        <v/>
      </c>
      <c r="H89" s="44"/>
      <c r="I89" s="2164"/>
      <c r="J89" s="44" t="str">
        <f>IF(L89&lt;&gt;"", "Not Blank", "")</f>
        <v/>
      </c>
      <c r="K89" s="44"/>
      <c r="L89" s="2164"/>
      <c r="M89" s="2177"/>
      <c r="N89" s="4447"/>
      <c r="O89" s="4707"/>
      <c r="P89" s="2177"/>
      <c r="Q89" s="2214" t="s">
        <v>3</v>
      </c>
      <c r="R89" s="839" t="b">
        <f>IF(OR(Q89="Compliant",Q89="FE with work-a-round",Q89="Functionally Equivalent"),TRUE,FALSE)</f>
        <v>0</v>
      </c>
      <c r="S89" s="44"/>
      <c r="T89" s="44"/>
      <c r="U89" s="68"/>
      <c r="V89" s="4447"/>
      <c r="W89" s="4754"/>
      <c r="X89" s="44"/>
      <c r="Y89" s="44"/>
      <c r="Z89" s="122"/>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67"/>
      <c r="BP89" s="44"/>
      <c r="BQ89" s="44"/>
      <c r="BR89" s="44"/>
      <c r="BS89" s="44"/>
      <c r="BT89" s="44"/>
      <c r="BU89" s="44"/>
      <c r="BV89" s="44"/>
      <c r="BW89" s="44"/>
      <c r="BX89" s="44"/>
      <c r="BY89" s="44"/>
      <c r="BZ89" s="44"/>
      <c r="CA89" s="44"/>
      <c r="CB89" s="44"/>
      <c r="CC89" s="44"/>
      <c r="CD89" s="44"/>
      <c r="CE89" s="45"/>
    </row>
    <row r="90" spans="1:83" s="27" customFormat="1" ht="58.5" thickBot="1" x14ac:dyDescent="0.35">
      <c r="A90" s="37">
        <v>8.6999999999999993</v>
      </c>
      <c r="B90" s="1508"/>
      <c r="C90" s="1807" t="s">
        <v>1656</v>
      </c>
      <c r="D90" s="700" t="s">
        <v>3</v>
      </c>
      <c r="E90" s="78" t="b">
        <f>IF(D90="Compliant",TRUE,FALSE)</f>
        <v>0</v>
      </c>
      <c r="F90" s="79"/>
      <c r="G90" s="79" t="str">
        <f t="shared" si="9"/>
        <v/>
      </c>
      <c r="H90" s="79"/>
      <c r="I90" s="79"/>
      <c r="J90" s="79" t="str">
        <f>IF(L90&lt;&gt;"", "Not Blank", "")</f>
        <v/>
      </c>
      <c r="K90" s="79"/>
      <c r="L90" s="79"/>
      <c r="M90" s="143"/>
      <c r="N90" s="4448"/>
      <c r="O90" s="4708"/>
      <c r="P90" s="78"/>
      <c r="Q90" s="1017" t="s">
        <v>3</v>
      </c>
      <c r="R90" s="938" t="b">
        <f>IF(OR(Q90="Compliant",Q90="FE with work-a-round",Q90="Functionally Equivalent"),TRUE,FALSE)</f>
        <v>0</v>
      </c>
      <c r="S90" s="79"/>
      <c r="T90" s="79"/>
      <c r="U90" s="143"/>
      <c r="V90" s="4448"/>
      <c r="W90" s="4762"/>
      <c r="X90" s="124"/>
      <c r="Y90" s="124"/>
      <c r="Z90" s="125"/>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67"/>
      <c r="BP90" s="44"/>
      <c r="BQ90" s="44"/>
      <c r="BR90" s="44"/>
      <c r="BS90" s="44"/>
      <c r="BT90" s="44"/>
      <c r="BU90" s="44"/>
      <c r="BV90" s="44"/>
      <c r="BW90" s="44"/>
      <c r="BX90" s="44"/>
      <c r="BY90" s="44"/>
      <c r="BZ90" s="44"/>
      <c r="CA90" s="44"/>
      <c r="CB90" s="44"/>
      <c r="CC90" s="44"/>
      <c r="CD90" s="44"/>
      <c r="CE90" s="45"/>
    </row>
    <row r="91" spans="1:83" s="27" customFormat="1" ht="30" thickTop="1" thickBot="1" x14ac:dyDescent="0.35">
      <c r="A91" s="37">
        <v>9</v>
      </c>
      <c r="B91" s="1945" t="s">
        <v>447</v>
      </c>
      <c r="C91" s="1697" t="s">
        <v>448</v>
      </c>
      <c r="D91" s="1925" t="s">
        <v>565</v>
      </c>
      <c r="E91" s="1929" t="b">
        <f>IF(AND(E93=TRUE,E94=TRUE,E95=TRUE,E96=TRUE,E97=TRUE,E98=TRUE),TRUE,FALSE)</f>
        <v>0</v>
      </c>
      <c r="F91" s="1514">
        <f>COUNTIF(E93:E98,TRUE)</f>
        <v>0</v>
      </c>
      <c r="G91" s="1514">
        <f>COUNTIFS(E93:E98,TRUE,G93:G98,"Not Blank")</f>
        <v>0</v>
      </c>
      <c r="H91" s="1514">
        <f>COUNTIFS(E93:E98,FALSE,G93:G98,"Not Blank")</f>
        <v>0</v>
      </c>
      <c r="I91" s="1497" t="str">
        <f xml:space="preserve">
IF(F91&gt;6,"Too Many Entries - Check Red Lines",
IF(G91&lt;F91,"Valid Entry required below - Check Amber Line/s",
IF(AND(E91=FALSE,G91=0,H91=0),"Nothing Entered below Yet",
IF(G91&lt;F91,"Valid Entry required below - Check Amber Line/s",
IF(AND(G91=0,H91&gt;0),"**Non-Valid Entry/ies below - Check Yellow Line/s",
IF(AND(G91&gt;0,H91&gt;0),"**Valid and Non-Valid Entries made below - Check Yellow Line/s",
IF(AND(E91=FALSE,F91&lt;6),"Not all requirements addressed below - Check Pink Line/s",
IF(AND(E91=FALSE,G91&lt;6,G91&gt;0,H91=0),"More entries to come",
IF(AND(E91,TRUE,G91=6,H91=0),"Valid Entries made below"
)))))))))</f>
        <v>Nothing Entered below Yet</v>
      </c>
      <c r="J91" s="1497">
        <f>COUNTIFS(E93:E98,TRUE,J93:J98,"Not Blank")</f>
        <v>0</v>
      </c>
      <c r="K91" s="1497">
        <f>COUNTIFS(E92:E95,FALSE,J92:J95,"Not Blank")</f>
        <v>0</v>
      </c>
      <c r="L91" s="1497" t="str">
        <f xml:space="preserve">
IF(J91&gt;6,"Too Many Entries - Check Red Lines",
IF(J91&lt;F91,"Valid Entry required below - Check Amber Line/s",
IF(AND(E91=FALSE,J91=0,K91=0),"Nothing Entered below Yet",
IF(AND(J91=0,K91&gt;0),"**Non-Valid Entry/ies below - Check Yellow Line/s",
IF(AND(J91&gt;0,K91&gt;0),"**Valid and Non-Valid Entries made below - Check Yellow Line/s",
IF(AND(E91=FALSE,J91&lt;6),"Not all requirements addressed below - Check Pink Line/s",
IF(AND(E91=FALSE,J91&lt;6,J91&gt;0,K91=0),"More entries to come",
IF(AND(E91,TRUE,J91=6,K91=0),"Valid Entries made below"
))))))))</f>
        <v>Nothing Entered below Yet</v>
      </c>
      <c r="M91" s="134"/>
      <c r="N91" s="4446" t="s">
        <v>3</v>
      </c>
      <c r="O91" s="4706" t="b">
        <f>IF(OR(N91="Compliant",N91="FE with work-a-round",N91="Functionally Equivalent"),TRUE,FALSE)</f>
        <v>0</v>
      </c>
      <c r="P91" s="1381"/>
      <c r="Q91" s="1909" t="s">
        <v>565</v>
      </c>
      <c r="R91" s="942" t="b">
        <f>IF(AND(R93=TRUE,R94=TRUE,R95=TRUE,R96=TRUE,R97=TRUE,R98=TRUE),TRUE,FALSE)</f>
        <v>0</v>
      </c>
      <c r="S91" s="111"/>
      <c r="T91" s="111"/>
      <c r="U91" s="211"/>
      <c r="V91" s="4446" t="s">
        <v>3</v>
      </c>
      <c r="W91" s="4764" t="b">
        <f>IF(OR(V91="Compliant",V91="FE with work-a-round",V91="Functionally Equivalent",V91="Not Required/Applicable"),TRUE,FALSE)</f>
        <v>0</v>
      </c>
      <c r="X91" s="111"/>
      <c r="Y91" s="111"/>
      <c r="Z91" s="120"/>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67"/>
      <c r="BP91" s="44"/>
      <c r="BQ91" s="44"/>
      <c r="BR91" s="44"/>
      <c r="BS91" s="44"/>
      <c r="BT91" s="44"/>
      <c r="BU91" s="44"/>
      <c r="BV91" s="44"/>
      <c r="BW91" s="44"/>
      <c r="BX91" s="44"/>
      <c r="BY91" s="44"/>
      <c r="BZ91" s="44"/>
      <c r="CA91" s="44"/>
      <c r="CB91" s="44"/>
      <c r="CC91" s="44"/>
      <c r="CD91" s="44"/>
      <c r="CE91" s="45"/>
    </row>
    <row r="92" spans="1:83" s="27" customFormat="1" ht="29.5" thickTop="1" x14ac:dyDescent="0.3">
      <c r="A92" s="37">
        <v>9.1</v>
      </c>
      <c r="B92" s="1504" t="s">
        <v>1662</v>
      </c>
      <c r="C92" s="2258" t="s">
        <v>653</v>
      </c>
      <c r="D92" s="2259" t="s">
        <v>565</v>
      </c>
      <c r="E92" s="1940" t="b">
        <f>IF(AND(E93=TRUE,E94=TRUE),TRUE,FALSE)</f>
        <v>0</v>
      </c>
      <c r="F92" s="1517">
        <f>COUNTIF(E93:E94,TRUE)</f>
        <v>0</v>
      </c>
      <c r="G92" s="1941">
        <f>COUNTIFS(E93:E94,TRUE,G93:G94,"Not Blank")</f>
        <v>0</v>
      </c>
      <c r="H92" s="1941">
        <f>COUNTIFS(E93:E94,FALSE,G93:G94,"Not Blank")</f>
        <v>0</v>
      </c>
      <c r="I92" s="2262" t="str">
        <f xml:space="preserve">
IF(F92&gt;2,"Too Many Entries - Check Red Lines",
IF(G92&lt;F92,"Valid Entry required below - Check Amber Line/s",
IF(AND(E92=FALSE,G92=0,H92=0),"Nothing Entered below Yet",
IF(G92&lt;F92,"Valid Entry required below - Check Amber Line/s",
IF(AND(G92=0,H92&gt;0),"**Non-Valid Entry/ies below - Check Yellow Line/s",
IF(AND(G92&gt;0,H92&gt;0),"**Valid and Non-Valid Entries made below - Check Yellow Line/s",
IF(AND(E92=FALSE,F92&lt;2),"Not all requirements addressed below - Check Pink Line/s",
IF(AND(E92=FALSE,G92&lt;2,G92&gt;0,H92=0),"More entries to come",
IF(AND(E92,TRUE,G92=2,H92=0),"Valid Entries made below"
)))))))))</f>
        <v>Nothing Entered below Yet</v>
      </c>
      <c r="J92" s="2262">
        <f>COUNTIFS(E93:E94,TRUE,J93:J94,"Not Blank")</f>
        <v>0</v>
      </c>
      <c r="K92" s="2262">
        <f>COUNTIFS(E93:E94,FALSE,J93:J94,"Not Blank")</f>
        <v>0</v>
      </c>
      <c r="L92" s="2262" t="str">
        <f xml:space="preserve">
IF(J92&gt;2,"Too Many Entries - Check Red Lines",
IF(J92&lt;F92,"Valid Entry required below - Check Amber Line/s",
IF(AND(E92=FALSE,J92=0,K92=0),"Nothing Entered below Yet",
IF(AND(J92=0,K92&gt;0),"**Non-Valid Entry/ies below - Check Yellow Line/s",
IF(AND(J92&gt;0,K92&gt;0),"**Valid and Non-Valid Entries made below - Check Yellow Line/s",
IF(AND(E92=FALSE,J92&lt;2),"Not all requirements addressed below - Check Pink Line/s",
IF(AND(E92=FALSE,J92&lt;2,J92&gt;0,K92=0),"More entries to come",
IF(AND(E92,TRUE,J92=2,K92=0),"Valid Entries made below"
))))))))</f>
        <v>Nothing Entered below Yet</v>
      </c>
      <c r="M92" s="987"/>
      <c r="N92" s="4447"/>
      <c r="O92" s="4707"/>
      <c r="P92" s="2176"/>
      <c r="Q92" s="698" t="s">
        <v>565</v>
      </c>
      <c r="R92" s="749" t="b">
        <f>IF(AND(R93=TRUE,R94=TRUE),TRUE,FALSE)</f>
        <v>0</v>
      </c>
      <c r="S92" s="44"/>
      <c r="T92" s="44"/>
      <c r="U92" s="68"/>
      <c r="V92" s="4447"/>
      <c r="W92" s="4754"/>
      <c r="X92" s="44"/>
      <c r="Y92" s="44"/>
      <c r="Z92" s="122"/>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67"/>
      <c r="BP92" s="44"/>
      <c r="BQ92" s="44"/>
      <c r="BR92" s="44"/>
      <c r="BS92" s="44"/>
      <c r="BT92" s="44"/>
      <c r="BU92" s="44"/>
      <c r="BV92" s="44"/>
      <c r="BW92" s="44"/>
      <c r="BX92" s="44"/>
      <c r="BY92" s="44"/>
      <c r="BZ92" s="44"/>
      <c r="CA92" s="44"/>
      <c r="CB92" s="44"/>
      <c r="CC92" s="44"/>
      <c r="CD92" s="44"/>
      <c r="CE92" s="45"/>
    </row>
    <row r="93" spans="1:83" s="27" customFormat="1" ht="29" x14ac:dyDescent="0.3">
      <c r="A93" s="37"/>
      <c r="B93" s="1504"/>
      <c r="C93" s="1806" t="s">
        <v>1658</v>
      </c>
      <c r="D93" s="2096" t="s">
        <v>3</v>
      </c>
      <c r="E93" s="67" t="b">
        <f t="shared" ref="E93:E98" si="12">IF(D93="Compliant",TRUE,FALSE)</f>
        <v>0</v>
      </c>
      <c r="F93" s="44"/>
      <c r="G93" s="44" t="str">
        <f t="shared" ref="G93:G99" si="13">IF(I93&lt;&gt;"", "Not Blank", "")</f>
        <v/>
      </c>
      <c r="H93" s="44"/>
      <c r="I93" s="42"/>
      <c r="J93" s="42" t="str">
        <f t="shared" ref="J93:J99" si="14">IF(L93&lt;&gt;"", "Not Blank", "")</f>
        <v/>
      </c>
      <c r="K93" s="42"/>
      <c r="L93" s="42"/>
      <c r="M93" s="2177"/>
      <c r="N93" s="4447"/>
      <c r="O93" s="4707"/>
      <c r="P93" s="41"/>
      <c r="Q93" s="2214" t="s">
        <v>3</v>
      </c>
      <c r="R93" s="839" t="b">
        <f t="shared" ref="R93:R99" si="15">IF(OR(Q93="Compliant",Q93="FE with work-a-round",Q93="Functionally Equivalent"),TRUE,FALSE)</f>
        <v>0</v>
      </c>
      <c r="S93" s="44"/>
      <c r="T93" s="44"/>
      <c r="U93" s="68"/>
      <c r="V93" s="4447"/>
      <c r="W93" s="4754"/>
      <c r="X93" s="44"/>
      <c r="Y93" s="44"/>
      <c r="Z93" s="122"/>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67"/>
      <c r="BP93" s="44"/>
      <c r="BQ93" s="44"/>
      <c r="BR93" s="44"/>
      <c r="BS93" s="44"/>
      <c r="BT93" s="44"/>
      <c r="BU93" s="44"/>
      <c r="BV93" s="44"/>
      <c r="BW93" s="44"/>
      <c r="BX93" s="44"/>
      <c r="BY93" s="44"/>
      <c r="BZ93" s="44"/>
      <c r="CA93" s="44"/>
      <c r="CB93" s="44"/>
      <c r="CC93" s="44"/>
      <c r="CD93" s="44"/>
      <c r="CE93" s="45"/>
    </row>
    <row r="94" spans="1:83" s="27" customFormat="1" ht="43.5" x14ac:dyDescent="0.3">
      <c r="A94" s="37"/>
      <c r="B94" s="1504"/>
      <c r="C94" s="1717" t="s">
        <v>450</v>
      </c>
      <c r="D94" s="699" t="s">
        <v>3</v>
      </c>
      <c r="E94" s="67" t="b">
        <f t="shared" si="12"/>
        <v>0</v>
      </c>
      <c r="F94" s="44"/>
      <c r="G94" s="44" t="str">
        <f t="shared" si="13"/>
        <v/>
      </c>
      <c r="H94" s="44"/>
      <c r="I94" s="44"/>
      <c r="J94" s="44" t="str">
        <f t="shared" si="14"/>
        <v/>
      </c>
      <c r="K94" s="44"/>
      <c r="L94" s="44"/>
      <c r="M94" s="68"/>
      <c r="N94" s="4447"/>
      <c r="O94" s="4707"/>
      <c r="P94" s="67"/>
      <c r="Q94" s="1060" t="s">
        <v>3</v>
      </c>
      <c r="R94" s="839" t="b">
        <f t="shared" si="15"/>
        <v>0</v>
      </c>
      <c r="S94" s="44"/>
      <c r="T94" s="44"/>
      <c r="U94" s="68"/>
      <c r="V94" s="4447"/>
      <c r="W94" s="4754"/>
      <c r="X94" s="44"/>
      <c r="Y94" s="44"/>
      <c r="Z94" s="122"/>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67"/>
      <c r="BP94" s="44"/>
      <c r="BQ94" s="44"/>
      <c r="BR94" s="44"/>
      <c r="BS94" s="44"/>
      <c r="BT94" s="44"/>
      <c r="BU94" s="44"/>
      <c r="BV94" s="44"/>
      <c r="BW94" s="44"/>
      <c r="BX94" s="44"/>
      <c r="BY94" s="44"/>
      <c r="BZ94" s="44"/>
      <c r="CA94" s="44"/>
      <c r="CB94" s="44"/>
      <c r="CC94" s="44"/>
      <c r="CD94" s="44"/>
      <c r="CE94" s="45"/>
    </row>
    <row r="95" spans="1:83" s="27" customFormat="1" ht="29" x14ac:dyDescent="0.3">
      <c r="A95" s="37">
        <v>9.1999999999999993</v>
      </c>
      <c r="B95" s="1504"/>
      <c r="C95" s="1717" t="s">
        <v>611</v>
      </c>
      <c r="D95" s="699" t="s">
        <v>3</v>
      </c>
      <c r="E95" s="67" t="b">
        <f t="shared" si="12"/>
        <v>0</v>
      </c>
      <c r="F95" s="44"/>
      <c r="G95" s="44" t="str">
        <f t="shared" si="13"/>
        <v/>
      </c>
      <c r="H95" s="44"/>
      <c r="I95" s="44"/>
      <c r="J95" s="44" t="str">
        <f t="shared" si="14"/>
        <v/>
      </c>
      <c r="K95" s="44"/>
      <c r="L95" s="44"/>
      <c r="M95" s="68"/>
      <c r="N95" s="4447"/>
      <c r="O95" s="4707"/>
      <c r="P95" s="67"/>
      <c r="Q95" s="1060" t="s">
        <v>3</v>
      </c>
      <c r="R95" s="839" t="b">
        <f t="shared" si="15"/>
        <v>0</v>
      </c>
      <c r="S95" s="44"/>
      <c r="T95" s="44"/>
      <c r="U95" s="68"/>
      <c r="V95" s="4447"/>
      <c r="W95" s="4754"/>
      <c r="X95" s="44"/>
      <c r="Y95" s="44"/>
      <c r="Z95" s="122"/>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67"/>
      <c r="BP95" s="44"/>
      <c r="BQ95" s="44"/>
      <c r="BR95" s="44"/>
      <c r="BS95" s="44"/>
      <c r="BT95" s="44"/>
      <c r="BU95" s="44"/>
      <c r="BV95" s="44"/>
      <c r="BW95" s="44"/>
      <c r="BX95" s="44"/>
      <c r="BY95" s="44"/>
      <c r="BZ95" s="44"/>
      <c r="CA95" s="44"/>
      <c r="CB95" s="44"/>
      <c r="CC95" s="44"/>
      <c r="CD95" s="44"/>
      <c r="CE95" s="45"/>
    </row>
    <row r="96" spans="1:83" s="27" customFormat="1" ht="29" x14ac:dyDescent="0.3">
      <c r="A96" s="37">
        <v>9.3000000000000007</v>
      </c>
      <c r="B96" s="1504"/>
      <c r="C96" s="1717" t="s">
        <v>451</v>
      </c>
      <c r="D96" s="699" t="s">
        <v>3</v>
      </c>
      <c r="E96" s="67" t="b">
        <f t="shared" si="12"/>
        <v>0</v>
      </c>
      <c r="F96" s="44"/>
      <c r="G96" s="44" t="str">
        <f t="shared" si="13"/>
        <v/>
      </c>
      <c r="H96" s="44"/>
      <c r="I96" s="44"/>
      <c r="J96" s="44" t="str">
        <f t="shared" si="14"/>
        <v/>
      </c>
      <c r="K96" s="44"/>
      <c r="L96" s="44"/>
      <c r="M96" s="68"/>
      <c r="N96" s="4447"/>
      <c r="O96" s="4707"/>
      <c r="P96" s="67"/>
      <c r="Q96" s="1060" t="s">
        <v>3</v>
      </c>
      <c r="R96" s="839" t="b">
        <f t="shared" si="15"/>
        <v>0</v>
      </c>
      <c r="S96" s="44"/>
      <c r="T96" s="44"/>
      <c r="U96" s="68"/>
      <c r="V96" s="4447"/>
      <c r="W96" s="4754"/>
      <c r="X96" s="44"/>
      <c r="Y96" s="44"/>
      <c r="Z96" s="122"/>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67"/>
      <c r="BP96" s="44"/>
      <c r="BQ96" s="44"/>
      <c r="BR96" s="44"/>
      <c r="BS96" s="44"/>
      <c r="BT96" s="44"/>
      <c r="BU96" s="44"/>
      <c r="BV96" s="44"/>
      <c r="BW96" s="44"/>
      <c r="BX96" s="44"/>
      <c r="BY96" s="44"/>
      <c r="BZ96" s="44"/>
      <c r="CA96" s="44"/>
      <c r="CB96" s="44"/>
      <c r="CC96" s="44"/>
      <c r="CD96" s="44"/>
      <c r="CE96" s="45"/>
    </row>
    <row r="97" spans="1:83" s="27" customFormat="1" ht="43.5" x14ac:dyDescent="0.3">
      <c r="A97" s="37">
        <v>9.4</v>
      </c>
      <c r="B97" s="1504"/>
      <c r="C97" s="1717" t="s">
        <v>453</v>
      </c>
      <c r="D97" s="699" t="s">
        <v>3</v>
      </c>
      <c r="E97" s="67" t="b">
        <f t="shared" si="12"/>
        <v>0</v>
      </c>
      <c r="F97" s="44"/>
      <c r="G97" s="44" t="str">
        <f t="shared" si="13"/>
        <v/>
      </c>
      <c r="H97" s="44"/>
      <c r="I97" s="44"/>
      <c r="J97" s="44" t="str">
        <f t="shared" si="14"/>
        <v/>
      </c>
      <c r="K97" s="44"/>
      <c r="L97" s="44"/>
      <c r="M97" s="68"/>
      <c r="N97" s="4447"/>
      <c r="O97" s="4707"/>
      <c r="P97" s="67"/>
      <c r="Q97" s="1060" t="s">
        <v>3</v>
      </c>
      <c r="R97" s="839" t="b">
        <f t="shared" si="15"/>
        <v>0</v>
      </c>
      <c r="S97" s="44"/>
      <c r="T97" s="44"/>
      <c r="U97" s="68"/>
      <c r="V97" s="4447"/>
      <c r="W97" s="4754"/>
      <c r="X97" s="44"/>
      <c r="Y97" s="44"/>
      <c r="Z97" s="122"/>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67"/>
      <c r="BP97" s="44"/>
      <c r="BQ97" s="44"/>
      <c r="BR97" s="44"/>
      <c r="BS97" s="44"/>
      <c r="BT97" s="44"/>
      <c r="BU97" s="44"/>
      <c r="BV97" s="44"/>
      <c r="BW97" s="44"/>
      <c r="BX97" s="44"/>
      <c r="BY97" s="44"/>
      <c r="BZ97" s="44"/>
      <c r="CA97" s="44"/>
      <c r="CB97" s="44"/>
      <c r="CC97" s="44"/>
      <c r="CD97" s="44"/>
      <c r="CE97" s="45"/>
    </row>
    <row r="98" spans="1:83" s="27" customFormat="1" ht="87.5" thickBot="1" x14ac:dyDescent="0.35">
      <c r="A98" s="37">
        <v>9.5</v>
      </c>
      <c r="B98" s="1508"/>
      <c r="C98" s="1807" t="s">
        <v>454</v>
      </c>
      <c r="D98" s="1038" t="s">
        <v>3</v>
      </c>
      <c r="E98" s="78" t="b">
        <f t="shared" si="12"/>
        <v>0</v>
      </c>
      <c r="F98" s="79"/>
      <c r="G98" s="79" t="str">
        <f t="shared" si="13"/>
        <v/>
      </c>
      <c r="H98" s="79"/>
      <c r="I98" s="79"/>
      <c r="J98" s="79" t="str">
        <f t="shared" si="14"/>
        <v/>
      </c>
      <c r="K98" s="79"/>
      <c r="L98" s="79"/>
      <c r="M98" s="143"/>
      <c r="N98" s="4448"/>
      <c r="O98" s="4708"/>
      <c r="P98" s="78"/>
      <c r="Q98" s="1862" t="s">
        <v>3</v>
      </c>
      <c r="R98" s="943" t="b">
        <f t="shared" si="15"/>
        <v>0</v>
      </c>
      <c r="S98" s="79"/>
      <c r="T98" s="79"/>
      <c r="U98" s="143"/>
      <c r="V98" s="4448"/>
      <c r="W98" s="4762"/>
      <c r="X98" s="124"/>
      <c r="Y98" s="124"/>
      <c r="Z98" s="125"/>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67"/>
      <c r="BP98" s="44"/>
      <c r="BQ98" s="44"/>
      <c r="BR98" s="44"/>
      <c r="BS98" s="44"/>
      <c r="BT98" s="44"/>
      <c r="BU98" s="44"/>
      <c r="BV98" s="44"/>
      <c r="BW98" s="44"/>
      <c r="BX98" s="44"/>
      <c r="BY98" s="44"/>
      <c r="BZ98" s="44"/>
      <c r="CA98" s="44"/>
      <c r="CB98" s="44"/>
      <c r="CC98" s="44"/>
      <c r="CD98" s="44"/>
      <c r="CE98" s="45"/>
    </row>
    <row r="99" spans="1:83" s="27" customFormat="1" ht="44.5" thickTop="1" thickBot="1" x14ac:dyDescent="0.35">
      <c r="A99" s="37">
        <v>10</v>
      </c>
      <c r="B99" s="1808" t="s">
        <v>456</v>
      </c>
      <c r="C99" s="1809" t="s">
        <v>457</v>
      </c>
      <c r="D99" s="876" t="s">
        <v>3</v>
      </c>
      <c r="E99" s="231" t="b">
        <f>IF(D99="Compliant",TRUE,FALSE)</f>
        <v>0</v>
      </c>
      <c r="F99" s="133">
        <f>COUNTIF(E99,TRUE)</f>
        <v>0</v>
      </c>
      <c r="G99" s="133" t="str">
        <f t="shared" si="13"/>
        <v/>
      </c>
      <c r="H99" s="133"/>
      <c r="I99" s="133"/>
      <c r="J99" s="133" t="str">
        <f t="shared" si="14"/>
        <v/>
      </c>
      <c r="K99" s="133"/>
      <c r="L99" s="133"/>
      <c r="M99" s="579"/>
      <c r="N99" s="1376" t="s">
        <v>3</v>
      </c>
      <c r="O99" s="946" t="b">
        <f>IF(OR(N99="Compliant",N99="FE with work-a-round",N99="Functionally Equivalent"),TRUE,FALSE)</f>
        <v>0</v>
      </c>
      <c r="P99" s="134"/>
      <c r="Q99" s="1188" t="s">
        <v>3</v>
      </c>
      <c r="R99" s="573" t="b">
        <f t="shared" si="15"/>
        <v>0</v>
      </c>
      <c r="S99" s="133"/>
      <c r="T99" s="133"/>
      <c r="U99" s="134"/>
      <c r="V99" s="1188" t="s">
        <v>3</v>
      </c>
      <c r="W99" s="947" t="b">
        <f>IF(OR(V99="Compliant",V99="FE with work-a-round",V99="Functionally Equivalent",V99="Not Required/Applicable"),TRUE,FALSE)</f>
        <v>0</v>
      </c>
      <c r="X99" s="133"/>
      <c r="Y99" s="133"/>
      <c r="Z99" s="134"/>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67"/>
      <c r="BP99" s="44"/>
      <c r="BQ99" s="44"/>
      <c r="BR99" s="44"/>
      <c r="BS99" s="44"/>
      <c r="BT99" s="44"/>
      <c r="BU99" s="44"/>
      <c r="BV99" s="44"/>
      <c r="BW99" s="44"/>
      <c r="BX99" s="44"/>
      <c r="BY99" s="44"/>
      <c r="BZ99" s="44"/>
      <c r="CA99" s="44"/>
      <c r="CB99" s="44"/>
      <c r="CC99" s="44"/>
      <c r="CD99" s="44"/>
      <c r="CE99" s="45"/>
    </row>
    <row r="100" spans="1:83" s="3668" customFormat="1" ht="15" thickTop="1" x14ac:dyDescent="0.3">
      <c r="A100" s="3651"/>
      <c r="B100" s="3634"/>
      <c r="C100" s="3634"/>
      <c r="D100" s="3634"/>
      <c r="E100" s="3636"/>
      <c r="F100" s="3636"/>
      <c r="G100" s="3662"/>
      <c r="H100" s="3663"/>
      <c r="I100" s="3664"/>
      <c r="J100" s="3643"/>
      <c r="K100" s="3643"/>
      <c r="L100" s="3634"/>
      <c r="M100" s="3634"/>
      <c r="N100" s="3641"/>
      <c r="O100" s="3641"/>
      <c r="P100" s="3634"/>
      <c r="Q100" s="3634"/>
      <c r="R100" s="3634"/>
      <c r="S100" s="3634"/>
      <c r="T100" s="3634"/>
      <c r="U100" s="3634"/>
      <c r="V100" s="3639"/>
      <c r="W100" s="3634"/>
      <c r="X100" s="3634"/>
      <c r="Y100" s="3634"/>
      <c r="Z100" s="3634"/>
      <c r="AA100" s="3634"/>
      <c r="AB100" s="3634"/>
      <c r="AC100" s="3634"/>
      <c r="AD100" s="3634"/>
      <c r="AE100" s="3634"/>
      <c r="AF100" s="3634"/>
      <c r="AG100" s="3634"/>
      <c r="AH100" s="3634"/>
      <c r="AI100" s="3634"/>
      <c r="AJ100" s="3634"/>
      <c r="AK100" s="3634"/>
      <c r="AL100" s="3634"/>
      <c r="AM100" s="3634"/>
      <c r="AN100" s="3634"/>
      <c r="AO100" s="3634"/>
      <c r="AP100" s="3634"/>
      <c r="AQ100" s="3634"/>
      <c r="AR100" s="3634"/>
      <c r="AS100" s="3634"/>
      <c r="AT100" s="3634"/>
      <c r="AU100" s="3634"/>
      <c r="AV100" s="3634"/>
      <c r="AW100" s="3634"/>
      <c r="AX100" s="3634"/>
      <c r="AY100" s="3634"/>
      <c r="AZ100" s="3634"/>
      <c r="BA100" s="3634"/>
      <c r="BB100" s="3634"/>
      <c r="BC100" s="3634"/>
      <c r="BD100" s="3634"/>
      <c r="BE100" s="3634"/>
      <c r="BF100" s="3634"/>
      <c r="BG100" s="3634"/>
      <c r="BH100" s="3634"/>
      <c r="BI100" s="3634"/>
      <c r="BJ100" s="3634"/>
      <c r="BK100" s="3634"/>
      <c r="BL100" s="3634"/>
      <c r="BM100" s="3634"/>
      <c r="BN100" s="3634"/>
      <c r="BO100" s="3634"/>
      <c r="BP100" s="3634"/>
      <c r="BQ100" s="3634"/>
      <c r="BR100" s="3634"/>
      <c r="BS100" s="3634"/>
      <c r="BT100" s="3634"/>
      <c r="BU100" s="3634"/>
      <c r="BV100" s="3634"/>
      <c r="BW100" s="3634"/>
      <c r="BX100" s="3634"/>
      <c r="BY100" s="3634"/>
      <c r="BZ100" s="3634"/>
      <c r="CA100" s="3634"/>
      <c r="CB100" s="3634"/>
      <c r="CC100" s="3634"/>
      <c r="CD100" s="3634"/>
      <c r="CE100" s="3634"/>
    </row>
    <row r="101" spans="1:83" s="3640" customFormat="1" ht="18.5" x14ac:dyDescent="0.3">
      <c r="A101" s="4482" t="s">
        <v>1139</v>
      </c>
      <c r="B101" s="4483"/>
      <c r="C101" s="4483"/>
      <c r="D101" s="4483"/>
      <c r="E101" s="4483"/>
      <c r="F101" s="4483"/>
      <c r="G101" s="4483"/>
      <c r="H101" s="4483"/>
      <c r="I101" s="4483"/>
      <c r="J101" s="4483"/>
      <c r="K101" s="4483"/>
      <c r="L101" s="4483"/>
      <c r="M101" s="4483"/>
      <c r="N101" s="4483"/>
      <c r="O101" s="3669"/>
      <c r="P101" s="3670"/>
      <c r="Q101" s="3670"/>
      <c r="R101" s="3670"/>
      <c r="S101" s="3671"/>
      <c r="T101" s="3672"/>
      <c r="U101" s="3672"/>
      <c r="V101" s="3673"/>
      <c r="W101" s="3674"/>
      <c r="X101" s="3675"/>
      <c r="Y101" s="3676"/>
      <c r="Z101" s="3775"/>
    </row>
    <row r="102" spans="1:83" s="3678" customFormat="1" ht="15" thickBot="1" x14ac:dyDescent="0.35">
      <c r="A102" s="3634"/>
      <c r="B102" s="3638"/>
      <c r="C102" s="3638"/>
      <c r="D102" s="3638"/>
      <c r="E102" s="3637"/>
      <c r="F102" s="3637"/>
      <c r="G102" s="3736"/>
      <c r="H102" s="3737"/>
      <c r="I102" s="3638"/>
      <c r="J102" s="3738"/>
      <c r="K102" s="3738"/>
      <c r="L102" s="3638"/>
      <c r="M102" s="3638"/>
      <c r="N102" s="3641"/>
      <c r="O102" s="3714"/>
      <c r="P102" s="3638"/>
      <c r="Q102" s="3638"/>
      <c r="R102" s="3638"/>
      <c r="S102" s="3638"/>
      <c r="T102" s="3638"/>
      <c r="U102" s="3638"/>
      <c r="V102" s="3642"/>
      <c r="W102" s="3634"/>
      <c r="X102" s="3634"/>
      <c r="Y102" s="3634"/>
      <c r="Z102" s="3634"/>
      <c r="AA102" s="3634"/>
      <c r="AB102" s="3634"/>
      <c r="AC102" s="3634"/>
      <c r="AD102" s="3634"/>
      <c r="AE102" s="3634"/>
      <c r="AF102" s="3634"/>
      <c r="AG102" s="3634"/>
      <c r="AH102" s="3634"/>
      <c r="AI102" s="3634"/>
      <c r="AJ102" s="3634"/>
      <c r="AK102" s="3634"/>
      <c r="AL102" s="3634"/>
      <c r="AM102" s="3634"/>
      <c r="AN102" s="3634"/>
      <c r="AO102" s="3634"/>
      <c r="AP102" s="3634"/>
      <c r="AQ102" s="3634"/>
      <c r="AR102" s="3634"/>
      <c r="AS102" s="3634"/>
      <c r="AT102" s="3634"/>
      <c r="AU102" s="3634"/>
      <c r="AV102" s="3634"/>
      <c r="AW102" s="3634"/>
      <c r="AX102" s="3634"/>
      <c r="AY102" s="3634"/>
      <c r="AZ102" s="3634"/>
      <c r="BA102" s="3634"/>
      <c r="BB102" s="3634"/>
      <c r="BC102" s="3634"/>
      <c r="BD102" s="3634"/>
      <c r="BE102" s="3634"/>
      <c r="BF102" s="3634"/>
      <c r="BG102" s="3634"/>
      <c r="BH102" s="3634"/>
      <c r="BI102" s="3634"/>
      <c r="BJ102" s="3634"/>
      <c r="BK102" s="3634"/>
      <c r="BL102" s="3634"/>
      <c r="BM102" s="3634"/>
      <c r="BN102" s="3634"/>
      <c r="BO102" s="3634"/>
      <c r="BP102" s="3634"/>
      <c r="BQ102" s="3634"/>
      <c r="BR102" s="3634"/>
      <c r="BS102" s="3634"/>
      <c r="BT102" s="3634"/>
      <c r="BU102" s="3634"/>
      <c r="BV102" s="3634"/>
      <c r="BW102" s="3634"/>
      <c r="BX102" s="3634"/>
      <c r="BY102" s="3634"/>
      <c r="BZ102" s="3634"/>
      <c r="CA102" s="3634"/>
      <c r="CB102" s="3634"/>
      <c r="CC102" s="3634"/>
      <c r="CD102" s="3634"/>
      <c r="CE102" s="3634"/>
    </row>
    <row r="103" spans="1:83" s="28" customFormat="1" ht="30" thickTop="1" thickBot="1" x14ac:dyDescent="0.35">
      <c r="A103" s="97">
        <v>11</v>
      </c>
      <c r="B103" s="2310" t="s">
        <v>769</v>
      </c>
      <c r="C103" s="1836" t="s">
        <v>565</v>
      </c>
      <c r="D103" s="1925" t="s">
        <v>565</v>
      </c>
      <c r="E103" s="1942" t="b">
        <f>IF(AND(E104=TRUE,E108=TRUE),TRUE,FALSE)</f>
        <v>0</v>
      </c>
      <c r="F103" s="1849">
        <f>SUM(F104,F108)</f>
        <v>0</v>
      </c>
      <c r="G103" s="1849">
        <f>SUM(G104,G108)</f>
        <v>0</v>
      </c>
      <c r="H103" s="1849">
        <f>SUM(H104,H108)</f>
        <v>0</v>
      </c>
      <c r="I103" s="1849" t="str">
        <f xml:space="preserve">
IF(F103&gt;49,"Too Many Entries - Check Red Lines",
IF(AND(E103=FALSE,G103=0,H103=0),"Nothing Entered below Yet",
IF(AND(G103=0,H103&gt;0),"**Non-Valid Entry/ies below - Check Yellow Line/s",
IF(G103&lt;F103,"Valid Entry required below - Check Amber box",
IF(AND(G103&gt;0,H103&gt;0),"**Valid and Non-Valid Entries made below - Check Yellow Line/s",
IF(AND(E103=FALSE,F103&lt;49),"Not all requirements addressed below - Check Pink Line/s",
IF(AND(E103=FALSE,G103&lt;49,G103&gt;0,H103=0),"More entries to come",
IF(AND(E103,TRUE,G103=49,H103=0),"Valid Entries made below"
))))))))</f>
        <v>Nothing Entered below Yet</v>
      </c>
      <c r="J103" s="1849">
        <f>SUM(J104,J108)</f>
        <v>0</v>
      </c>
      <c r="K103" s="1849">
        <f>SUM(K104,K108)</f>
        <v>0</v>
      </c>
      <c r="L103" s="1849" t="str">
        <f xml:space="preserve">
IF(J103&gt;49,"Too Many Entries - Check Red Lines",
IF(AND(E103=FALSE,J103=0,K103=0,E103=TRUE),"Nothing Required Below",
IF(J103&lt;F103,"Valid Entry required below - Check Amber Line/s",
IF(AND(E103=FALSE,J103=0,K103=0),"Nothing Entered below Yet",
IF(AND(J103=0,K103&gt;0),"**Non-Valid Entry/ies below - Check Yellow Line/s",
IF(AND(J103&gt;0,K103&gt;0),"**Valid and Non-Valid Entries made below - Check Yellow Line/s",
IF(AND(E103=FALSE,J103&lt;49),"Not all requirements addressed below - Check Pink Line/s",
IF(AND(E103=FALSE,J103&lt;49,J103&gt;0,K103=0),"More entries to come",
IF(AND(E103,TRUE,J103=49,K103=0),"Valid Entries made below"
)))))))))</f>
        <v>Nothing Entered below Yet</v>
      </c>
      <c r="M103" s="597"/>
      <c r="N103" s="698" t="s">
        <v>565</v>
      </c>
      <c r="O103" s="66" t="b">
        <f>IF(AND(O104=TRUE,O108=TRUE),TRUE,FALSE)</f>
        <v>0</v>
      </c>
      <c r="P103" s="229"/>
      <c r="Q103" s="1197" t="s">
        <v>565</v>
      </c>
      <c r="R103" s="734" t="b">
        <f>IF(AND(R104=TRUE,R108=TRUE),TRUE,FALSE)</f>
        <v>0</v>
      </c>
      <c r="S103" s="111"/>
      <c r="T103" s="111"/>
      <c r="U103" s="120"/>
      <c r="V103" s="698" t="s">
        <v>565</v>
      </c>
      <c r="W103" s="530" t="b">
        <f>IF(AND(W104=TRUE,W108=TRUE),TRUE,FALSE)</f>
        <v>0</v>
      </c>
      <c r="X103" s="133"/>
      <c r="Y103" s="133"/>
      <c r="Z103" s="134"/>
      <c r="AV103" s="67"/>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68"/>
    </row>
    <row r="104" spans="1:83" s="27" customFormat="1" ht="29.5" thickTop="1" x14ac:dyDescent="0.3">
      <c r="A104" s="15">
        <v>8.5</v>
      </c>
      <c r="B104" s="1810" t="s">
        <v>1557</v>
      </c>
      <c r="C104" s="2309" t="s">
        <v>991</v>
      </c>
      <c r="D104" s="2149" t="s">
        <v>1588</v>
      </c>
      <c r="E104" s="1937" t="b">
        <f>IF(AND(E105=TRUE,E106=TRUE,E107=TRUE),TRUE,FALSE)</f>
        <v>0</v>
      </c>
      <c r="F104" s="1934">
        <f>COUNTIF(E105:E107,TRUE)</f>
        <v>0</v>
      </c>
      <c r="G104" s="1943">
        <f>COUNTIFS(E105:E107,TRUE,G105:G107,"Not Blank")</f>
        <v>0</v>
      </c>
      <c r="H104" s="1944">
        <f>COUNTIFS(E105:E107,FALSE,G105:G107,"Not Blank")</f>
        <v>0</v>
      </c>
      <c r="I104" s="2255" t="str">
        <f xml:space="preserve">
IF(F104&gt;3,"Too Many Entries - Check Red Lines",
IF(G104&lt;F104,"Valid Entry required below - Check Amber Line/s",
IF(AND(E104=FALSE,G104=0,H104=0),"Nothing Entered below Yet",
IF(G104&lt;F104,"Valid Entry required below - Check Amber Line/s",
IF(AND(G104=0,H104&gt;0),"**Non-Valid Entry/ies below - Check Yellow Line/s",
IF(AND(G104&gt;0,H104&gt;0),"**Valid and Non-Valid Entries made below - Check Yellow Line/s",
IF(AND(E104=FALSE,F104&lt;3),"Not all requirements addressed below - Check Pink Line/s",
IF(AND(E104=FALSE,G104&lt;3,G104&gt;0,H104=0),"More entries to come",
IF(AND(E104,TRUE,G104=3,H104=0),"Valid Entries made below"
)))))))))</f>
        <v>Nothing Entered below Yet</v>
      </c>
      <c r="J104" s="2256">
        <f>COUNTIFS(E105:E107,TRUE,J105:J107,"Not Blank")</f>
        <v>0</v>
      </c>
      <c r="K104" s="2256">
        <f>COUNTIFS(E105:E107,FALSE,J105:J107,"Not Blank")</f>
        <v>0</v>
      </c>
      <c r="L104" s="2255" t="str">
        <f xml:space="preserve">
IF(J104&gt;3,"Too Many Entries - Check Red Lines",
IF(J104&lt;F104,"Valid Entry required below - Check Amber Line/s",
IF(AND(E104=FALSE,J104=0,K104=0),"Nothing Entered below Yet",
IF(AND(J104=0,K104&gt;0),"**Non-Valid Entry/ies below - Check Yellow Line/s",
IF(AND(J104&gt;0,K104&gt;0),"**Valid and Non-Valid Entries made below - Check Yellow Line/s",
IF(AND(E104=FALSE,J104&lt;3),"Not all requirements addressed below - Check Pink Line/s",
IF(AND(E104=FALSE,J104&lt;3,J104&gt;0,K104=0),"More entries to come",
IF(AND(E104,TRUE,J104=3,K104=0),"Valid Entries made below"
))))))))</f>
        <v>Nothing Entered below Yet</v>
      </c>
      <c r="M104" s="2158"/>
      <c r="N104" s="4446" t="s">
        <v>3</v>
      </c>
      <c r="O104" s="4706" t="b">
        <f>IF(OR(N104="Compliant",N104="FE with work-a-round",N104="Functionally Equivalent"),TRUE,FALSE)</f>
        <v>0</v>
      </c>
      <c r="P104" s="2176"/>
      <c r="Q104" s="2178" t="s">
        <v>565</v>
      </c>
      <c r="R104" s="749" t="b">
        <f>IF(AND(R105=TRUE,R106=TRUE,R107=TRUE),TRUE,FALSE)</f>
        <v>0</v>
      </c>
      <c r="S104" s="111"/>
      <c r="T104" s="111"/>
      <c r="U104" s="211"/>
      <c r="V104" s="4446" t="s">
        <v>3</v>
      </c>
      <c r="W104" s="4752" t="b">
        <f>IF(OR(V104="Compliant",V104="FE with work-a-round",V104="Functionally Equivalent",V104="Not Required/Applicable"),TRUE,FALSE)</f>
        <v>0</v>
      </c>
      <c r="X104" s="111"/>
      <c r="Y104" s="111"/>
      <c r="Z104" s="120"/>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40"/>
    </row>
    <row r="105" spans="1:83" s="27" customFormat="1" ht="29" x14ac:dyDescent="0.3">
      <c r="A105" s="15" t="s">
        <v>1110</v>
      </c>
      <c r="B105" s="1504"/>
      <c r="C105" s="1806" t="s">
        <v>1001</v>
      </c>
      <c r="D105" s="2096" t="s">
        <v>3</v>
      </c>
      <c r="E105" s="594" t="b">
        <f>IF(D105="Compliant",TRUE,FALSE)</f>
        <v>0</v>
      </c>
      <c r="F105" s="361"/>
      <c r="G105" s="381" t="str">
        <f>IF(I105&lt;&gt;"", "Not Blank", "")</f>
        <v/>
      </c>
      <c r="H105" s="380"/>
      <c r="I105" s="42"/>
      <c r="J105" s="391" t="str">
        <f>IF(L105&lt;&gt;"", "Not Blank", "")</f>
        <v/>
      </c>
      <c r="K105" s="391"/>
      <c r="L105" s="42"/>
      <c r="M105" s="144"/>
      <c r="N105" s="4447"/>
      <c r="O105" s="4707"/>
      <c r="P105" s="41"/>
      <c r="Q105" s="1863" t="s">
        <v>3</v>
      </c>
      <c r="R105" s="839" t="b">
        <f>IF(OR(Q105="Compliant",Q105="FE with work-a-round",Q105="Functionally Equivalent"),TRUE,FALSE)</f>
        <v>0</v>
      </c>
      <c r="S105" s="44"/>
      <c r="T105" s="44"/>
      <c r="U105" s="68"/>
      <c r="V105" s="4447"/>
      <c r="W105" s="4753"/>
      <c r="X105" s="44"/>
      <c r="Y105" s="44"/>
      <c r="Z105" s="122"/>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40"/>
    </row>
    <row r="106" spans="1:83" s="38" customFormat="1" ht="72.5" x14ac:dyDescent="0.3">
      <c r="A106" s="28"/>
      <c r="B106" s="1504"/>
      <c r="C106" s="1717" t="s">
        <v>1244</v>
      </c>
      <c r="D106" s="699" t="s">
        <v>3</v>
      </c>
      <c r="E106" s="594" t="b">
        <f>IF(D106="Compliant",TRUE,FALSE)</f>
        <v>0</v>
      </c>
      <c r="F106" s="361"/>
      <c r="G106" s="381" t="str">
        <f>IF(I106&lt;&gt;"", "Not Blank", "")</f>
        <v/>
      </c>
      <c r="H106" s="380"/>
      <c r="I106" s="44"/>
      <c r="J106" s="216" t="str">
        <f>IF(L106&lt;&gt;"", "Not Blank", "")</f>
        <v/>
      </c>
      <c r="K106" s="216"/>
      <c r="L106" s="44"/>
      <c r="M106" s="68"/>
      <c r="N106" s="4447"/>
      <c r="O106" s="4707"/>
      <c r="P106" s="67"/>
      <c r="Q106" s="1060" t="s">
        <v>3</v>
      </c>
      <c r="R106" s="839" t="b">
        <f>IF(OR(Q106="Compliant",Q106="FE with work-a-round",Q106="Functionally Equivalent"),TRUE,FALSE)</f>
        <v>0</v>
      </c>
      <c r="S106" s="44"/>
      <c r="T106" s="44"/>
      <c r="U106" s="68"/>
      <c r="V106" s="4447"/>
      <c r="W106" s="4753"/>
      <c r="X106" s="44"/>
      <c r="Y106" s="44"/>
      <c r="Z106" s="122"/>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40"/>
    </row>
    <row r="107" spans="1:83" s="131" customFormat="1" ht="203.5" thickBot="1" x14ac:dyDescent="0.35">
      <c r="A107" s="17" t="s">
        <v>1107</v>
      </c>
      <c r="B107" s="1504"/>
      <c r="C107" s="1807" t="s">
        <v>1847</v>
      </c>
      <c r="D107" s="700" t="s">
        <v>3</v>
      </c>
      <c r="E107" s="208" t="b">
        <f>IF(D107="Compliant",TRUE,FALSE)</f>
        <v>0</v>
      </c>
      <c r="F107" s="387"/>
      <c r="G107" s="403" t="str">
        <f>IF(I107&lt;&gt;"", "Not Blank", "")</f>
        <v/>
      </c>
      <c r="H107" s="79"/>
      <c r="I107" s="79"/>
      <c r="J107" s="79" t="str">
        <f>IF(L107&lt;&gt;"", "Not Blank", "")</f>
        <v/>
      </c>
      <c r="K107" s="79"/>
      <c r="L107" s="79"/>
      <c r="M107" s="143"/>
      <c r="N107" s="4448"/>
      <c r="O107" s="4707"/>
      <c r="P107" s="3796"/>
      <c r="Q107" s="3616" t="s">
        <v>3</v>
      </c>
      <c r="R107" s="1293" t="b">
        <f>IF(OR(Q107="Compliant",Q107="FE with work-a-round",Q107="Functionally Equivalent"),TRUE,FALSE)</f>
        <v>0</v>
      </c>
      <c r="S107" s="2651"/>
      <c r="T107" s="2651"/>
      <c r="U107" s="2652"/>
      <c r="V107" s="4448"/>
      <c r="W107" s="4753"/>
      <c r="X107" s="1577"/>
      <c r="Y107" s="1577"/>
      <c r="Z107" s="1578"/>
    </row>
    <row r="108" spans="1:83" s="413" customFormat="1" ht="47" thickTop="1" x14ac:dyDescent="0.3">
      <c r="A108" s="19"/>
      <c r="B108" s="1504" t="s">
        <v>1657</v>
      </c>
      <c r="C108" s="2251" t="s">
        <v>1186</v>
      </c>
      <c r="D108" s="2149" t="s">
        <v>565</v>
      </c>
      <c r="E108" s="1937" t="b">
        <f>IF(AND(E109=TRUE,E110=TRUE,E111=TRUE,E112=TRUE,E113=TRUE,E114=TRUE,E115=TRUE,E116=TRUE,E117=TRUE,E118=TRUE,E119=TRUE,E120=TRUE,E121=TRUE,E122=TRUE,E123=TRUE,E124=TRUE,E125=TRUE,E126=TRUE,E127=TRUE,E128=TRUE,E129=TRUE,E130=TRUE,E131=TRUE,E132=TRUE,E133=TRUE,E134=TRUE,E135=TRUE,E136=TRUE,E137=TRUE,E138=TRUE,E139=TRUE,E140=TRUE,E141=TRUE,E142=TRUE,E143=TRUE,E144=TRUE,E145=TRUE,E146=TRUE,E147=TRUE,E148=TRUE,E149=TRUE,E150=TRUE,E151=TRUE,E152=TRUE,E153=TRUE,E154=TRUE),TRUE,FALSE)</f>
        <v>0</v>
      </c>
      <c r="F108" s="1934">
        <f>COUNTIF(E109:E154,TRUE)</f>
        <v>0</v>
      </c>
      <c r="G108" s="1944">
        <f>COUNTIFS(E109:E154,TRUE,G109:G154,"Not Blank")</f>
        <v>0</v>
      </c>
      <c r="H108" s="1944">
        <f>COUNTIFS(E109:E154,FALSE,G109:G154,"Not Blank")</f>
        <v>0</v>
      </c>
      <c r="I108" s="4205" t="str">
        <f xml:space="preserve">
IF(F108&gt;46,"Too Many Entries - Check Red Lines",
IF(G108&lt;F108,"Valid Entry required below - Check Amber Line/s",
IF(AND(E108=FALSE,G108=0,H108=0),"Nothing Entered below Yet",
IF(G108&lt;F108,"Valid Entry required below - Check Amber Line/s",
IF(AND(G108=0,H108&gt;0),"**Non-Valid Entry/ies below - Check Yellow Line/s",
IF(AND(G108&gt;0,H108&gt;0),"**Valid and Non-Valid Entries made below - Check Yellow Line/s",
IF(AND(E108=FALSE,F108&lt;46),"Not all requirements addressed below - Check Pink Line/s",
IF(AND(E108=FALSE,G108&lt;46,G108&gt;0,H108=0),"More entries to come",
IF(AND(E108,TRUE,G108=46,H108=0),"Valid Entries made below"
)))))))))</f>
        <v>Nothing Entered below Yet</v>
      </c>
      <c r="J108" s="4206">
        <f>COUNTIFS(E109:E154,TRUE,J109:J154,"Not Blank")</f>
        <v>0</v>
      </c>
      <c r="K108" s="4206">
        <f>COUNTIFS(E109:E154,FALSE,J109:J154,"Not Blank")</f>
        <v>0</v>
      </c>
      <c r="L108" s="4205" t="str">
        <f xml:space="preserve">
IF(J108&gt;46,"Too Many Entries - Check Red Lines",
IF(J108&lt;F108,"Valid Entry required below - Check Amber Line/s",
IF(AND(E108=FALSE,J108=0,K108=0),"Nothing Entered below Yet",
IF(AND(J108=0,K108&gt;0),"**Non-Valid Entry/ies below - Check Yellow Line/s",
IF(AND(J108&gt;0,K108&gt;0),"**Valid and Non-Valid Entries made below - Check Yellow Line/s",
IF(AND(E108=FALSE,J108&lt;46),"Not all requirements addressed below - Check Pink Line/s",
IF(AND(E108=FALSE,J108&lt;46,J108&gt;0,K108=0),"More entries to come",
IF(AND(E108,TRUE,J108=46,K108=0),"Valid Entries made below"
))))))))</f>
        <v>Nothing Entered below Yet</v>
      </c>
      <c r="M108" s="2176"/>
      <c r="N108" s="4446" t="s">
        <v>3</v>
      </c>
      <c r="O108" s="4706" t="b">
        <f>IF(OR(N108="Compliant",N108="FE with work-a-round",N108="Functionally Equivalent"),TRUE,FALSE)</f>
        <v>0</v>
      </c>
      <c r="P108" s="2691"/>
      <c r="Q108" s="4175" t="s">
        <v>565</v>
      </c>
      <c r="R108" s="1373" t="b">
        <f>IF(AND(R109=TRUE,R110=TRUE,R111=TRUE,R112=TRUE,R113=TRUE,R114=TRUE,R115=TRUE,R116=TRUE,R117=TRUE,R118=TRUE,R119=TRUE,R120=TRUE,R121=TRUE,R122=TRUE,R123=TRUE,R124=TRUE,R125=TRUE,R126=TRUE,R127=TRUE,R128=TRUE,R129=TRUE,R130=TRUE,R131=TRUE,R132=TRUE,R133=TRUE,R134=TRUE,R135=TRUE,R136=TRUE,R137=TRUE,R138=TRUE,R139=TRUE,R140=TRUE,R141=TRUE,R142=TRUE,R143=TRUE,R144=TRUE,R145=TRUE,R146=TRUE,R147=TRUE,R148=TRUE,R149=TRUE,R150=TRUE,R151=TRUE,R152=TRUE,R153=TRUE,R154=TRUE),TRUE,FALSE)</f>
        <v>0</v>
      </c>
      <c r="S108" s="1452"/>
      <c r="T108" s="1452"/>
      <c r="U108" s="1580"/>
      <c r="V108" s="4446" t="s">
        <v>3</v>
      </c>
      <c r="W108" s="4752" t="b">
        <f>IF(OR(V108="Compliant",V108="FE with work-a-round",V108="Functionally Equivalent",V108="Not Required/Applicable"),TRUE,FALSE)</f>
        <v>0</v>
      </c>
      <c r="X108" s="1452"/>
      <c r="Y108" s="1452"/>
      <c r="Z108" s="1450"/>
    </row>
    <row r="109" spans="1:83" s="413" customFormat="1" ht="29" x14ac:dyDescent="0.3">
      <c r="A109" s="19"/>
      <c r="B109" s="1504"/>
      <c r="C109" s="2167" t="s">
        <v>91</v>
      </c>
      <c r="D109" s="2096" t="s">
        <v>3</v>
      </c>
      <c r="E109" s="594" t="b">
        <f t="shared" ref="E109:E154" si="16">IF(D109="Compliant",TRUE,FALSE)</f>
        <v>0</v>
      </c>
      <c r="F109" s="361"/>
      <c r="G109" s="380" t="str">
        <f t="shared" ref="G109:G116" si="17">IF(I109&lt;&gt;"", "Not Blank", "")</f>
        <v/>
      </c>
      <c r="H109" s="380"/>
      <c r="I109" s="42"/>
      <c r="J109" s="391" t="str">
        <f t="shared" ref="J109:J154" si="18">IF(L109&lt;&gt;"", "Not Blank", "")</f>
        <v/>
      </c>
      <c r="K109" s="391"/>
      <c r="L109" s="42"/>
      <c r="M109" s="144"/>
      <c r="N109" s="4447"/>
      <c r="O109" s="4707"/>
      <c r="P109" s="2692"/>
      <c r="Q109" s="1863" t="s">
        <v>3</v>
      </c>
      <c r="R109" s="574" t="b">
        <f t="shared" ref="R109:R154" si="19">IF(OR(Q109="Compliant",Q109="FE with work-a-round",Q109="Functionally Equivalent"),TRUE,FALSE)</f>
        <v>0</v>
      </c>
      <c r="S109" s="1455"/>
      <c r="T109" s="1455"/>
      <c r="U109" s="1583"/>
      <c r="V109" s="4447"/>
      <c r="W109" s="4753"/>
      <c r="X109" s="1455"/>
      <c r="Y109" s="1455"/>
      <c r="Z109" s="1454"/>
    </row>
    <row r="110" spans="1:83" s="413" customFormat="1" ht="29" x14ac:dyDescent="0.3">
      <c r="A110" s="19"/>
      <c r="B110" s="1504"/>
      <c r="C110" s="1717" t="s">
        <v>92</v>
      </c>
      <c r="D110" s="699" t="s">
        <v>3</v>
      </c>
      <c r="E110" s="594" t="b">
        <f t="shared" si="16"/>
        <v>0</v>
      </c>
      <c r="F110" s="361"/>
      <c r="G110" s="380" t="str">
        <f t="shared" si="17"/>
        <v/>
      </c>
      <c r="H110" s="380"/>
      <c r="I110" s="44"/>
      <c r="J110" s="216" t="str">
        <f t="shared" si="18"/>
        <v/>
      </c>
      <c r="K110" s="216"/>
      <c r="L110" s="44"/>
      <c r="M110" s="68"/>
      <c r="N110" s="4447"/>
      <c r="O110" s="4707"/>
      <c r="P110" s="1584"/>
      <c r="Q110" s="1060" t="s">
        <v>3</v>
      </c>
      <c r="R110" s="574" t="b">
        <f t="shared" si="19"/>
        <v>0</v>
      </c>
      <c r="S110" s="1455"/>
      <c r="T110" s="1455"/>
      <c r="U110" s="1583"/>
      <c r="V110" s="4447"/>
      <c r="W110" s="4753"/>
      <c r="X110" s="1455"/>
      <c r="Y110" s="1455"/>
      <c r="Z110" s="1454"/>
    </row>
    <row r="111" spans="1:83" s="413" customFormat="1" ht="29" x14ac:dyDescent="0.3">
      <c r="A111" s="19"/>
      <c r="B111" s="1504"/>
      <c r="C111" s="1717" t="s">
        <v>93</v>
      </c>
      <c r="D111" s="699" t="s">
        <v>3</v>
      </c>
      <c r="E111" s="594" t="b">
        <f t="shared" si="16"/>
        <v>0</v>
      </c>
      <c r="F111" s="361"/>
      <c r="G111" s="380" t="str">
        <f t="shared" si="17"/>
        <v/>
      </c>
      <c r="H111" s="380"/>
      <c r="I111" s="44"/>
      <c r="J111" s="216" t="str">
        <f t="shared" si="18"/>
        <v/>
      </c>
      <c r="K111" s="216"/>
      <c r="L111" s="44"/>
      <c r="M111" s="68"/>
      <c r="N111" s="4447"/>
      <c r="O111" s="4707"/>
      <c r="P111" s="1584"/>
      <c r="Q111" s="1060" t="s">
        <v>3</v>
      </c>
      <c r="R111" s="574" t="b">
        <f t="shared" si="19"/>
        <v>0</v>
      </c>
      <c r="S111" s="1455"/>
      <c r="T111" s="1455"/>
      <c r="U111" s="1583"/>
      <c r="V111" s="4447"/>
      <c r="W111" s="4753"/>
      <c r="X111" s="1455"/>
      <c r="Y111" s="1455"/>
      <c r="Z111" s="1454"/>
    </row>
    <row r="112" spans="1:83" s="413" customFormat="1" ht="29" x14ac:dyDescent="0.3">
      <c r="A112" s="19"/>
      <c r="B112" s="1504"/>
      <c r="C112" s="1717" t="s">
        <v>94</v>
      </c>
      <c r="D112" s="699" t="s">
        <v>3</v>
      </c>
      <c r="E112" s="594" t="b">
        <f t="shared" si="16"/>
        <v>0</v>
      </c>
      <c r="F112" s="361"/>
      <c r="G112" s="380" t="str">
        <f t="shared" si="17"/>
        <v/>
      </c>
      <c r="H112" s="380"/>
      <c r="I112" s="44"/>
      <c r="J112" s="216" t="str">
        <f t="shared" si="18"/>
        <v/>
      </c>
      <c r="K112" s="216"/>
      <c r="L112" s="44"/>
      <c r="M112" s="68"/>
      <c r="N112" s="4447"/>
      <c r="O112" s="4707"/>
      <c r="P112" s="1584"/>
      <c r="Q112" s="1060" t="s">
        <v>3</v>
      </c>
      <c r="R112" s="574" t="b">
        <f t="shared" si="19"/>
        <v>0</v>
      </c>
      <c r="S112" s="1455"/>
      <c r="T112" s="1455"/>
      <c r="U112" s="1583"/>
      <c r="V112" s="4447"/>
      <c r="W112" s="4753"/>
      <c r="X112" s="1455"/>
      <c r="Y112" s="1455"/>
      <c r="Z112" s="1454"/>
    </row>
    <row r="113" spans="1:83" s="413" customFormat="1" ht="58" x14ac:dyDescent="0.3">
      <c r="A113" s="19"/>
      <c r="B113" s="1504"/>
      <c r="C113" s="1717" t="s">
        <v>95</v>
      </c>
      <c r="D113" s="699" t="s">
        <v>3</v>
      </c>
      <c r="E113" s="594" t="b">
        <f t="shared" si="16"/>
        <v>0</v>
      </c>
      <c r="F113" s="361"/>
      <c r="G113" s="380" t="str">
        <f t="shared" si="17"/>
        <v/>
      </c>
      <c r="H113" s="380"/>
      <c r="I113" s="44"/>
      <c r="J113" s="216" t="str">
        <f t="shared" si="18"/>
        <v/>
      </c>
      <c r="K113" s="216"/>
      <c r="L113" s="44"/>
      <c r="M113" s="68"/>
      <c r="N113" s="4447"/>
      <c r="O113" s="4707"/>
      <c r="P113" s="1584"/>
      <c r="Q113" s="1060" t="s">
        <v>3</v>
      </c>
      <c r="R113" s="574" t="b">
        <f t="shared" si="19"/>
        <v>0</v>
      </c>
      <c r="S113" s="1455"/>
      <c r="T113" s="1455"/>
      <c r="U113" s="1583"/>
      <c r="V113" s="4447"/>
      <c r="W113" s="4753"/>
      <c r="X113" s="1455"/>
      <c r="Y113" s="1455"/>
      <c r="Z113" s="1454"/>
    </row>
    <row r="114" spans="1:83" s="416" customFormat="1" ht="72.5" x14ac:dyDescent="0.3">
      <c r="A114" s="414"/>
      <c r="B114" s="1504"/>
      <c r="C114" s="1717" t="s">
        <v>1241</v>
      </c>
      <c r="D114" s="699" t="s">
        <v>3</v>
      </c>
      <c r="E114" s="452" t="b">
        <f t="shared" si="16"/>
        <v>0</v>
      </c>
      <c r="F114" s="415"/>
      <c r="G114" s="415" t="str">
        <f t="shared" si="17"/>
        <v/>
      </c>
      <c r="H114" s="415"/>
      <c r="I114" s="1459"/>
      <c r="J114" s="1460" t="str">
        <f t="shared" si="18"/>
        <v/>
      </c>
      <c r="K114" s="1460"/>
      <c r="L114" s="1459"/>
      <c r="M114" s="1586"/>
      <c r="N114" s="4447"/>
      <c r="O114" s="4707"/>
      <c r="P114" s="1588"/>
      <c r="Q114" s="1060" t="s">
        <v>3</v>
      </c>
      <c r="R114" s="574" t="b">
        <f t="shared" si="19"/>
        <v>0</v>
      </c>
      <c r="S114" s="1459"/>
      <c r="T114" s="1459"/>
      <c r="U114" s="1586"/>
      <c r="V114" s="4447"/>
      <c r="W114" s="4753"/>
      <c r="X114" s="1459"/>
      <c r="Y114" s="1459"/>
      <c r="Z114" s="1461"/>
    </row>
    <row r="115" spans="1:83" s="19" customFormat="1" ht="29" x14ac:dyDescent="0.3">
      <c r="B115" s="1504"/>
      <c r="C115" s="1717" t="s">
        <v>97</v>
      </c>
      <c r="D115" s="699" t="s">
        <v>3</v>
      </c>
      <c r="E115" s="452" t="b">
        <f t="shared" si="16"/>
        <v>0</v>
      </c>
      <c r="F115" s="415"/>
      <c r="G115" s="415" t="str">
        <f t="shared" si="17"/>
        <v/>
      </c>
      <c r="H115" s="415"/>
      <c r="I115" s="1458"/>
      <c r="J115" s="1460" t="str">
        <f t="shared" si="18"/>
        <v/>
      </c>
      <c r="K115" s="1460"/>
      <c r="L115" s="1458"/>
      <c r="M115" s="1589"/>
      <c r="N115" s="4447"/>
      <c r="O115" s="4707"/>
      <c r="P115" s="1585"/>
      <c r="Q115" s="1060" t="s">
        <v>3</v>
      </c>
      <c r="R115" s="574" t="b">
        <f t="shared" si="19"/>
        <v>0</v>
      </c>
      <c r="S115" s="1458"/>
      <c r="T115" s="1458"/>
      <c r="U115" s="1589"/>
      <c r="V115" s="4447"/>
      <c r="W115" s="4753"/>
      <c r="X115" s="1458"/>
      <c r="Y115" s="1458"/>
      <c r="Z115" s="1463"/>
    </row>
    <row r="116" spans="1:83" s="19" customFormat="1" ht="15.5" x14ac:dyDescent="0.3">
      <c r="B116" s="1504"/>
      <c r="C116" s="1717" t="s">
        <v>98</v>
      </c>
      <c r="D116" s="699" t="s">
        <v>3</v>
      </c>
      <c r="E116" s="1055" t="b">
        <f t="shared" si="16"/>
        <v>0</v>
      </c>
      <c r="F116" s="415"/>
      <c r="G116" s="415" t="str">
        <f t="shared" si="17"/>
        <v/>
      </c>
      <c r="H116" s="415"/>
      <c r="I116" s="2672"/>
      <c r="J116" s="1460" t="str">
        <f t="shared" si="18"/>
        <v/>
      </c>
      <c r="K116" s="2673"/>
      <c r="L116" s="1459"/>
      <c r="M116" s="1586"/>
      <c r="N116" s="4447"/>
      <c r="O116" s="4707"/>
      <c r="P116" s="1585"/>
      <c r="Q116" s="1060" t="s">
        <v>3</v>
      </c>
      <c r="R116" s="574" t="b">
        <f t="shared" si="19"/>
        <v>0</v>
      </c>
      <c r="S116" s="1458"/>
      <c r="T116" s="1458"/>
      <c r="U116" s="1589"/>
      <c r="V116" s="4447"/>
      <c r="W116" s="4753"/>
      <c r="X116" s="1458"/>
      <c r="Y116" s="1458"/>
      <c r="Z116" s="1463"/>
    </row>
    <row r="117" spans="1:83" s="28" customFormat="1" ht="15.5" x14ac:dyDescent="0.3">
      <c r="B117" s="1504"/>
      <c r="C117" s="1717" t="s">
        <v>99</v>
      </c>
      <c r="D117" s="699" t="s">
        <v>3</v>
      </c>
      <c r="E117" s="67" t="b">
        <f t="shared" si="16"/>
        <v>0</v>
      </c>
      <c r="F117" s="44"/>
      <c r="G117" s="44" t="str">
        <f t="shared" ref="G117:G154" si="20">IF(I117&lt;&gt;"", "Not Blank", "")</f>
        <v/>
      </c>
      <c r="H117" s="44"/>
      <c r="I117" s="44"/>
      <c r="J117" s="44" t="str">
        <f t="shared" si="18"/>
        <v/>
      </c>
      <c r="K117" s="44"/>
      <c r="L117" s="44"/>
      <c r="M117" s="68"/>
      <c r="N117" s="4447"/>
      <c r="O117" s="4707"/>
      <c r="P117" s="67"/>
      <c r="Q117" s="1060" t="s">
        <v>3</v>
      </c>
      <c r="R117" s="574" t="b">
        <f t="shared" si="19"/>
        <v>0</v>
      </c>
      <c r="S117" s="44"/>
      <c r="T117" s="44"/>
      <c r="U117" s="68"/>
      <c r="V117" s="4447"/>
      <c r="W117" s="4753"/>
      <c r="X117" s="44"/>
      <c r="Y117" s="44"/>
      <c r="Z117" s="122"/>
      <c r="BO117" s="67"/>
      <c r="BP117" s="44"/>
      <c r="BQ117" s="44"/>
      <c r="BR117" s="44"/>
      <c r="BS117" s="44"/>
      <c r="BT117" s="44"/>
      <c r="BU117" s="44"/>
      <c r="BV117" s="44"/>
      <c r="BW117" s="44"/>
      <c r="BX117" s="44"/>
      <c r="BY117" s="44"/>
      <c r="BZ117" s="44"/>
      <c r="CA117" s="44"/>
      <c r="CB117" s="44"/>
      <c r="CC117" s="44"/>
      <c r="CD117" s="44"/>
      <c r="CE117" s="68"/>
    </row>
    <row r="118" spans="1:83" s="28" customFormat="1" ht="15.5" x14ac:dyDescent="0.3">
      <c r="B118" s="1504"/>
      <c r="C118" s="1717" t="s">
        <v>100</v>
      </c>
      <c r="D118" s="699" t="s">
        <v>3</v>
      </c>
      <c r="E118" s="67" t="b">
        <f t="shared" si="16"/>
        <v>0</v>
      </c>
      <c r="F118" s="44"/>
      <c r="G118" s="44" t="str">
        <f t="shared" si="20"/>
        <v/>
      </c>
      <c r="H118" s="44"/>
      <c r="I118" s="44"/>
      <c r="J118" s="44" t="str">
        <f t="shared" si="18"/>
        <v/>
      </c>
      <c r="K118" s="44"/>
      <c r="L118" s="44"/>
      <c r="M118" s="68"/>
      <c r="N118" s="4447"/>
      <c r="O118" s="4707"/>
      <c r="P118" s="67"/>
      <c r="Q118" s="1060" t="s">
        <v>3</v>
      </c>
      <c r="R118" s="574" t="b">
        <f t="shared" si="19"/>
        <v>0</v>
      </c>
      <c r="S118" s="44"/>
      <c r="T118" s="44"/>
      <c r="U118" s="68"/>
      <c r="V118" s="4447"/>
      <c r="W118" s="4753"/>
      <c r="X118" s="44"/>
      <c r="Y118" s="44"/>
      <c r="Z118" s="122"/>
      <c r="BO118" s="67"/>
      <c r="BP118" s="44"/>
      <c r="BQ118" s="44"/>
      <c r="BR118" s="44"/>
      <c r="BS118" s="44"/>
      <c r="BT118" s="44"/>
      <c r="BU118" s="44"/>
      <c r="BV118" s="44"/>
      <c r="BW118" s="44"/>
      <c r="BX118" s="44"/>
      <c r="BY118" s="44"/>
      <c r="BZ118" s="44"/>
      <c r="CA118" s="44"/>
      <c r="CB118" s="44"/>
      <c r="CC118" s="44"/>
      <c r="CD118" s="44"/>
      <c r="CE118" s="68"/>
    </row>
    <row r="119" spans="1:83" s="28" customFormat="1" ht="29" x14ac:dyDescent="0.3">
      <c r="B119" s="1504"/>
      <c r="C119" s="1717" t="s">
        <v>101</v>
      </c>
      <c r="D119" s="699" t="s">
        <v>3</v>
      </c>
      <c r="E119" s="67" t="b">
        <f t="shared" si="16"/>
        <v>0</v>
      </c>
      <c r="F119" s="44"/>
      <c r="G119" s="44" t="str">
        <f t="shared" si="20"/>
        <v/>
      </c>
      <c r="H119" s="44"/>
      <c r="I119" s="44"/>
      <c r="J119" s="44" t="str">
        <f t="shared" si="18"/>
        <v/>
      </c>
      <c r="K119" s="44"/>
      <c r="L119" s="44"/>
      <c r="M119" s="68"/>
      <c r="N119" s="4447"/>
      <c r="O119" s="4707"/>
      <c r="P119" s="67"/>
      <c r="Q119" s="1060" t="s">
        <v>3</v>
      </c>
      <c r="R119" s="574" t="b">
        <f t="shared" si="19"/>
        <v>0</v>
      </c>
      <c r="S119" s="44"/>
      <c r="T119" s="44"/>
      <c r="U119" s="68"/>
      <c r="V119" s="4447"/>
      <c r="W119" s="4753"/>
      <c r="X119" s="44"/>
      <c r="Y119" s="44"/>
      <c r="Z119" s="122"/>
      <c r="BO119" s="67"/>
      <c r="BP119" s="44"/>
      <c r="BQ119" s="44"/>
      <c r="BR119" s="44"/>
      <c r="BS119" s="44"/>
      <c r="BT119" s="44"/>
      <c r="BU119" s="44"/>
      <c r="BV119" s="44"/>
      <c r="BW119" s="44"/>
      <c r="BX119" s="44"/>
      <c r="BY119" s="44"/>
      <c r="BZ119" s="44"/>
      <c r="CA119" s="44"/>
      <c r="CB119" s="44"/>
      <c r="CC119" s="44"/>
      <c r="CD119" s="44"/>
      <c r="CE119" s="68"/>
    </row>
    <row r="120" spans="1:83" s="28" customFormat="1" ht="15.5" x14ac:dyDescent="0.3">
      <c r="B120" s="1504"/>
      <c r="C120" s="1717" t="s">
        <v>102</v>
      </c>
      <c r="D120" s="699" t="s">
        <v>3</v>
      </c>
      <c r="E120" s="67" t="b">
        <f t="shared" si="16"/>
        <v>0</v>
      </c>
      <c r="F120" s="44"/>
      <c r="G120" s="44" t="str">
        <f t="shared" si="20"/>
        <v/>
      </c>
      <c r="H120" s="44"/>
      <c r="I120" s="44"/>
      <c r="J120" s="44" t="str">
        <f t="shared" si="18"/>
        <v/>
      </c>
      <c r="K120" s="44"/>
      <c r="L120" s="44"/>
      <c r="M120" s="68"/>
      <c r="N120" s="4447"/>
      <c r="O120" s="4707"/>
      <c r="P120" s="67"/>
      <c r="Q120" s="1060" t="s">
        <v>3</v>
      </c>
      <c r="R120" s="574" t="b">
        <f t="shared" si="19"/>
        <v>0</v>
      </c>
      <c r="S120" s="44"/>
      <c r="T120" s="44"/>
      <c r="U120" s="68"/>
      <c r="V120" s="4447"/>
      <c r="W120" s="4753"/>
      <c r="X120" s="44"/>
      <c r="Y120" s="44"/>
      <c r="Z120" s="122"/>
      <c r="BO120" s="67"/>
      <c r="BP120" s="44"/>
      <c r="BQ120" s="44"/>
      <c r="BR120" s="44"/>
      <c r="BS120" s="44"/>
      <c r="BT120" s="44"/>
      <c r="BU120" s="44"/>
      <c r="BV120" s="44"/>
      <c r="BW120" s="44"/>
      <c r="BX120" s="44"/>
      <c r="BY120" s="44"/>
      <c r="BZ120" s="44"/>
      <c r="CA120" s="44"/>
      <c r="CB120" s="44"/>
      <c r="CC120" s="44"/>
      <c r="CD120" s="44"/>
      <c r="CE120" s="68"/>
    </row>
    <row r="121" spans="1:83" s="28" customFormat="1" ht="29" x14ac:dyDescent="0.3">
      <c r="B121" s="1504"/>
      <c r="C121" s="1717" t="s">
        <v>103</v>
      </c>
      <c r="D121" s="699" t="s">
        <v>3</v>
      </c>
      <c r="E121" s="67" t="b">
        <f t="shared" si="16"/>
        <v>0</v>
      </c>
      <c r="F121" s="44"/>
      <c r="G121" s="44" t="str">
        <f t="shared" si="20"/>
        <v/>
      </c>
      <c r="H121" s="44"/>
      <c r="I121" s="44"/>
      <c r="J121" s="44" t="str">
        <f t="shared" si="18"/>
        <v/>
      </c>
      <c r="K121" s="44"/>
      <c r="L121" s="44"/>
      <c r="M121" s="68"/>
      <c r="N121" s="4447"/>
      <c r="O121" s="4707"/>
      <c r="P121" s="67"/>
      <c r="Q121" s="1060" t="s">
        <v>3</v>
      </c>
      <c r="R121" s="574" t="b">
        <f t="shared" si="19"/>
        <v>0</v>
      </c>
      <c r="S121" s="44"/>
      <c r="T121" s="44"/>
      <c r="U121" s="68"/>
      <c r="V121" s="4447"/>
      <c r="W121" s="4753"/>
      <c r="X121" s="44"/>
      <c r="Y121" s="44"/>
      <c r="Z121" s="122"/>
      <c r="BO121" s="67"/>
      <c r="BP121" s="44"/>
      <c r="BQ121" s="44"/>
      <c r="BR121" s="44"/>
      <c r="BS121" s="44"/>
      <c r="BT121" s="44"/>
      <c r="BU121" s="44"/>
      <c r="BV121" s="44"/>
      <c r="BW121" s="44"/>
      <c r="BX121" s="44"/>
      <c r="BY121" s="44"/>
      <c r="BZ121" s="44"/>
      <c r="CA121" s="44"/>
      <c r="CB121" s="44"/>
      <c r="CC121" s="44"/>
      <c r="CD121" s="44"/>
      <c r="CE121" s="68"/>
    </row>
    <row r="122" spans="1:83" s="28" customFormat="1" ht="15.5" x14ac:dyDescent="0.3">
      <c r="B122" s="1504"/>
      <c r="C122" s="1717" t="s">
        <v>104</v>
      </c>
      <c r="D122" s="699" t="s">
        <v>3</v>
      </c>
      <c r="E122" s="67" t="b">
        <f t="shared" si="16"/>
        <v>0</v>
      </c>
      <c r="F122" s="44"/>
      <c r="G122" s="44" t="str">
        <f t="shared" si="20"/>
        <v/>
      </c>
      <c r="H122" s="44"/>
      <c r="I122" s="44"/>
      <c r="J122" s="44" t="str">
        <f t="shared" si="18"/>
        <v/>
      </c>
      <c r="K122" s="44"/>
      <c r="L122" s="44"/>
      <c r="M122" s="68"/>
      <c r="N122" s="4447"/>
      <c r="O122" s="4707"/>
      <c r="P122" s="67"/>
      <c r="Q122" s="1060" t="s">
        <v>3</v>
      </c>
      <c r="R122" s="574" t="b">
        <f t="shared" si="19"/>
        <v>0</v>
      </c>
      <c r="S122" s="44"/>
      <c r="T122" s="44"/>
      <c r="U122" s="68"/>
      <c r="V122" s="4447"/>
      <c r="W122" s="4753"/>
      <c r="X122" s="44"/>
      <c r="Y122" s="44"/>
      <c r="Z122" s="122"/>
      <c r="BO122" s="67"/>
      <c r="BP122" s="44"/>
      <c r="BQ122" s="44"/>
      <c r="BR122" s="44"/>
      <c r="BS122" s="44"/>
      <c r="BT122" s="44"/>
      <c r="BU122" s="44"/>
      <c r="BV122" s="44"/>
      <c r="BW122" s="44"/>
      <c r="BX122" s="44"/>
      <c r="BY122" s="44"/>
      <c r="BZ122" s="44"/>
      <c r="CA122" s="44"/>
      <c r="CB122" s="44"/>
      <c r="CC122" s="44"/>
      <c r="CD122" s="44"/>
      <c r="CE122" s="68"/>
    </row>
    <row r="123" spans="1:83" s="28" customFormat="1" ht="43.5" x14ac:dyDescent="0.3">
      <c r="B123" s="1504"/>
      <c r="C123" s="1717" t="s">
        <v>105</v>
      </c>
      <c r="D123" s="699" t="s">
        <v>3</v>
      </c>
      <c r="E123" s="67" t="b">
        <f t="shared" si="16"/>
        <v>0</v>
      </c>
      <c r="F123" s="44"/>
      <c r="G123" s="44" t="str">
        <f t="shared" si="20"/>
        <v/>
      </c>
      <c r="H123" s="44"/>
      <c r="I123" s="44"/>
      <c r="J123" s="44" t="str">
        <f t="shared" si="18"/>
        <v/>
      </c>
      <c r="K123" s="44"/>
      <c r="L123" s="44"/>
      <c r="M123" s="68"/>
      <c r="N123" s="4447"/>
      <c r="O123" s="4707"/>
      <c r="P123" s="67"/>
      <c r="Q123" s="1060" t="s">
        <v>3</v>
      </c>
      <c r="R123" s="574" t="b">
        <f t="shared" si="19"/>
        <v>0</v>
      </c>
      <c r="S123" s="44"/>
      <c r="T123" s="44"/>
      <c r="U123" s="68"/>
      <c r="V123" s="4447"/>
      <c r="W123" s="4753"/>
      <c r="X123" s="44"/>
      <c r="Y123" s="44"/>
      <c r="Z123" s="122"/>
      <c r="BO123" s="67"/>
      <c r="BP123" s="44"/>
      <c r="BQ123" s="44"/>
      <c r="BR123" s="44"/>
      <c r="BS123" s="44"/>
      <c r="BT123" s="44"/>
      <c r="BU123" s="44"/>
      <c r="BV123" s="44"/>
      <c r="BW123" s="44"/>
      <c r="BX123" s="44"/>
      <c r="BY123" s="44"/>
      <c r="BZ123" s="44"/>
      <c r="CA123" s="44"/>
      <c r="CB123" s="44"/>
      <c r="CC123" s="44"/>
      <c r="CD123" s="44"/>
      <c r="CE123" s="68"/>
    </row>
    <row r="124" spans="1:83" s="28" customFormat="1" ht="29" x14ac:dyDescent="0.3">
      <c r="B124" s="1504"/>
      <c r="C124" s="1717" t="s">
        <v>106</v>
      </c>
      <c r="D124" s="699" t="s">
        <v>3</v>
      </c>
      <c r="E124" s="67" t="b">
        <f t="shared" si="16"/>
        <v>0</v>
      </c>
      <c r="F124" s="44"/>
      <c r="G124" s="44" t="str">
        <f t="shared" si="20"/>
        <v/>
      </c>
      <c r="H124" s="44"/>
      <c r="I124" s="44"/>
      <c r="J124" s="44" t="str">
        <f t="shared" si="18"/>
        <v/>
      </c>
      <c r="K124" s="44"/>
      <c r="L124" s="44"/>
      <c r="M124" s="68"/>
      <c r="N124" s="4447"/>
      <c r="O124" s="4707"/>
      <c r="P124" s="67"/>
      <c r="Q124" s="1060" t="s">
        <v>3</v>
      </c>
      <c r="R124" s="574" t="b">
        <f t="shared" si="19"/>
        <v>0</v>
      </c>
      <c r="S124" s="44"/>
      <c r="T124" s="44"/>
      <c r="U124" s="68"/>
      <c r="V124" s="4447"/>
      <c r="W124" s="4753"/>
      <c r="X124" s="44"/>
      <c r="Y124" s="44"/>
      <c r="Z124" s="122"/>
      <c r="BO124" s="67"/>
      <c r="BP124" s="44"/>
      <c r="BQ124" s="44"/>
      <c r="BR124" s="44"/>
      <c r="BS124" s="44"/>
      <c r="BT124" s="44"/>
      <c r="BU124" s="44"/>
      <c r="BV124" s="44"/>
      <c r="BW124" s="44"/>
      <c r="BX124" s="44"/>
      <c r="BY124" s="44"/>
      <c r="BZ124" s="44"/>
      <c r="CA124" s="44"/>
      <c r="CB124" s="44"/>
      <c r="CC124" s="44"/>
      <c r="CD124" s="44"/>
      <c r="CE124" s="68"/>
    </row>
    <row r="125" spans="1:83" s="28" customFormat="1" ht="15.5" x14ac:dyDescent="0.3">
      <c r="B125" s="1504"/>
      <c r="C125" s="1717" t="s">
        <v>107</v>
      </c>
      <c r="D125" s="699" t="s">
        <v>3</v>
      </c>
      <c r="E125" s="67" t="b">
        <f t="shared" si="16"/>
        <v>0</v>
      </c>
      <c r="F125" s="44"/>
      <c r="G125" s="44" t="str">
        <f t="shared" si="20"/>
        <v/>
      </c>
      <c r="H125" s="44"/>
      <c r="I125" s="44"/>
      <c r="J125" s="44" t="str">
        <f t="shared" si="18"/>
        <v/>
      </c>
      <c r="K125" s="44"/>
      <c r="L125" s="44"/>
      <c r="M125" s="68"/>
      <c r="N125" s="4447"/>
      <c r="O125" s="4707"/>
      <c r="P125" s="67"/>
      <c r="Q125" s="1060" t="s">
        <v>3</v>
      </c>
      <c r="R125" s="574" t="b">
        <f t="shared" si="19"/>
        <v>0</v>
      </c>
      <c r="S125" s="44"/>
      <c r="T125" s="44"/>
      <c r="U125" s="68"/>
      <c r="V125" s="4447"/>
      <c r="W125" s="4753"/>
      <c r="X125" s="44"/>
      <c r="Y125" s="44"/>
      <c r="Z125" s="122"/>
      <c r="BO125" s="67"/>
      <c r="BP125" s="44"/>
      <c r="BQ125" s="44"/>
      <c r="BR125" s="44"/>
      <c r="BS125" s="44"/>
      <c r="BT125" s="44"/>
      <c r="BU125" s="44"/>
      <c r="BV125" s="44"/>
      <c r="BW125" s="44"/>
      <c r="BX125" s="44"/>
      <c r="BY125" s="44"/>
      <c r="BZ125" s="44"/>
      <c r="CA125" s="44"/>
      <c r="CB125" s="44"/>
      <c r="CC125" s="44"/>
      <c r="CD125" s="44"/>
      <c r="CE125" s="68"/>
    </row>
    <row r="126" spans="1:83" s="28" customFormat="1" ht="43.5" x14ac:dyDescent="0.3">
      <c r="B126" s="1504"/>
      <c r="C126" s="1717" t="s">
        <v>108</v>
      </c>
      <c r="D126" s="699" t="s">
        <v>3</v>
      </c>
      <c r="E126" s="67" t="b">
        <f t="shared" si="16"/>
        <v>0</v>
      </c>
      <c r="F126" s="44"/>
      <c r="G126" s="44" t="str">
        <f t="shared" si="20"/>
        <v/>
      </c>
      <c r="H126" s="44"/>
      <c r="I126" s="44"/>
      <c r="J126" s="44" t="str">
        <f t="shared" si="18"/>
        <v/>
      </c>
      <c r="K126" s="44"/>
      <c r="L126" s="44"/>
      <c r="M126" s="68"/>
      <c r="N126" s="4447"/>
      <c r="O126" s="4707"/>
      <c r="P126" s="67"/>
      <c r="Q126" s="1060" t="s">
        <v>3</v>
      </c>
      <c r="R126" s="574" t="b">
        <f t="shared" si="19"/>
        <v>0</v>
      </c>
      <c r="S126" s="44"/>
      <c r="T126" s="44"/>
      <c r="U126" s="68"/>
      <c r="V126" s="4447"/>
      <c r="W126" s="4753"/>
      <c r="X126" s="44"/>
      <c r="Y126" s="44"/>
      <c r="Z126" s="122"/>
      <c r="BO126" s="67"/>
      <c r="BP126" s="44"/>
      <c r="BQ126" s="44"/>
      <c r="BR126" s="44"/>
      <c r="BS126" s="44"/>
      <c r="BT126" s="44"/>
      <c r="BU126" s="44"/>
      <c r="BV126" s="44"/>
      <c r="BW126" s="44"/>
      <c r="BX126" s="44"/>
      <c r="BY126" s="44"/>
      <c r="BZ126" s="44"/>
      <c r="CA126" s="44"/>
      <c r="CB126" s="44"/>
      <c r="CC126" s="44"/>
      <c r="CD126" s="44"/>
      <c r="CE126" s="68"/>
    </row>
    <row r="127" spans="1:83" s="28" customFormat="1" ht="43.5" x14ac:dyDescent="0.3">
      <c r="B127" s="1504"/>
      <c r="C127" s="1717" t="s">
        <v>109</v>
      </c>
      <c r="D127" s="699" t="s">
        <v>3</v>
      </c>
      <c r="E127" s="67" t="b">
        <f t="shared" si="16"/>
        <v>0</v>
      </c>
      <c r="F127" s="44"/>
      <c r="G127" s="44" t="str">
        <f t="shared" si="20"/>
        <v/>
      </c>
      <c r="H127" s="44"/>
      <c r="I127" s="44"/>
      <c r="J127" s="44" t="str">
        <f t="shared" si="18"/>
        <v/>
      </c>
      <c r="K127" s="44"/>
      <c r="L127" s="44"/>
      <c r="M127" s="68"/>
      <c r="N127" s="4447"/>
      <c r="O127" s="4707"/>
      <c r="P127" s="67"/>
      <c r="Q127" s="1060" t="s">
        <v>3</v>
      </c>
      <c r="R127" s="574" t="b">
        <f t="shared" si="19"/>
        <v>0</v>
      </c>
      <c r="S127" s="44"/>
      <c r="T127" s="44"/>
      <c r="U127" s="68"/>
      <c r="V127" s="4447"/>
      <c r="W127" s="4753"/>
      <c r="X127" s="44"/>
      <c r="Y127" s="44"/>
      <c r="Z127" s="122"/>
      <c r="BO127" s="67"/>
      <c r="BP127" s="44"/>
      <c r="BQ127" s="44"/>
      <c r="BR127" s="44"/>
      <c r="BS127" s="44"/>
      <c r="BT127" s="44"/>
      <c r="BU127" s="44"/>
      <c r="BV127" s="44"/>
      <c r="BW127" s="44"/>
      <c r="BX127" s="44"/>
      <c r="BY127" s="44"/>
      <c r="BZ127" s="44"/>
      <c r="CA127" s="44"/>
      <c r="CB127" s="44"/>
      <c r="CC127" s="44"/>
      <c r="CD127" s="44"/>
      <c r="CE127" s="68"/>
    </row>
    <row r="128" spans="1:83" s="28" customFormat="1" ht="29" x14ac:dyDescent="0.3">
      <c r="B128" s="1504"/>
      <c r="C128" s="1717" t="s">
        <v>110</v>
      </c>
      <c r="D128" s="699" t="s">
        <v>3</v>
      </c>
      <c r="E128" s="67" t="b">
        <f t="shared" si="16"/>
        <v>0</v>
      </c>
      <c r="F128" s="44"/>
      <c r="G128" s="44" t="str">
        <f t="shared" si="20"/>
        <v/>
      </c>
      <c r="H128" s="44"/>
      <c r="I128" s="44"/>
      <c r="J128" s="44" t="str">
        <f t="shared" si="18"/>
        <v/>
      </c>
      <c r="K128" s="44"/>
      <c r="L128" s="44"/>
      <c r="M128" s="68"/>
      <c r="N128" s="4447"/>
      <c r="O128" s="4707"/>
      <c r="P128" s="67"/>
      <c r="Q128" s="1060" t="s">
        <v>3</v>
      </c>
      <c r="R128" s="574" t="b">
        <f t="shared" si="19"/>
        <v>0</v>
      </c>
      <c r="S128" s="44"/>
      <c r="T128" s="44"/>
      <c r="U128" s="68"/>
      <c r="V128" s="4447"/>
      <c r="W128" s="4753"/>
      <c r="X128" s="44"/>
      <c r="Y128" s="44"/>
      <c r="Z128" s="122"/>
      <c r="BO128" s="67"/>
      <c r="BP128" s="44"/>
      <c r="BQ128" s="44"/>
      <c r="BR128" s="44"/>
      <c r="BS128" s="44"/>
      <c r="BT128" s="44"/>
      <c r="BU128" s="44"/>
      <c r="BV128" s="44"/>
      <c r="BW128" s="44"/>
      <c r="BX128" s="44"/>
      <c r="BY128" s="44"/>
      <c r="BZ128" s="44"/>
      <c r="CA128" s="44"/>
      <c r="CB128" s="44"/>
      <c r="CC128" s="44"/>
      <c r="CD128" s="44"/>
      <c r="CE128" s="68"/>
    </row>
    <row r="129" spans="2:83" s="28" customFormat="1" ht="15.5" x14ac:dyDescent="0.3">
      <c r="B129" s="1504"/>
      <c r="C129" s="1717" t="s">
        <v>111</v>
      </c>
      <c r="D129" s="699" t="s">
        <v>3</v>
      </c>
      <c r="E129" s="67" t="b">
        <f t="shared" si="16"/>
        <v>0</v>
      </c>
      <c r="F129" s="44"/>
      <c r="G129" s="44" t="str">
        <f t="shared" si="20"/>
        <v/>
      </c>
      <c r="H129" s="44"/>
      <c r="I129" s="44"/>
      <c r="J129" s="44" t="str">
        <f t="shared" si="18"/>
        <v/>
      </c>
      <c r="K129" s="44"/>
      <c r="L129" s="44"/>
      <c r="M129" s="68"/>
      <c r="N129" s="4447"/>
      <c r="O129" s="4707"/>
      <c r="P129" s="67"/>
      <c r="Q129" s="1060" t="s">
        <v>3</v>
      </c>
      <c r="R129" s="574" t="b">
        <f t="shared" si="19"/>
        <v>0</v>
      </c>
      <c r="S129" s="44"/>
      <c r="T129" s="44"/>
      <c r="U129" s="68"/>
      <c r="V129" s="4447"/>
      <c r="W129" s="4753"/>
      <c r="X129" s="44"/>
      <c r="Y129" s="44"/>
      <c r="Z129" s="122"/>
      <c r="BO129" s="67"/>
      <c r="BP129" s="44"/>
      <c r="BQ129" s="44"/>
      <c r="BR129" s="44"/>
      <c r="BS129" s="44"/>
      <c r="BT129" s="44"/>
      <c r="BU129" s="44"/>
      <c r="BV129" s="44"/>
      <c r="BW129" s="44"/>
      <c r="BX129" s="44"/>
      <c r="BY129" s="44"/>
      <c r="BZ129" s="44"/>
      <c r="CA129" s="44"/>
      <c r="CB129" s="44"/>
      <c r="CC129" s="44"/>
      <c r="CD129" s="44"/>
      <c r="CE129" s="68"/>
    </row>
    <row r="130" spans="2:83" s="28" customFormat="1" ht="15.5" x14ac:dyDescent="0.3">
      <c r="B130" s="1504"/>
      <c r="C130" s="1717" t="s">
        <v>112</v>
      </c>
      <c r="D130" s="699" t="s">
        <v>3</v>
      </c>
      <c r="E130" s="67" t="b">
        <f t="shared" si="16"/>
        <v>0</v>
      </c>
      <c r="F130" s="44"/>
      <c r="G130" s="44" t="str">
        <f t="shared" si="20"/>
        <v/>
      </c>
      <c r="H130" s="44"/>
      <c r="I130" s="44"/>
      <c r="J130" s="44" t="str">
        <f t="shared" si="18"/>
        <v/>
      </c>
      <c r="K130" s="44"/>
      <c r="L130" s="44"/>
      <c r="M130" s="68"/>
      <c r="N130" s="4447"/>
      <c r="O130" s="4707"/>
      <c r="P130" s="67"/>
      <c r="Q130" s="1060" t="s">
        <v>3</v>
      </c>
      <c r="R130" s="574" t="b">
        <f t="shared" si="19"/>
        <v>0</v>
      </c>
      <c r="S130" s="44"/>
      <c r="T130" s="44"/>
      <c r="U130" s="68"/>
      <c r="V130" s="4447"/>
      <c r="W130" s="4753"/>
      <c r="X130" s="44"/>
      <c r="Y130" s="44"/>
      <c r="Z130" s="122"/>
      <c r="BO130" s="67"/>
      <c r="BP130" s="44"/>
      <c r="BQ130" s="44"/>
      <c r="BR130" s="44"/>
      <c r="BS130" s="44"/>
      <c r="BT130" s="44"/>
      <c r="BU130" s="44"/>
      <c r="BV130" s="44"/>
      <c r="BW130" s="44"/>
      <c r="BX130" s="44"/>
      <c r="BY130" s="44"/>
      <c r="BZ130" s="44"/>
      <c r="CA130" s="44"/>
      <c r="CB130" s="44"/>
      <c r="CC130" s="44"/>
      <c r="CD130" s="44"/>
      <c r="CE130" s="68"/>
    </row>
    <row r="131" spans="2:83" s="28" customFormat="1" ht="15.5" x14ac:dyDescent="0.3">
      <c r="B131" s="1504"/>
      <c r="C131" s="1717" t="s">
        <v>113</v>
      </c>
      <c r="D131" s="699" t="s">
        <v>3</v>
      </c>
      <c r="E131" s="67" t="b">
        <f t="shared" si="16"/>
        <v>0</v>
      </c>
      <c r="F131" s="44"/>
      <c r="G131" s="44" t="str">
        <f t="shared" si="20"/>
        <v/>
      </c>
      <c r="H131" s="44"/>
      <c r="I131" s="44"/>
      <c r="J131" s="44" t="str">
        <f t="shared" si="18"/>
        <v/>
      </c>
      <c r="K131" s="44"/>
      <c r="L131" s="44"/>
      <c r="M131" s="68"/>
      <c r="N131" s="4447"/>
      <c r="O131" s="4707"/>
      <c r="P131" s="67"/>
      <c r="Q131" s="1060" t="s">
        <v>3</v>
      </c>
      <c r="R131" s="574" t="b">
        <f t="shared" si="19"/>
        <v>0</v>
      </c>
      <c r="S131" s="44"/>
      <c r="T131" s="44"/>
      <c r="U131" s="68"/>
      <c r="V131" s="4447"/>
      <c r="W131" s="4753"/>
      <c r="X131" s="44"/>
      <c r="Y131" s="44"/>
      <c r="Z131" s="122"/>
      <c r="BO131" s="67"/>
      <c r="BP131" s="44"/>
      <c r="BQ131" s="44"/>
      <c r="BR131" s="44"/>
      <c r="BS131" s="44"/>
      <c r="BT131" s="44"/>
      <c r="BU131" s="44"/>
      <c r="BV131" s="44"/>
      <c r="BW131" s="44"/>
      <c r="BX131" s="44"/>
      <c r="BY131" s="44"/>
      <c r="BZ131" s="44"/>
      <c r="CA131" s="44"/>
      <c r="CB131" s="44"/>
      <c r="CC131" s="44"/>
      <c r="CD131" s="44"/>
      <c r="CE131" s="68"/>
    </row>
    <row r="132" spans="2:83" s="28" customFormat="1" ht="29" x14ac:dyDescent="0.3">
      <c r="B132" s="1504"/>
      <c r="C132" s="1717" t="s">
        <v>114</v>
      </c>
      <c r="D132" s="699" t="s">
        <v>3</v>
      </c>
      <c r="E132" s="67" t="b">
        <f t="shared" si="16"/>
        <v>0</v>
      </c>
      <c r="F132" s="44"/>
      <c r="G132" s="44" t="str">
        <f t="shared" si="20"/>
        <v/>
      </c>
      <c r="H132" s="44"/>
      <c r="I132" s="44"/>
      <c r="J132" s="44" t="str">
        <f t="shared" si="18"/>
        <v/>
      </c>
      <c r="K132" s="44"/>
      <c r="L132" s="44"/>
      <c r="M132" s="68"/>
      <c r="N132" s="4447"/>
      <c r="O132" s="4707"/>
      <c r="P132" s="67"/>
      <c r="Q132" s="1060" t="s">
        <v>3</v>
      </c>
      <c r="R132" s="574" t="b">
        <f t="shared" si="19"/>
        <v>0</v>
      </c>
      <c r="S132" s="44"/>
      <c r="T132" s="44"/>
      <c r="U132" s="68"/>
      <c r="V132" s="4447"/>
      <c r="W132" s="4753"/>
      <c r="X132" s="44"/>
      <c r="Y132" s="44"/>
      <c r="Z132" s="122"/>
      <c r="BO132" s="67"/>
      <c r="BP132" s="44"/>
      <c r="BQ132" s="44"/>
      <c r="BR132" s="44"/>
      <c r="BS132" s="44"/>
      <c r="BT132" s="44"/>
      <c r="BU132" s="44"/>
      <c r="BV132" s="44"/>
      <c r="BW132" s="44"/>
      <c r="BX132" s="44"/>
      <c r="BY132" s="44"/>
      <c r="BZ132" s="44"/>
      <c r="CA132" s="44"/>
      <c r="CB132" s="44"/>
      <c r="CC132" s="44"/>
      <c r="CD132" s="44"/>
      <c r="CE132" s="68"/>
    </row>
    <row r="133" spans="2:83" s="28" customFormat="1" ht="29" x14ac:dyDescent="0.3">
      <c r="B133" s="1504"/>
      <c r="C133" s="1717" t="s">
        <v>116</v>
      </c>
      <c r="D133" s="699" t="s">
        <v>3</v>
      </c>
      <c r="E133" s="67" t="b">
        <f t="shared" si="16"/>
        <v>0</v>
      </c>
      <c r="F133" s="44"/>
      <c r="G133" s="44" t="str">
        <f t="shared" si="20"/>
        <v/>
      </c>
      <c r="H133" s="44"/>
      <c r="I133" s="44"/>
      <c r="J133" s="44" t="str">
        <f t="shared" si="18"/>
        <v/>
      </c>
      <c r="K133" s="44"/>
      <c r="L133" s="44"/>
      <c r="M133" s="68"/>
      <c r="N133" s="4447"/>
      <c r="O133" s="4707"/>
      <c r="P133" s="67"/>
      <c r="Q133" s="1060" t="s">
        <v>3</v>
      </c>
      <c r="R133" s="574" t="b">
        <f t="shared" si="19"/>
        <v>0</v>
      </c>
      <c r="S133" s="44"/>
      <c r="T133" s="44"/>
      <c r="U133" s="68"/>
      <c r="V133" s="4447"/>
      <c r="W133" s="4753"/>
      <c r="X133" s="44"/>
      <c r="Y133" s="44"/>
      <c r="Z133" s="122"/>
      <c r="BO133" s="67"/>
      <c r="BP133" s="44"/>
      <c r="BQ133" s="44"/>
      <c r="BR133" s="44"/>
      <c r="BS133" s="44"/>
      <c r="BT133" s="44"/>
      <c r="BU133" s="44"/>
      <c r="BV133" s="44"/>
      <c r="BW133" s="44"/>
      <c r="BX133" s="44"/>
      <c r="BY133" s="44"/>
      <c r="BZ133" s="44"/>
      <c r="CA133" s="44"/>
      <c r="CB133" s="44"/>
      <c r="CC133" s="44"/>
      <c r="CD133" s="44"/>
      <c r="CE133" s="68"/>
    </row>
    <row r="134" spans="2:83" s="28" customFormat="1" ht="29" x14ac:dyDescent="0.3">
      <c r="B134" s="1504"/>
      <c r="C134" s="1717" t="s">
        <v>117</v>
      </c>
      <c r="D134" s="699" t="s">
        <v>3</v>
      </c>
      <c r="E134" s="67" t="b">
        <f t="shared" si="16"/>
        <v>0</v>
      </c>
      <c r="F134" s="44"/>
      <c r="G134" s="44" t="str">
        <f t="shared" si="20"/>
        <v/>
      </c>
      <c r="H134" s="44"/>
      <c r="I134" s="44"/>
      <c r="J134" s="44" t="str">
        <f t="shared" si="18"/>
        <v/>
      </c>
      <c r="K134" s="44"/>
      <c r="L134" s="44"/>
      <c r="M134" s="68"/>
      <c r="N134" s="4447"/>
      <c r="O134" s="4707"/>
      <c r="P134" s="67"/>
      <c r="Q134" s="1060" t="s">
        <v>3</v>
      </c>
      <c r="R134" s="574" t="b">
        <f t="shared" si="19"/>
        <v>0</v>
      </c>
      <c r="S134" s="44"/>
      <c r="T134" s="44"/>
      <c r="U134" s="68"/>
      <c r="V134" s="4447"/>
      <c r="W134" s="4753"/>
      <c r="X134" s="44"/>
      <c r="Y134" s="44"/>
      <c r="Z134" s="122"/>
      <c r="BO134" s="67"/>
      <c r="BP134" s="44"/>
      <c r="BQ134" s="44"/>
      <c r="BR134" s="44"/>
      <c r="BS134" s="44"/>
      <c r="BT134" s="44"/>
      <c r="BU134" s="44"/>
      <c r="BV134" s="44"/>
      <c r="BW134" s="44"/>
      <c r="BX134" s="44"/>
      <c r="BY134" s="44"/>
      <c r="BZ134" s="44"/>
      <c r="CA134" s="44"/>
      <c r="CB134" s="44"/>
      <c r="CC134" s="44"/>
      <c r="CD134" s="44"/>
      <c r="CE134" s="68"/>
    </row>
    <row r="135" spans="2:83" s="28" customFormat="1" ht="43.5" x14ac:dyDescent="0.3">
      <c r="B135" s="1504"/>
      <c r="C135" s="1717" t="s">
        <v>120</v>
      </c>
      <c r="D135" s="699" t="s">
        <v>3</v>
      </c>
      <c r="E135" s="67" t="b">
        <f t="shared" si="16"/>
        <v>0</v>
      </c>
      <c r="F135" s="44"/>
      <c r="G135" s="44" t="str">
        <f t="shared" si="20"/>
        <v/>
      </c>
      <c r="H135" s="44"/>
      <c r="I135" s="44"/>
      <c r="J135" s="44" t="str">
        <f t="shared" si="18"/>
        <v/>
      </c>
      <c r="K135" s="44"/>
      <c r="L135" s="44"/>
      <c r="M135" s="68"/>
      <c r="N135" s="4447"/>
      <c r="O135" s="4707"/>
      <c r="P135" s="67"/>
      <c r="Q135" s="1060" t="s">
        <v>3</v>
      </c>
      <c r="R135" s="574" t="b">
        <f t="shared" si="19"/>
        <v>0</v>
      </c>
      <c r="S135" s="44"/>
      <c r="T135" s="44"/>
      <c r="U135" s="68"/>
      <c r="V135" s="4447"/>
      <c r="W135" s="4753"/>
      <c r="X135" s="44"/>
      <c r="Y135" s="44"/>
      <c r="Z135" s="122"/>
      <c r="BO135" s="67"/>
      <c r="BP135" s="44"/>
      <c r="BQ135" s="44"/>
      <c r="BR135" s="44"/>
      <c r="BS135" s="44"/>
      <c r="BT135" s="44"/>
      <c r="BU135" s="44"/>
      <c r="BV135" s="44"/>
      <c r="BW135" s="44"/>
      <c r="BX135" s="44"/>
      <c r="BY135" s="44"/>
      <c r="BZ135" s="44"/>
      <c r="CA135" s="44"/>
      <c r="CB135" s="44"/>
      <c r="CC135" s="44"/>
      <c r="CD135" s="44"/>
      <c r="CE135" s="68"/>
    </row>
    <row r="136" spans="2:83" s="28" customFormat="1" ht="15.5" x14ac:dyDescent="0.3">
      <c r="B136" s="1504"/>
      <c r="C136" s="1717" t="s">
        <v>121</v>
      </c>
      <c r="D136" s="699" t="s">
        <v>3</v>
      </c>
      <c r="E136" s="67" t="b">
        <f t="shared" si="16"/>
        <v>0</v>
      </c>
      <c r="F136" s="44"/>
      <c r="G136" s="44" t="str">
        <f t="shared" si="20"/>
        <v/>
      </c>
      <c r="H136" s="44"/>
      <c r="I136" s="44"/>
      <c r="J136" s="44" t="str">
        <f t="shared" si="18"/>
        <v/>
      </c>
      <c r="K136" s="44"/>
      <c r="L136" s="44"/>
      <c r="M136" s="68"/>
      <c r="N136" s="4447"/>
      <c r="O136" s="4707"/>
      <c r="P136" s="67"/>
      <c r="Q136" s="1060" t="s">
        <v>3</v>
      </c>
      <c r="R136" s="574" t="b">
        <f t="shared" si="19"/>
        <v>0</v>
      </c>
      <c r="S136" s="44"/>
      <c r="T136" s="44"/>
      <c r="U136" s="68"/>
      <c r="V136" s="4447"/>
      <c r="W136" s="4753"/>
      <c r="X136" s="44"/>
      <c r="Y136" s="44"/>
      <c r="Z136" s="122"/>
      <c r="BO136" s="67"/>
      <c r="BP136" s="44"/>
      <c r="BQ136" s="44"/>
      <c r="BR136" s="44"/>
      <c r="BS136" s="44"/>
      <c r="BT136" s="44"/>
      <c r="BU136" s="44"/>
      <c r="BV136" s="44"/>
      <c r="BW136" s="44"/>
      <c r="BX136" s="44"/>
      <c r="BY136" s="44"/>
      <c r="BZ136" s="44"/>
      <c r="CA136" s="44"/>
      <c r="CB136" s="44"/>
      <c r="CC136" s="44"/>
      <c r="CD136" s="44"/>
      <c r="CE136" s="68"/>
    </row>
    <row r="137" spans="2:83" s="28" customFormat="1" ht="15.5" x14ac:dyDescent="0.3">
      <c r="B137" s="1504"/>
      <c r="C137" s="1717" t="s">
        <v>122</v>
      </c>
      <c r="D137" s="699" t="s">
        <v>3</v>
      </c>
      <c r="E137" s="67" t="b">
        <f t="shared" si="16"/>
        <v>0</v>
      </c>
      <c r="F137" s="44"/>
      <c r="G137" s="44" t="str">
        <f t="shared" si="20"/>
        <v/>
      </c>
      <c r="H137" s="44"/>
      <c r="I137" s="44"/>
      <c r="J137" s="44" t="str">
        <f t="shared" si="18"/>
        <v/>
      </c>
      <c r="K137" s="44"/>
      <c r="L137" s="44"/>
      <c r="M137" s="68"/>
      <c r="N137" s="4447"/>
      <c r="O137" s="4707"/>
      <c r="P137" s="67"/>
      <c r="Q137" s="1060" t="s">
        <v>3</v>
      </c>
      <c r="R137" s="574" t="b">
        <f t="shared" si="19"/>
        <v>0</v>
      </c>
      <c r="S137" s="44"/>
      <c r="T137" s="44"/>
      <c r="U137" s="68"/>
      <c r="V137" s="4447"/>
      <c r="W137" s="4753"/>
      <c r="X137" s="44"/>
      <c r="Y137" s="44"/>
      <c r="Z137" s="122"/>
      <c r="BO137" s="67"/>
      <c r="BP137" s="44"/>
      <c r="BQ137" s="44"/>
      <c r="BR137" s="44"/>
      <c r="BS137" s="44"/>
      <c r="BT137" s="44"/>
      <c r="BU137" s="44"/>
      <c r="BV137" s="44"/>
      <c r="BW137" s="44"/>
      <c r="BX137" s="44"/>
      <c r="BY137" s="44"/>
      <c r="BZ137" s="44"/>
      <c r="CA137" s="44"/>
      <c r="CB137" s="44"/>
      <c r="CC137" s="44"/>
      <c r="CD137" s="44"/>
      <c r="CE137" s="68"/>
    </row>
    <row r="138" spans="2:83" s="28" customFormat="1" ht="15.5" x14ac:dyDescent="0.3">
      <c r="B138" s="1504"/>
      <c r="C138" s="1717" t="s">
        <v>123</v>
      </c>
      <c r="D138" s="699" t="s">
        <v>3</v>
      </c>
      <c r="E138" s="67" t="b">
        <f t="shared" si="16"/>
        <v>0</v>
      </c>
      <c r="F138" s="44"/>
      <c r="G138" s="44" t="str">
        <f t="shared" si="20"/>
        <v/>
      </c>
      <c r="H138" s="44"/>
      <c r="I138" s="44"/>
      <c r="J138" s="44" t="str">
        <f t="shared" si="18"/>
        <v/>
      </c>
      <c r="K138" s="44"/>
      <c r="L138" s="44"/>
      <c r="M138" s="68"/>
      <c r="N138" s="4447"/>
      <c r="O138" s="4707"/>
      <c r="P138" s="67"/>
      <c r="Q138" s="1060" t="s">
        <v>3</v>
      </c>
      <c r="R138" s="574" t="b">
        <f t="shared" si="19"/>
        <v>0</v>
      </c>
      <c r="S138" s="44"/>
      <c r="T138" s="44"/>
      <c r="U138" s="68"/>
      <c r="V138" s="4447"/>
      <c r="W138" s="4753"/>
      <c r="X138" s="44"/>
      <c r="Y138" s="44"/>
      <c r="Z138" s="122"/>
      <c r="BO138" s="67"/>
      <c r="BP138" s="44"/>
      <c r="BQ138" s="44"/>
      <c r="BR138" s="44"/>
      <c r="BS138" s="44"/>
      <c r="BT138" s="44"/>
      <c r="BU138" s="44"/>
      <c r="BV138" s="44"/>
      <c r="BW138" s="44"/>
      <c r="BX138" s="44"/>
      <c r="BY138" s="44"/>
      <c r="BZ138" s="44"/>
      <c r="CA138" s="44"/>
      <c r="CB138" s="44"/>
      <c r="CC138" s="44"/>
      <c r="CD138" s="44"/>
      <c r="CE138" s="68"/>
    </row>
    <row r="139" spans="2:83" s="28" customFormat="1" ht="15.5" x14ac:dyDescent="0.3">
      <c r="B139" s="1504"/>
      <c r="C139" s="1717" t="s">
        <v>124</v>
      </c>
      <c r="D139" s="699" t="s">
        <v>3</v>
      </c>
      <c r="E139" s="67" t="b">
        <f t="shared" si="16"/>
        <v>0</v>
      </c>
      <c r="F139" s="44"/>
      <c r="G139" s="44" t="str">
        <f t="shared" si="20"/>
        <v/>
      </c>
      <c r="H139" s="44"/>
      <c r="I139" s="44"/>
      <c r="J139" s="44" t="str">
        <f t="shared" si="18"/>
        <v/>
      </c>
      <c r="K139" s="44"/>
      <c r="L139" s="44"/>
      <c r="M139" s="68"/>
      <c r="N139" s="4447"/>
      <c r="O139" s="4707"/>
      <c r="P139" s="67"/>
      <c r="Q139" s="1060" t="s">
        <v>3</v>
      </c>
      <c r="R139" s="574" t="b">
        <f t="shared" si="19"/>
        <v>0</v>
      </c>
      <c r="S139" s="44"/>
      <c r="T139" s="44"/>
      <c r="U139" s="68"/>
      <c r="V139" s="4447"/>
      <c r="W139" s="4753"/>
      <c r="X139" s="44"/>
      <c r="Y139" s="44"/>
      <c r="Z139" s="122"/>
      <c r="BO139" s="67"/>
      <c r="BP139" s="44"/>
      <c r="BQ139" s="44"/>
      <c r="BR139" s="44"/>
      <c r="BS139" s="44"/>
      <c r="BT139" s="44"/>
      <c r="BU139" s="44"/>
      <c r="BV139" s="44"/>
      <c r="BW139" s="44"/>
      <c r="BX139" s="44"/>
      <c r="BY139" s="44"/>
      <c r="BZ139" s="44"/>
      <c r="CA139" s="44"/>
      <c r="CB139" s="44"/>
      <c r="CC139" s="44"/>
      <c r="CD139" s="44"/>
      <c r="CE139" s="68"/>
    </row>
    <row r="140" spans="2:83" s="28" customFormat="1" ht="29" x14ac:dyDescent="0.3">
      <c r="B140" s="1504"/>
      <c r="C140" s="1717" t="s">
        <v>125</v>
      </c>
      <c r="D140" s="699" t="s">
        <v>3</v>
      </c>
      <c r="E140" s="67" t="b">
        <f t="shared" si="16"/>
        <v>0</v>
      </c>
      <c r="F140" s="44"/>
      <c r="G140" s="44" t="str">
        <f t="shared" si="20"/>
        <v/>
      </c>
      <c r="H140" s="44"/>
      <c r="I140" s="44"/>
      <c r="J140" s="44" t="str">
        <f t="shared" si="18"/>
        <v/>
      </c>
      <c r="K140" s="44"/>
      <c r="L140" s="44"/>
      <c r="M140" s="68"/>
      <c r="N140" s="4447"/>
      <c r="O140" s="4707"/>
      <c r="P140" s="67"/>
      <c r="Q140" s="1060" t="s">
        <v>3</v>
      </c>
      <c r="R140" s="574" t="b">
        <f t="shared" si="19"/>
        <v>0</v>
      </c>
      <c r="S140" s="44"/>
      <c r="T140" s="44"/>
      <c r="U140" s="68"/>
      <c r="V140" s="4447"/>
      <c r="W140" s="4753"/>
      <c r="X140" s="44"/>
      <c r="Y140" s="44"/>
      <c r="Z140" s="122"/>
      <c r="BO140" s="67"/>
      <c r="BP140" s="44"/>
      <c r="BQ140" s="44"/>
      <c r="BR140" s="44"/>
      <c r="BS140" s="44"/>
      <c r="BT140" s="44"/>
      <c r="BU140" s="44"/>
      <c r="BV140" s="44"/>
      <c r="BW140" s="44"/>
      <c r="BX140" s="44"/>
      <c r="BY140" s="44"/>
      <c r="BZ140" s="44"/>
      <c r="CA140" s="44"/>
      <c r="CB140" s="44"/>
      <c r="CC140" s="44"/>
      <c r="CD140" s="44"/>
      <c r="CE140" s="68"/>
    </row>
    <row r="141" spans="2:83" s="28" customFormat="1" ht="43.5" x14ac:dyDescent="0.3">
      <c r="B141" s="1504"/>
      <c r="C141" s="1717" t="s">
        <v>128</v>
      </c>
      <c r="D141" s="699" t="s">
        <v>3</v>
      </c>
      <c r="E141" s="67" t="b">
        <f t="shared" si="16"/>
        <v>0</v>
      </c>
      <c r="F141" s="44"/>
      <c r="G141" s="44" t="str">
        <f t="shared" si="20"/>
        <v/>
      </c>
      <c r="H141" s="44"/>
      <c r="I141" s="44"/>
      <c r="J141" s="44" t="str">
        <f t="shared" si="18"/>
        <v/>
      </c>
      <c r="K141" s="44"/>
      <c r="L141" s="44"/>
      <c r="M141" s="68"/>
      <c r="N141" s="4447"/>
      <c r="O141" s="4707"/>
      <c r="P141" s="67"/>
      <c r="Q141" s="1060" t="s">
        <v>3</v>
      </c>
      <c r="R141" s="574" t="b">
        <f t="shared" si="19"/>
        <v>0</v>
      </c>
      <c r="S141" s="44"/>
      <c r="T141" s="44"/>
      <c r="U141" s="68"/>
      <c r="V141" s="4447"/>
      <c r="W141" s="4753"/>
      <c r="X141" s="44"/>
      <c r="Y141" s="44"/>
      <c r="Z141" s="122"/>
      <c r="BO141" s="67"/>
      <c r="BP141" s="44"/>
      <c r="BQ141" s="44"/>
      <c r="BR141" s="44"/>
      <c r="BS141" s="44"/>
      <c r="BT141" s="44"/>
      <c r="BU141" s="44"/>
      <c r="BV141" s="44"/>
      <c r="BW141" s="44"/>
      <c r="BX141" s="44"/>
      <c r="BY141" s="44"/>
      <c r="BZ141" s="44"/>
      <c r="CA141" s="44"/>
      <c r="CB141" s="44"/>
      <c r="CC141" s="44"/>
      <c r="CD141" s="44"/>
      <c r="CE141" s="68"/>
    </row>
    <row r="142" spans="2:83" s="28" customFormat="1" ht="15.5" x14ac:dyDescent="0.3">
      <c r="B142" s="1504"/>
      <c r="C142" s="1717" t="s">
        <v>129</v>
      </c>
      <c r="D142" s="699" t="s">
        <v>3</v>
      </c>
      <c r="E142" s="67" t="b">
        <f t="shared" si="16"/>
        <v>0</v>
      </c>
      <c r="F142" s="44"/>
      <c r="G142" s="44" t="str">
        <f t="shared" si="20"/>
        <v/>
      </c>
      <c r="H142" s="44"/>
      <c r="I142" s="44"/>
      <c r="J142" s="44" t="str">
        <f t="shared" si="18"/>
        <v/>
      </c>
      <c r="K142" s="44"/>
      <c r="L142" s="44"/>
      <c r="M142" s="68"/>
      <c r="N142" s="4447"/>
      <c r="O142" s="4707"/>
      <c r="P142" s="67"/>
      <c r="Q142" s="1060" t="s">
        <v>3</v>
      </c>
      <c r="R142" s="574" t="b">
        <f t="shared" si="19"/>
        <v>0</v>
      </c>
      <c r="S142" s="44"/>
      <c r="T142" s="44"/>
      <c r="U142" s="68"/>
      <c r="V142" s="4447"/>
      <c r="W142" s="4753"/>
      <c r="X142" s="44"/>
      <c r="Y142" s="44"/>
      <c r="Z142" s="122"/>
      <c r="BO142" s="67"/>
      <c r="BP142" s="44"/>
      <c r="BQ142" s="44"/>
      <c r="BR142" s="44"/>
      <c r="BS142" s="44"/>
      <c r="BT142" s="44"/>
      <c r="BU142" s="44"/>
      <c r="BV142" s="44"/>
      <c r="BW142" s="44"/>
      <c r="BX142" s="44"/>
      <c r="BY142" s="44"/>
      <c r="BZ142" s="44"/>
      <c r="CA142" s="44"/>
      <c r="CB142" s="44"/>
      <c r="CC142" s="44"/>
      <c r="CD142" s="44"/>
      <c r="CE142" s="68"/>
    </row>
    <row r="143" spans="2:83" s="28" customFormat="1" ht="15.5" x14ac:dyDescent="0.3">
      <c r="B143" s="1504"/>
      <c r="C143" s="1717" t="s">
        <v>130</v>
      </c>
      <c r="D143" s="699" t="s">
        <v>3</v>
      </c>
      <c r="E143" s="67" t="b">
        <f t="shared" si="16"/>
        <v>0</v>
      </c>
      <c r="F143" s="44"/>
      <c r="G143" s="44" t="str">
        <f t="shared" si="20"/>
        <v/>
      </c>
      <c r="H143" s="44"/>
      <c r="I143" s="44"/>
      <c r="J143" s="44" t="str">
        <f t="shared" si="18"/>
        <v/>
      </c>
      <c r="K143" s="44"/>
      <c r="L143" s="44"/>
      <c r="M143" s="68"/>
      <c r="N143" s="4447"/>
      <c r="O143" s="4707"/>
      <c r="P143" s="67"/>
      <c r="Q143" s="1060" t="s">
        <v>3</v>
      </c>
      <c r="R143" s="574" t="b">
        <f t="shared" si="19"/>
        <v>0</v>
      </c>
      <c r="S143" s="44"/>
      <c r="T143" s="44"/>
      <c r="U143" s="68"/>
      <c r="V143" s="4447"/>
      <c r="W143" s="4753"/>
      <c r="X143" s="44"/>
      <c r="Y143" s="44"/>
      <c r="Z143" s="122"/>
      <c r="BO143" s="67"/>
      <c r="BP143" s="44"/>
      <c r="BQ143" s="44"/>
      <c r="BR143" s="44"/>
      <c r="BS143" s="44"/>
      <c r="BT143" s="44"/>
      <c r="BU143" s="44"/>
      <c r="BV143" s="44"/>
      <c r="BW143" s="44"/>
      <c r="BX143" s="44"/>
      <c r="BY143" s="44"/>
      <c r="BZ143" s="44"/>
      <c r="CA143" s="44"/>
      <c r="CB143" s="44"/>
      <c r="CC143" s="44"/>
      <c r="CD143" s="44"/>
      <c r="CE143" s="68"/>
    </row>
    <row r="144" spans="2:83" s="28" customFormat="1" ht="15.5" x14ac:dyDescent="0.3">
      <c r="B144" s="1504"/>
      <c r="C144" s="1717" t="s">
        <v>131</v>
      </c>
      <c r="D144" s="699" t="s">
        <v>3</v>
      </c>
      <c r="E144" s="67" t="b">
        <f t="shared" si="16"/>
        <v>0</v>
      </c>
      <c r="F144" s="44"/>
      <c r="G144" s="44" t="str">
        <f t="shared" si="20"/>
        <v/>
      </c>
      <c r="H144" s="44"/>
      <c r="I144" s="44"/>
      <c r="J144" s="44" t="str">
        <f t="shared" si="18"/>
        <v/>
      </c>
      <c r="K144" s="44"/>
      <c r="L144" s="44"/>
      <c r="M144" s="68"/>
      <c r="N144" s="4447"/>
      <c r="O144" s="4707"/>
      <c r="P144" s="67"/>
      <c r="Q144" s="1060" t="s">
        <v>3</v>
      </c>
      <c r="R144" s="574" t="b">
        <f t="shared" si="19"/>
        <v>0</v>
      </c>
      <c r="S144" s="44"/>
      <c r="T144" s="44"/>
      <c r="U144" s="68"/>
      <c r="V144" s="4447"/>
      <c r="W144" s="4753"/>
      <c r="X144" s="44"/>
      <c r="Y144" s="44"/>
      <c r="Z144" s="122"/>
      <c r="BO144" s="67"/>
      <c r="BP144" s="44"/>
      <c r="BQ144" s="44"/>
      <c r="BR144" s="44"/>
      <c r="BS144" s="44"/>
      <c r="BT144" s="44"/>
      <c r="BU144" s="44"/>
      <c r="BV144" s="44"/>
      <c r="BW144" s="44"/>
      <c r="BX144" s="44"/>
      <c r="BY144" s="44"/>
      <c r="BZ144" s="44"/>
      <c r="CA144" s="44"/>
      <c r="CB144" s="44"/>
      <c r="CC144" s="44"/>
      <c r="CD144" s="44"/>
      <c r="CE144" s="68"/>
    </row>
    <row r="145" spans="1:83" s="28" customFormat="1" ht="29" x14ac:dyDescent="0.3">
      <c r="B145" s="1504"/>
      <c r="C145" s="1717" t="s">
        <v>132</v>
      </c>
      <c r="D145" s="699" t="s">
        <v>3</v>
      </c>
      <c r="E145" s="67" t="b">
        <f t="shared" si="16"/>
        <v>0</v>
      </c>
      <c r="F145" s="44"/>
      <c r="G145" s="44" t="str">
        <f t="shared" si="20"/>
        <v/>
      </c>
      <c r="H145" s="44"/>
      <c r="I145" s="44"/>
      <c r="J145" s="44" t="str">
        <f t="shared" si="18"/>
        <v/>
      </c>
      <c r="K145" s="44"/>
      <c r="L145" s="44"/>
      <c r="M145" s="68"/>
      <c r="N145" s="4447"/>
      <c r="O145" s="4707"/>
      <c r="P145" s="67"/>
      <c r="Q145" s="1060" t="s">
        <v>3</v>
      </c>
      <c r="R145" s="574" t="b">
        <f t="shared" si="19"/>
        <v>0</v>
      </c>
      <c r="S145" s="44"/>
      <c r="T145" s="44"/>
      <c r="U145" s="68"/>
      <c r="V145" s="4447"/>
      <c r="W145" s="4753"/>
      <c r="X145" s="44"/>
      <c r="Y145" s="44"/>
      <c r="Z145" s="122"/>
      <c r="BO145" s="67"/>
      <c r="BP145" s="44"/>
      <c r="BQ145" s="44"/>
      <c r="BR145" s="44"/>
      <c r="BS145" s="44"/>
      <c r="BT145" s="44"/>
      <c r="BU145" s="44"/>
      <c r="BV145" s="44"/>
      <c r="BW145" s="44"/>
      <c r="BX145" s="44"/>
      <c r="BY145" s="44"/>
      <c r="BZ145" s="44"/>
      <c r="CA145" s="44"/>
      <c r="CB145" s="44"/>
      <c r="CC145" s="44"/>
      <c r="CD145" s="44"/>
      <c r="CE145" s="68"/>
    </row>
    <row r="146" spans="1:83" s="28" customFormat="1" ht="15.5" x14ac:dyDescent="0.3">
      <c r="B146" s="1504"/>
      <c r="C146" s="1717" t="s">
        <v>133</v>
      </c>
      <c r="D146" s="699" t="s">
        <v>3</v>
      </c>
      <c r="E146" s="67" t="b">
        <f t="shared" si="16"/>
        <v>0</v>
      </c>
      <c r="F146" s="44"/>
      <c r="G146" s="44" t="str">
        <f t="shared" si="20"/>
        <v/>
      </c>
      <c r="H146" s="44"/>
      <c r="I146" s="44"/>
      <c r="J146" s="44" t="str">
        <f t="shared" si="18"/>
        <v/>
      </c>
      <c r="K146" s="44"/>
      <c r="L146" s="44"/>
      <c r="M146" s="68"/>
      <c r="N146" s="4447"/>
      <c r="O146" s="4707"/>
      <c r="P146" s="67"/>
      <c r="Q146" s="1060" t="s">
        <v>3</v>
      </c>
      <c r="R146" s="574" t="b">
        <f t="shared" si="19"/>
        <v>0</v>
      </c>
      <c r="S146" s="44"/>
      <c r="T146" s="44"/>
      <c r="U146" s="68"/>
      <c r="V146" s="4447"/>
      <c r="W146" s="4753"/>
      <c r="X146" s="44"/>
      <c r="Y146" s="44"/>
      <c r="Z146" s="122"/>
      <c r="BO146" s="67"/>
      <c r="BP146" s="44"/>
      <c r="BQ146" s="44"/>
      <c r="BR146" s="44"/>
      <c r="BS146" s="44"/>
      <c r="BT146" s="44"/>
      <c r="BU146" s="44"/>
      <c r="BV146" s="44"/>
      <c r="BW146" s="44"/>
      <c r="BX146" s="44"/>
      <c r="BY146" s="44"/>
      <c r="BZ146" s="44"/>
      <c r="CA146" s="44"/>
      <c r="CB146" s="44"/>
      <c r="CC146" s="44"/>
      <c r="CD146" s="44"/>
      <c r="CE146" s="68"/>
    </row>
    <row r="147" spans="1:83" s="28" customFormat="1" ht="58" x14ac:dyDescent="0.3">
      <c r="B147" s="1504"/>
      <c r="C147" s="1717" t="s">
        <v>134</v>
      </c>
      <c r="D147" s="699" t="s">
        <v>3</v>
      </c>
      <c r="E147" s="67" t="b">
        <f t="shared" si="16"/>
        <v>0</v>
      </c>
      <c r="F147" s="44"/>
      <c r="G147" s="44" t="str">
        <f t="shared" si="20"/>
        <v/>
      </c>
      <c r="H147" s="44"/>
      <c r="I147" s="44"/>
      <c r="J147" s="44" t="str">
        <f t="shared" si="18"/>
        <v/>
      </c>
      <c r="K147" s="44"/>
      <c r="L147" s="44"/>
      <c r="M147" s="68"/>
      <c r="N147" s="4447"/>
      <c r="O147" s="4707"/>
      <c r="P147" s="67"/>
      <c r="Q147" s="1060" t="s">
        <v>3</v>
      </c>
      <c r="R147" s="574" t="b">
        <f t="shared" si="19"/>
        <v>0</v>
      </c>
      <c r="S147" s="44"/>
      <c r="T147" s="44"/>
      <c r="U147" s="68"/>
      <c r="V147" s="4447"/>
      <c r="W147" s="4753"/>
      <c r="X147" s="44"/>
      <c r="Y147" s="44"/>
      <c r="Z147" s="122"/>
      <c r="BO147" s="67"/>
      <c r="BP147" s="44"/>
      <c r="BQ147" s="44"/>
      <c r="BR147" s="44"/>
      <c r="BS147" s="44"/>
      <c r="BT147" s="44"/>
      <c r="BU147" s="44"/>
      <c r="BV147" s="44"/>
      <c r="BW147" s="44"/>
      <c r="BX147" s="44"/>
      <c r="BY147" s="44"/>
      <c r="BZ147" s="44"/>
      <c r="CA147" s="44"/>
      <c r="CB147" s="44"/>
      <c r="CC147" s="44"/>
      <c r="CD147" s="44"/>
      <c r="CE147" s="68"/>
    </row>
    <row r="148" spans="1:83" s="28" customFormat="1" ht="15.5" x14ac:dyDescent="0.3">
      <c r="B148" s="1504"/>
      <c r="C148" s="1717" t="s">
        <v>135</v>
      </c>
      <c r="D148" s="699" t="s">
        <v>3</v>
      </c>
      <c r="E148" s="67" t="b">
        <f t="shared" si="16"/>
        <v>0</v>
      </c>
      <c r="F148" s="44"/>
      <c r="G148" s="44" t="str">
        <f t="shared" si="20"/>
        <v/>
      </c>
      <c r="H148" s="44"/>
      <c r="I148" s="44"/>
      <c r="J148" s="44" t="str">
        <f t="shared" si="18"/>
        <v/>
      </c>
      <c r="K148" s="44"/>
      <c r="L148" s="44"/>
      <c r="M148" s="68"/>
      <c r="N148" s="4447"/>
      <c r="O148" s="4707"/>
      <c r="P148" s="67"/>
      <c r="Q148" s="1060" t="s">
        <v>3</v>
      </c>
      <c r="R148" s="574" t="b">
        <f t="shared" si="19"/>
        <v>0</v>
      </c>
      <c r="S148" s="44"/>
      <c r="T148" s="44"/>
      <c r="U148" s="68"/>
      <c r="V148" s="4447"/>
      <c r="W148" s="4753"/>
      <c r="X148" s="44"/>
      <c r="Y148" s="44"/>
      <c r="Z148" s="122"/>
      <c r="BO148" s="67"/>
      <c r="BP148" s="44"/>
      <c r="BQ148" s="44"/>
      <c r="BR148" s="44"/>
      <c r="BS148" s="44"/>
      <c r="BT148" s="44"/>
      <c r="BU148" s="44"/>
      <c r="BV148" s="44"/>
      <c r="BW148" s="44"/>
      <c r="BX148" s="44"/>
      <c r="BY148" s="44"/>
      <c r="BZ148" s="44"/>
      <c r="CA148" s="44"/>
      <c r="CB148" s="44"/>
      <c r="CC148" s="44"/>
      <c r="CD148" s="44"/>
      <c r="CE148" s="68"/>
    </row>
    <row r="149" spans="1:83" s="28" customFormat="1" ht="15.5" x14ac:dyDescent="0.3">
      <c r="B149" s="1504"/>
      <c r="C149" s="1717" t="s">
        <v>136</v>
      </c>
      <c r="D149" s="699" t="s">
        <v>3</v>
      </c>
      <c r="E149" s="67" t="b">
        <f t="shared" si="16"/>
        <v>0</v>
      </c>
      <c r="F149" s="44"/>
      <c r="G149" s="44" t="str">
        <f t="shared" si="20"/>
        <v/>
      </c>
      <c r="H149" s="44"/>
      <c r="I149" s="44"/>
      <c r="J149" s="44" t="str">
        <f t="shared" si="18"/>
        <v/>
      </c>
      <c r="K149" s="44"/>
      <c r="L149" s="44"/>
      <c r="M149" s="68"/>
      <c r="N149" s="4447"/>
      <c r="O149" s="4707"/>
      <c r="P149" s="67"/>
      <c r="Q149" s="1060" t="s">
        <v>3</v>
      </c>
      <c r="R149" s="574" t="b">
        <f t="shared" si="19"/>
        <v>0</v>
      </c>
      <c r="S149" s="44"/>
      <c r="T149" s="44"/>
      <c r="U149" s="68"/>
      <c r="V149" s="4447"/>
      <c r="W149" s="4753"/>
      <c r="X149" s="44"/>
      <c r="Y149" s="44"/>
      <c r="Z149" s="122"/>
      <c r="BO149" s="67"/>
      <c r="BP149" s="44"/>
      <c r="BQ149" s="44"/>
      <c r="BR149" s="44"/>
      <c r="BS149" s="44"/>
      <c r="BT149" s="44"/>
      <c r="BU149" s="44"/>
      <c r="BV149" s="44"/>
      <c r="BW149" s="44"/>
      <c r="BX149" s="44"/>
      <c r="BY149" s="44"/>
      <c r="BZ149" s="44"/>
      <c r="CA149" s="44"/>
      <c r="CB149" s="44"/>
      <c r="CC149" s="44"/>
      <c r="CD149" s="44"/>
      <c r="CE149" s="68"/>
    </row>
    <row r="150" spans="1:83" s="28" customFormat="1" ht="29" x14ac:dyDescent="0.3">
      <c r="B150" s="1504"/>
      <c r="C150" s="1717" t="s">
        <v>138</v>
      </c>
      <c r="D150" s="699" t="s">
        <v>3</v>
      </c>
      <c r="E150" s="67" t="b">
        <f t="shared" si="16"/>
        <v>0</v>
      </c>
      <c r="F150" s="44"/>
      <c r="G150" s="44" t="str">
        <f t="shared" si="20"/>
        <v/>
      </c>
      <c r="H150" s="44"/>
      <c r="I150" s="44"/>
      <c r="J150" s="44" t="str">
        <f t="shared" si="18"/>
        <v/>
      </c>
      <c r="K150" s="44"/>
      <c r="L150" s="44"/>
      <c r="M150" s="68"/>
      <c r="N150" s="4447"/>
      <c r="O150" s="4707"/>
      <c r="P150" s="67"/>
      <c r="Q150" s="1060" t="s">
        <v>3</v>
      </c>
      <c r="R150" s="574" t="b">
        <f t="shared" si="19"/>
        <v>0</v>
      </c>
      <c r="S150" s="44"/>
      <c r="T150" s="44"/>
      <c r="U150" s="68"/>
      <c r="V150" s="4447"/>
      <c r="W150" s="4753"/>
      <c r="X150" s="44"/>
      <c r="Y150" s="44"/>
      <c r="Z150" s="122"/>
      <c r="BO150" s="67"/>
      <c r="BP150" s="44"/>
      <c r="BQ150" s="44"/>
      <c r="BR150" s="44"/>
      <c r="BS150" s="44"/>
      <c r="BT150" s="44"/>
      <c r="BU150" s="44"/>
      <c r="BV150" s="44"/>
      <c r="BW150" s="44"/>
      <c r="BX150" s="44"/>
      <c r="BY150" s="44"/>
      <c r="BZ150" s="44"/>
      <c r="CA150" s="44"/>
      <c r="CB150" s="44"/>
      <c r="CC150" s="44"/>
      <c r="CD150" s="44"/>
      <c r="CE150" s="68"/>
    </row>
    <row r="151" spans="1:83" s="28" customFormat="1" ht="43.5" x14ac:dyDescent="0.3">
      <c r="B151" s="1504"/>
      <c r="C151" s="1717" t="s">
        <v>139</v>
      </c>
      <c r="D151" s="699" t="s">
        <v>3</v>
      </c>
      <c r="E151" s="67" t="b">
        <f t="shared" si="16"/>
        <v>0</v>
      </c>
      <c r="F151" s="44"/>
      <c r="G151" s="44" t="str">
        <f t="shared" si="20"/>
        <v/>
      </c>
      <c r="H151" s="44"/>
      <c r="I151" s="44"/>
      <c r="J151" s="44" t="str">
        <f t="shared" si="18"/>
        <v/>
      </c>
      <c r="K151" s="44"/>
      <c r="L151" s="44"/>
      <c r="M151" s="68"/>
      <c r="N151" s="4447"/>
      <c r="O151" s="4707"/>
      <c r="P151" s="67"/>
      <c r="Q151" s="1060" t="s">
        <v>3</v>
      </c>
      <c r="R151" s="574" t="b">
        <f t="shared" si="19"/>
        <v>0</v>
      </c>
      <c r="S151" s="44"/>
      <c r="T151" s="44"/>
      <c r="U151" s="68"/>
      <c r="V151" s="4447"/>
      <c r="W151" s="4753"/>
      <c r="X151" s="44"/>
      <c r="Y151" s="44"/>
      <c r="Z151" s="122"/>
      <c r="BO151" s="67"/>
      <c r="BP151" s="44"/>
      <c r="BQ151" s="44"/>
      <c r="BR151" s="44"/>
      <c r="BS151" s="44"/>
      <c r="BT151" s="44"/>
      <c r="BU151" s="44"/>
      <c r="BV151" s="44"/>
      <c r="BW151" s="44"/>
      <c r="BX151" s="44"/>
      <c r="BY151" s="44"/>
      <c r="BZ151" s="44"/>
      <c r="CA151" s="44"/>
      <c r="CB151" s="44"/>
      <c r="CC151" s="44"/>
      <c r="CD151" s="44"/>
      <c r="CE151" s="68"/>
    </row>
    <row r="152" spans="1:83" s="28" customFormat="1" ht="43.5" x14ac:dyDescent="0.3">
      <c r="B152" s="1504"/>
      <c r="C152" s="1717" t="s">
        <v>140</v>
      </c>
      <c r="D152" s="699" t="s">
        <v>3</v>
      </c>
      <c r="E152" s="67" t="b">
        <f t="shared" si="16"/>
        <v>0</v>
      </c>
      <c r="F152" s="44"/>
      <c r="G152" s="44" t="str">
        <f t="shared" si="20"/>
        <v/>
      </c>
      <c r="H152" s="44"/>
      <c r="I152" s="44"/>
      <c r="J152" s="44" t="str">
        <f t="shared" si="18"/>
        <v/>
      </c>
      <c r="K152" s="44"/>
      <c r="L152" s="44"/>
      <c r="M152" s="68"/>
      <c r="N152" s="4447"/>
      <c r="O152" s="4707"/>
      <c r="P152" s="67"/>
      <c r="Q152" s="1060" t="s">
        <v>3</v>
      </c>
      <c r="R152" s="574" t="b">
        <f t="shared" si="19"/>
        <v>0</v>
      </c>
      <c r="S152" s="44"/>
      <c r="T152" s="44"/>
      <c r="U152" s="68"/>
      <c r="V152" s="4447"/>
      <c r="W152" s="4753"/>
      <c r="X152" s="44"/>
      <c r="Y152" s="44"/>
      <c r="Z152" s="122"/>
      <c r="BO152" s="67"/>
      <c r="BP152" s="44"/>
      <c r="BQ152" s="44"/>
      <c r="BR152" s="44"/>
      <c r="BS152" s="44"/>
      <c r="BT152" s="44"/>
      <c r="BU152" s="44"/>
      <c r="BV152" s="44"/>
      <c r="BW152" s="44"/>
      <c r="BX152" s="44"/>
      <c r="BY152" s="44"/>
      <c r="BZ152" s="44"/>
      <c r="CA152" s="44"/>
      <c r="CB152" s="44"/>
      <c r="CC152" s="44"/>
      <c r="CD152" s="44"/>
      <c r="CE152" s="68"/>
    </row>
    <row r="153" spans="1:83" s="28" customFormat="1" ht="15.5" x14ac:dyDescent="0.3">
      <c r="B153" s="1504"/>
      <c r="C153" s="1717" t="s">
        <v>141</v>
      </c>
      <c r="D153" s="699" t="s">
        <v>3</v>
      </c>
      <c r="E153" s="67" t="b">
        <f t="shared" si="16"/>
        <v>0</v>
      </c>
      <c r="F153" s="44"/>
      <c r="G153" s="44" t="str">
        <f t="shared" si="20"/>
        <v/>
      </c>
      <c r="H153" s="44"/>
      <c r="I153" s="44"/>
      <c r="J153" s="44" t="str">
        <f t="shared" si="18"/>
        <v/>
      </c>
      <c r="K153" s="44"/>
      <c r="L153" s="44"/>
      <c r="M153" s="68"/>
      <c r="N153" s="4447"/>
      <c r="O153" s="4707"/>
      <c r="P153" s="67"/>
      <c r="Q153" s="1060" t="s">
        <v>3</v>
      </c>
      <c r="R153" s="574" t="b">
        <f t="shared" si="19"/>
        <v>0</v>
      </c>
      <c r="S153" s="44"/>
      <c r="T153" s="44"/>
      <c r="U153" s="68"/>
      <c r="V153" s="4447"/>
      <c r="W153" s="4753"/>
      <c r="X153" s="44"/>
      <c r="Y153" s="44"/>
      <c r="Z153" s="122"/>
      <c r="BO153" s="67"/>
      <c r="BP153" s="44"/>
      <c r="BQ153" s="44"/>
      <c r="BR153" s="44"/>
      <c r="BS153" s="44"/>
      <c r="BT153" s="44"/>
      <c r="BU153" s="44"/>
      <c r="BV153" s="44"/>
      <c r="BW153" s="44"/>
      <c r="BX153" s="44"/>
      <c r="BY153" s="44"/>
      <c r="BZ153" s="44"/>
      <c r="CA153" s="44"/>
      <c r="CB153" s="44"/>
      <c r="CC153" s="44"/>
      <c r="CD153" s="44"/>
      <c r="CE153" s="68"/>
    </row>
    <row r="154" spans="1:83" s="28" customFormat="1" ht="16" thickBot="1" x14ac:dyDescent="0.35">
      <c r="B154" s="1505"/>
      <c r="C154" s="1800" t="s">
        <v>142</v>
      </c>
      <c r="D154" s="700" t="s">
        <v>3</v>
      </c>
      <c r="E154" s="161" t="b">
        <f t="shared" si="16"/>
        <v>0</v>
      </c>
      <c r="F154" s="124"/>
      <c r="G154" s="124" t="str">
        <f t="shared" si="20"/>
        <v/>
      </c>
      <c r="H154" s="124"/>
      <c r="I154" s="124"/>
      <c r="J154" s="124" t="str">
        <f t="shared" si="18"/>
        <v/>
      </c>
      <c r="K154" s="124"/>
      <c r="L154" s="124"/>
      <c r="M154" s="246"/>
      <c r="N154" s="4448"/>
      <c r="O154" s="4708"/>
      <c r="P154" s="161"/>
      <c r="Q154" s="1017" t="s">
        <v>3</v>
      </c>
      <c r="R154" s="922" t="b">
        <f t="shared" si="19"/>
        <v>0</v>
      </c>
      <c r="S154" s="124"/>
      <c r="T154" s="124"/>
      <c r="U154" s="246"/>
      <c r="V154" s="4448"/>
      <c r="W154" s="4763"/>
      <c r="X154" s="124"/>
      <c r="Y154" s="124"/>
      <c r="Z154" s="125"/>
      <c r="BO154" s="67"/>
      <c r="BP154" s="44"/>
      <c r="BQ154" s="44"/>
      <c r="BR154" s="44"/>
      <c r="BS154" s="44"/>
      <c r="BT154" s="44"/>
      <c r="BU154" s="44"/>
      <c r="BV154" s="44"/>
      <c r="BW154" s="44"/>
      <c r="BX154" s="44"/>
      <c r="BY154" s="44"/>
      <c r="BZ154" s="44"/>
      <c r="CA154" s="44"/>
      <c r="CB154" s="44"/>
      <c r="CC154" s="44"/>
      <c r="CD154" s="44"/>
      <c r="CE154" s="68"/>
    </row>
    <row r="155" spans="1:83" s="3634" customFormat="1" ht="15" thickTop="1" x14ac:dyDescent="0.3">
      <c r="B155" s="3679"/>
      <c r="V155" s="3635"/>
      <c r="BO155" s="3680"/>
      <c r="BP155" s="3681"/>
      <c r="BQ155" s="3681"/>
      <c r="BR155" s="3681"/>
      <c r="BS155" s="3681"/>
      <c r="BT155" s="3681"/>
      <c r="BU155" s="3681"/>
      <c r="BV155" s="3681"/>
      <c r="BW155" s="3681"/>
      <c r="BX155" s="3681"/>
      <c r="BY155" s="3681"/>
      <c r="BZ155" s="3681"/>
      <c r="CA155" s="3681"/>
      <c r="CB155" s="3681"/>
      <c r="CC155" s="3681"/>
      <c r="CD155" s="3681"/>
      <c r="CE155" s="3682"/>
    </row>
    <row r="156" spans="1:83" s="3650" customFormat="1" ht="18.5" x14ac:dyDescent="0.3">
      <c r="A156" s="4482" t="s">
        <v>1245</v>
      </c>
      <c r="B156" s="4483"/>
      <c r="C156" s="4483"/>
      <c r="D156" s="4483"/>
      <c r="E156" s="4483"/>
      <c r="F156" s="4483"/>
      <c r="G156" s="4483"/>
      <c r="H156" s="4483"/>
      <c r="I156" s="4483"/>
      <c r="J156" s="4483"/>
      <c r="K156" s="4483"/>
      <c r="L156" s="4483"/>
      <c r="M156" s="4483"/>
      <c r="N156" s="4483"/>
      <c r="O156" s="3669"/>
      <c r="P156" s="3683"/>
      <c r="Q156" s="3683"/>
      <c r="R156" s="3683"/>
      <c r="S156" s="3684"/>
      <c r="T156" s="3685"/>
      <c r="U156" s="3685"/>
      <c r="V156" s="3669"/>
      <c r="W156" s="3683"/>
      <c r="X156" s="3684"/>
      <c r="Y156" s="3685"/>
      <c r="Z156" s="3787"/>
    </row>
    <row r="157" spans="1:83" s="3634" customFormat="1" ht="15" thickBot="1" x14ac:dyDescent="0.35">
      <c r="L157" s="3686"/>
      <c r="V157" s="3635"/>
      <c r="BO157" s="3687"/>
      <c r="BP157" s="3688"/>
      <c r="BQ157" s="3688"/>
      <c r="BR157" s="3688"/>
      <c r="BS157" s="3688"/>
      <c r="BT157" s="3688"/>
      <c r="BU157" s="3688"/>
      <c r="BV157" s="3688"/>
      <c r="BW157" s="3688"/>
      <c r="BX157" s="3688"/>
      <c r="BY157" s="3688"/>
      <c r="BZ157" s="3688"/>
      <c r="CA157" s="3688"/>
      <c r="CB157" s="3688"/>
      <c r="CC157" s="3688"/>
      <c r="CD157" s="3688"/>
      <c r="CE157" s="3689"/>
    </row>
    <row r="158" spans="1:83" s="332" customFormat="1" ht="59" thickTop="1" thickBot="1" x14ac:dyDescent="0.35">
      <c r="A158" s="624"/>
      <c r="B158" s="2308" t="s">
        <v>459</v>
      </c>
      <c r="C158" s="1946" t="s">
        <v>460</v>
      </c>
      <c r="D158" s="1947" t="s">
        <v>565</v>
      </c>
      <c r="E158" s="1948" t="b">
        <f>IF(AND(E159=TRUE,E162=TRUE,E170=TRUE),TRUE,FALSE)</f>
        <v>0</v>
      </c>
      <c r="F158" s="1949">
        <f>SUM(F159,F162,F170)</f>
        <v>0</v>
      </c>
      <c r="G158" s="1949">
        <f>SUM(G159,G162,G170)</f>
        <v>0</v>
      </c>
      <c r="H158" s="1949">
        <f>SUM(H159,H162,H170)</f>
        <v>0</v>
      </c>
      <c r="I158" s="1519" t="str">
        <f xml:space="preserve">
IF(F158&gt;28,"Too Many Entries - Check Red Lines",
IF(AND(E158=FALSE,G158=0,H158=0,E158=TRUE),"Nothing Required Below",
IF(G158&lt;F158,"Valid Entry required below - Check Amber Line/s",
IF(AND(E158=FALSE,G158=0,H158=0),"Nothing Entered below Yet",
IF(G158&lt;F158,"Valid Entry required below - Check Amber Line/s",
IF(AND(G158=0,H158&gt;0),"**Non-Valid Entry/ies below - Check Yellow Line/s",
IF(AND(G158&gt;0,H158&gt;0),"**Valid and Non-Valid Entries made below - Check Yellow Line/s",
IF(AND(E158=FALSE,F158&lt;28),"Not all requirements addressed below - Check Pink Line/s",
IF(AND(E158=FALSE,G158&lt;28,G158&gt;0,H158=0),"More entries to come",
IF(AND(E158,TRUE,G158=28,H158=0),"Valid Entries made below"
))))))))))</f>
        <v>Nothing Entered below Yet</v>
      </c>
      <c r="J158" s="1519">
        <f>SUM(J159,J162,J170)</f>
        <v>0</v>
      </c>
      <c r="K158" s="1519">
        <f>SUM(K159,K162,K170)</f>
        <v>0</v>
      </c>
      <c r="L158" s="1519" t="str">
        <f xml:space="preserve">
IF(J158&gt;28,"Too Many Entries - Check Red Lines",
IF(AND(E158=FALSE,J158=0,K158=0,E158=TRUE),"Nothing Required Below",
IF(J158&lt;F158,"Valid Entry required below - Check Amber Line/s",
IF(AND(E158=FALSE,J158=0,K158=0),"Nothing Entered below Yet",
IF(AND(J158=0,K158&gt;0),"**Non-Valid Entry/ies below - Check Yellow Line/s",
IF(AND(J158&gt;0,K158&gt;0),"**Valid and Non-Valid Entries made below - Check Yellow Line/s",
IF(AND(E158=FALSE,J158&lt;28),"Not all requirements addressed below - Check Pink Line/s",
IF(AND(E158=FALSE,J158&lt;28,J158&gt;0,K158=0),"More entries to come",
IF(AND(E158,TRUE,J158=28,K158=0),"Valid Entries made below"
)))))))))</f>
        <v>Nothing Entered below Yet</v>
      </c>
      <c r="M158" s="1009"/>
      <c r="N158" s="698" t="s">
        <v>565</v>
      </c>
      <c r="O158" s="66" t="b">
        <f>IF(AND(O159=TRUE,O162=TRUE,O170=TRUE),TRUE,FALSE)</f>
        <v>0</v>
      </c>
      <c r="P158" s="3797"/>
      <c r="Q158" s="1197" t="s">
        <v>565</v>
      </c>
      <c r="R158" s="864" t="b">
        <f>IF(AND(R159=TRUE,R162=TRUE,R170=TRUE),TRUE,FALSE)</f>
        <v>0</v>
      </c>
      <c r="S158" s="2693"/>
      <c r="T158" s="2693"/>
      <c r="U158" s="2694"/>
      <c r="V158" s="4138" t="s">
        <v>565</v>
      </c>
      <c r="W158" s="1565" t="b">
        <f>IF(AND(W159=TRUE,W162=TRUE,W170=TRUE),TRUE,FALSE)</f>
        <v>0</v>
      </c>
      <c r="X158" s="2695"/>
      <c r="Y158" s="2695"/>
      <c r="Z158" s="2696"/>
      <c r="BO158" s="673"/>
      <c r="BP158" s="674"/>
      <c r="BQ158" s="674"/>
      <c r="BR158" s="674"/>
      <c r="BS158" s="674"/>
      <c r="BT158" s="674"/>
      <c r="BU158" s="674"/>
      <c r="BV158" s="674"/>
      <c r="BW158" s="674"/>
      <c r="BX158" s="674"/>
      <c r="BY158" s="674"/>
      <c r="BZ158" s="674"/>
      <c r="CA158" s="674"/>
      <c r="CB158" s="674"/>
      <c r="CC158" s="674"/>
      <c r="CD158" s="674"/>
      <c r="CE158" s="675"/>
    </row>
    <row r="159" spans="1:83" s="27" customFormat="1" ht="44" thickTop="1" x14ac:dyDescent="0.3">
      <c r="A159" s="19" t="s">
        <v>1093</v>
      </c>
      <c r="B159" s="540" t="s">
        <v>1668</v>
      </c>
      <c r="C159" s="2305" t="s">
        <v>1667</v>
      </c>
      <c r="D159" s="2010" t="s">
        <v>565</v>
      </c>
      <c r="E159" s="1950" t="b">
        <f>IF(OR(E160=TRUE,E161=TRUE),TRUE,FALSE)</f>
        <v>0</v>
      </c>
      <c r="F159" s="1934">
        <f>COUNTIF(E160:E161,TRUE)</f>
        <v>0</v>
      </c>
      <c r="G159" s="1935">
        <f>COUNTIFS(E160:E161,TRUE,G160:G161,"Not Blank")</f>
        <v>0</v>
      </c>
      <c r="H159" s="1951">
        <f>COUNTIFS(E160:E161,FALSE,G160:G161,"Not Blank")</f>
        <v>0</v>
      </c>
      <c r="I159" s="2148" t="str">
        <f xml:space="preserve">
IF(F159&gt;2,"Too Many Entries - Check Red Lines",
IF(AND(E159=FALSE,G159=0,H159=0,E159=TRUE),"Nothing Required Below",
IF(G159&lt;F159,"Valid Entry required below - Check Amber Line/s",
IF(AND(E159=FALSE,G159=0,H159=0),"Nothing Entered below Yet",
IF(G159&lt;F159,"Valid Entry required below - Check Amber Line/s",
IF(AND(G159=0,H159&gt;0),"**Non-Valid Entry/ies below - Check Yellow Line/s",
IF(AND(G159&gt;0,H159&gt;0),"**Valid and Non-Valid Entries made below - Check Yellow Line/s",
IF(AND(E159=FALSE,F159&lt;1),"Not all requirements addressed below - Check Pink Line/s",
IF(AND(E159=FALSE,G159&lt;1,G159&gt;0,H159=0),"More entries to come",
IF(AND(E159,TRUE,G159=1,H159=0),"Valid Entries made below"
))))))))))</f>
        <v>Nothing Entered below Yet</v>
      </c>
      <c r="J159" s="2248">
        <f>COUNTIFS(E160:E161,TRUE,J160:J161,"Not Blank")</f>
        <v>0</v>
      </c>
      <c r="K159" s="2307">
        <f>COUNTIFS(E160:E161,FALSE,J160:J161,"Not Blank")</f>
        <v>0</v>
      </c>
      <c r="L159" s="2148" t="str">
        <f xml:space="preserve">
IF(J159&gt;2,"Too Many M156Entries - Check Red Lines",
IF(AND(E159=FALSE,J159=0,K159=0,E159=TRUE),"Nothing Required Below",
IF(J159&lt;F159,"Valid Entry required below - Check Amber Line/s",
IF(AND(E159=FALSE,J159=0,K159=0),"Nothing Entered below Yet",
IF(AND(J159=0,K159&gt;0),"**Non-Valid Entry/ies below - Check Yellow Line/s",
IF(AND(J159&gt;0,K159&gt;0),"**Valid and Non-Valid Entries made below - Check Yellow Line/s",
IF(AND(E159=FALSE,J159&lt;2),"Not all requirements addressed below - Check Pink Line/s",
IF(AND(E159=FALSE,J159&lt;2,J159&gt;0,K159=0),"More entries to come",
IF(AND(E159,TRUE,J159=2,K159=0),"Valid Entries made below"
)))))))))</f>
        <v>Nothing Entered below Yet</v>
      </c>
      <c r="M159" s="2176"/>
      <c r="N159" s="4446" t="s">
        <v>3</v>
      </c>
      <c r="O159" s="4706" t="b">
        <f>IF(OR(N159="Compliant",N159="FE with work-a-round",N159="Functionally Equivalent"),TRUE,FALSE)</f>
        <v>0</v>
      </c>
      <c r="P159" s="2176"/>
      <c r="Q159" s="698" t="s">
        <v>565</v>
      </c>
      <c r="R159" s="749" t="b">
        <f>IF(OR(R160=TRUE,R161=TRUE),TRUE,FALSE)</f>
        <v>0</v>
      </c>
      <c r="S159" s="111"/>
      <c r="T159" s="111"/>
      <c r="U159" s="211"/>
      <c r="V159" s="4446" t="s">
        <v>3</v>
      </c>
      <c r="W159" s="4752" t="b">
        <f>IF(OR(V159="Compliant",V159="FE with work-a-round",V159="Functionally Equivalent",V159="Not Required/Applicable"),TRUE,FALSE)</f>
        <v>0</v>
      </c>
      <c r="X159" s="111"/>
      <c r="Y159" s="111"/>
      <c r="Z159" s="120"/>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40"/>
    </row>
    <row r="160" spans="1:83" s="27" customFormat="1" ht="72.5" x14ac:dyDescent="0.3">
      <c r="A160" s="19"/>
      <c r="B160" s="163"/>
      <c r="C160" s="1867" t="s">
        <v>1849</v>
      </c>
      <c r="D160" s="2306" t="s">
        <v>3</v>
      </c>
      <c r="E160" s="208" t="b">
        <f>IF(D160="Compliant",TRUE,FALSE)</f>
        <v>0</v>
      </c>
      <c r="F160" s="387"/>
      <c r="G160" s="382" t="str">
        <f>IF(I160&lt;&gt;"", "Not Blank", "")</f>
        <v/>
      </c>
      <c r="H160" s="431"/>
      <c r="I160" s="42"/>
      <c r="J160" s="457" t="str">
        <f>IF(L160&lt;&gt;"", "Not Blank", "")</f>
        <v/>
      </c>
      <c r="K160" s="458"/>
      <c r="L160" s="209"/>
      <c r="M160" s="144"/>
      <c r="N160" s="4447"/>
      <c r="O160" s="4707"/>
      <c r="P160" s="41"/>
      <c r="Q160" s="2214" t="s">
        <v>3</v>
      </c>
      <c r="R160" s="839" t="b">
        <f>IF(OR(Q160="Compliant",Q160="FE with work-a-round",Q160="Functionally Equivalent"),TRUE,FALSE)</f>
        <v>0</v>
      </c>
      <c r="S160" s="44"/>
      <c r="T160" s="44"/>
      <c r="U160" s="68"/>
      <c r="V160" s="4447"/>
      <c r="W160" s="4753"/>
      <c r="X160" s="44"/>
      <c r="Y160" s="44"/>
      <c r="Z160" s="122"/>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40"/>
    </row>
    <row r="161" spans="1:83" s="27" customFormat="1" ht="58.5" thickBot="1" x14ac:dyDescent="0.35">
      <c r="A161" s="19"/>
      <c r="B161" s="988"/>
      <c r="C161" s="1671" t="s">
        <v>1666</v>
      </c>
      <c r="D161" s="446" t="s">
        <v>3</v>
      </c>
      <c r="E161" s="208" t="b">
        <f>IF(D161="Compliant",TRUE,FALSE)</f>
        <v>0</v>
      </c>
      <c r="F161" s="387"/>
      <c r="G161" s="989" t="str">
        <f>IF(I161&lt;&gt;"", "Not Blank", "")</f>
        <v/>
      </c>
      <c r="H161" s="990"/>
      <c r="I161" s="705"/>
      <c r="J161" s="991" t="str">
        <f>IF(L161&lt;&gt;"", "Not Blank", "")</f>
        <v/>
      </c>
      <c r="K161" s="991"/>
      <c r="L161" s="340"/>
      <c r="M161" s="143"/>
      <c r="N161" s="4448"/>
      <c r="O161" s="4707"/>
      <c r="P161" s="78"/>
      <c r="Q161" s="1017" t="s">
        <v>3</v>
      </c>
      <c r="R161" s="943" t="b">
        <f>IF(OR(Q161="Compliant",Q161="FE with work-a-round",Q161="Functionally Equivalent"),TRUE,FALSE)</f>
        <v>0</v>
      </c>
      <c r="S161" s="79"/>
      <c r="T161" s="79"/>
      <c r="U161" s="143"/>
      <c r="V161" s="4448"/>
      <c r="W161" s="4753"/>
      <c r="X161" s="124"/>
      <c r="Y161" s="124"/>
      <c r="Z161" s="125"/>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40"/>
    </row>
    <row r="162" spans="1:83" s="27" customFormat="1" ht="44" thickTop="1" x14ac:dyDescent="0.3">
      <c r="A162" s="19"/>
      <c r="B162" s="1695" t="s">
        <v>401</v>
      </c>
      <c r="C162" s="2175" t="s">
        <v>1131</v>
      </c>
      <c r="D162" s="2010" t="s">
        <v>565</v>
      </c>
      <c r="E162" s="1950" t="b">
        <f>IF(AND(E163=TRUE,E164=TRUE,E165=TRUE,E166=TRUE,E167=TRUE,E168=TRUE,E169=TRUE),TRUE,FALSE)</f>
        <v>0</v>
      </c>
      <c r="F162" s="1952">
        <f>COUNTIF(E163:E169,TRUE)</f>
        <v>0</v>
      </c>
      <c r="G162" s="1953">
        <f>COUNTIFS(E163:E169,TRUE,G163:G169,"Not Blank")</f>
        <v>0</v>
      </c>
      <c r="H162" s="1514">
        <f>COUNTIFS(E163:E169,FALSE,G163:G169,"Not Blank")</f>
        <v>0</v>
      </c>
      <c r="I162" s="2155" t="str">
        <f xml:space="preserve">
IF(F162&gt;7,"Too Many Entries - Check Red Lines",
IF(AND(E162=FALSE,G162=0,H162=0,E162=TRUE),"Nothing Required Below",
IF(G162&lt;F162,"Valid Entry required below - Check Amber Line/s",
IF(AND(E162=FALSE,G162=0,H162=0),"Nothing Entered below Yet",
IF(G162&lt;F162,"Valid Entry required below - Check Amber Line/s",
IF(AND(G162=0,H162&gt;0),"**Non-Valid Entry/ies below - Check Yellow Line/s",
IF(AND(G162&gt;0,H162&gt;0),"**Valid and Non-Valid Entries made below - Check Yellow Line/s",
IF(AND(E162=FALSE,F162&lt;7),"Not all requirements addressed below - Check Pink Line/s",
IF(AND(E162=FALSE,G162&lt;7,G162&gt;0,H162=0),"More entries to come",
IF(AND(E162,TRUE,G162=7,H162=0),"Valid Entries made below"
))))))))))</f>
        <v>Nothing Entered below Yet</v>
      </c>
      <c r="J162" s="2248">
        <f>COUNTIFS(E163:E169,TRUE,J163:J169,"Not Blank")</f>
        <v>0</v>
      </c>
      <c r="K162" s="2248">
        <f>COUNTIFS(E163:E169,FALSE,J163:J169,"Not Blank")</f>
        <v>0</v>
      </c>
      <c r="L162" s="2148" t="str">
        <f xml:space="preserve">
IF(J162&gt;7,"Too Many Entries - Check Red Lines",
IF(AND(E162=FALSE,J162=0,K162=0,E162=TRUE),"Nothing Required Below",
IF(J162&lt;F162,"Valid Entry required below - Check Amber Line/s",
IF(AND(E162=FALSE,J162=0,K162=0),"Nothing Entered below Yet",
IF(AND(J162=0,K162&gt;0),"**Non-Valid Entry/ies below - Check Yellow Line/s",
IF(AND(J162&gt;0,K162&gt;0),"**Valid and Non-Valid Entries made below - Check Yellow Line/s",
IF(AND(E162=FALSE,J162&lt;7),"Not all requirements addressed below - Check Pink Line/s",
IF(AND(E162=FALSE,J162&lt;7,J162&gt;0,K162=0),"More entries to come",
IF(AND(E162,TRUE,J162=7,K162=0),"Valid Entries made below"
)))))))))</f>
        <v>Nothing Entered below Yet</v>
      </c>
      <c r="M162" s="2154"/>
      <c r="N162" s="4446" t="s">
        <v>3</v>
      </c>
      <c r="O162" s="4706" t="b">
        <f>IF(OR(N162="Compliant",N162="FE with work-a-round",N162="Functionally Equivalent"),TRUE,FALSE)</f>
        <v>0</v>
      </c>
      <c r="P162" s="2304"/>
      <c r="Q162" s="2178" t="s">
        <v>565</v>
      </c>
      <c r="R162" s="749" t="b">
        <f>IF(AND(R163=TRUE,R164=TRUE,R165=TRUE,R166=TRUE,R167=TRUE,R168=TRUE,R169=TRUE),TRUE,FALSE)</f>
        <v>0</v>
      </c>
      <c r="S162" s="111"/>
      <c r="T162" s="111"/>
      <c r="U162" s="211"/>
      <c r="V162" s="4446" t="s">
        <v>3</v>
      </c>
      <c r="W162" s="4752" t="b">
        <f>IF(OR(V162="Compliant",V162="FE with work-a-round",V162="Functionally Equivalent",V162="Not Required/Applicable"),TRUE,FALSE)</f>
        <v>0</v>
      </c>
      <c r="X162" s="111"/>
      <c r="Y162" s="111"/>
      <c r="Z162" s="120"/>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40"/>
    </row>
    <row r="163" spans="1:83" s="2" customFormat="1" ht="43.5" x14ac:dyDescent="0.3">
      <c r="A163" s="610" t="s">
        <v>255</v>
      </c>
      <c r="B163" s="540"/>
      <c r="C163" s="1806" t="s">
        <v>1665</v>
      </c>
      <c r="D163" s="2219" t="s">
        <v>3</v>
      </c>
      <c r="E163" s="934" t="b">
        <f>IF(D163="Compliant",TRUE,FALSE)</f>
        <v>0</v>
      </c>
      <c r="F163" s="157"/>
      <c r="G163" s="157" t="str">
        <f t="shared" ref="G163:G169" si="21">IF(I163&lt;&gt;"", "Not Blank", "")</f>
        <v/>
      </c>
      <c r="H163" s="157"/>
      <c r="I163" s="42"/>
      <c r="J163" s="42" t="str">
        <f t="shared" ref="J163:J169" si="22">IF(L163&lt;&gt;"", "Not Blank", "")</f>
        <v/>
      </c>
      <c r="K163" s="42"/>
      <c r="L163" s="42"/>
      <c r="M163" s="144"/>
      <c r="N163" s="4447"/>
      <c r="O163" s="4707"/>
      <c r="P163" s="3798"/>
      <c r="Q163" s="1863" t="s">
        <v>3</v>
      </c>
      <c r="R163" s="839" t="b">
        <f t="shared" ref="R163:R169" si="23">IF(OR(Q163="Compliant",Q163="FE with work-a-round",Q163="Functionally Equivalent"),TRUE,FALSE)</f>
        <v>0</v>
      </c>
      <c r="S163" s="361"/>
      <c r="T163" s="361"/>
      <c r="U163" s="2697"/>
      <c r="V163" s="4447"/>
      <c r="W163" s="4753"/>
      <c r="X163" s="1443"/>
      <c r="Y163" s="1443"/>
      <c r="Z163" s="2698"/>
      <c r="AA163"/>
      <c r="BO163" s="46"/>
      <c r="BP163" s="47"/>
      <c r="BQ163" s="47"/>
      <c r="BR163" s="47"/>
      <c r="BS163" s="47"/>
      <c r="BT163" s="47"/>
      <c r="BU163" s="47"/>
      <c r="BV163" s="47"/>
      <c r="BW163" s="47"/>
      <c r="BX163" s="47"/>
      <c r="BY163" s="47"/>
      <c r="BZ163" s="47"/>
      <c r="CA163" s="47"/>
      <c r="CB163" s="47"/>
      <c r="CC163" s="47"/>
      <c r="CD163" s="47"/>
      <c r="CE163" s="48"/>
    </row>
    <row r="164" spans="1:83" s="2" customFormat="1" ht="101.5" x14ac:dyDescent="0.3">
      <c r="A164" s="610" t="s">
        <v>256</v>
      </c>
      <c r="B164" s="1852"/>
      <c r="C164" s="1717" t="s">
        <v>257</v>
      </c>
      <c r="D164" s="699" t="s">
        <v>3</v>
      </c>
      <c r="E164" s="934" t="b">
        <f t="shared" ref="E164:E169" si="24">IF(D164="Compliant",TRUE,FALSE)</f>
        <v>0</v>
      </c>
      <c r="F164" s="157"/>
      <c r="G164" s="157" t="str">
        <f t="shared" si="21"/>
        <v/>
      </c>
      <c r="H164" s="157"/>
      <c r="I164" s="44"/>
      <c r="J164" s="44" t="str">
        <f t="shared" si="22"/>
        <v/>
      </c>
      <c r="K164" s="44"/>
      <c r="L164" s="44"/>
      <c r="M164" s="68"/>
      <c r="N164" s="4447"/>
      <c r="O164" s="4707"/>
      <c r="P164" s="3799"/>
      <c r="Q164" s="1060" t="s">
        <v>3</v>
      </c>
      <c r="R164" s="839" t="b">
        <f t="shared" si="23"/>
        <v>0</v>
      </c>
      <c r="S164" s="361"/>
      <c r="T164" s="361"/>
      <c r="U164" s="2697"/>
      <c r="V164" s="4447"/>
      <c r="W164" s="4753"/>
      <c r="X164" s="1443"/>
      <c r="Y164" s="1443"/>
      <c r="Z164" s="2698"/>
      <c r="AA164"/>
      <c r="BO164" s="46"/>
      <c r="BP164" s="47"/>
      <c r="BQ164" s="47"/>
      <c r="BR164" s="47"/>
      <c r="BS164" s="47"/>
      <c r="BT164" s="47"/>
      <c r="BU164" s="47"/>
      <c r="BV164" s="47"/>
      <c r="BW164" s="47"/>
      <c r="BX164" s="47"/>
      <c r="BY164" s="47"/>
      <c r="BZ164" s="47"/>
      <c r="CA164" s="47"/>
      <c r="CB164" s="47"/>
      <c r="CC164" s="47"/>
      <c r="CD164" s="47"/>
      <c r="CE164" s="48"/>
    </row>
    <row r="165" spans="1:83" s="2" customFormat="1" ht="58" x14ac:dyDescent="0.3">
      <c r="A165" s="610" t="s">
        <v>258</v>
      </c>
      <c r="B165" s="1852"/>
      <c r="C165" s="1717" t="s">
        <v>1345</v>
      </c>
      <c r="D165" s="699" t="s">
        <v>3</v>
      </c>
      <c r="E165" s="556" t="b">
        <f t="shared" si="24"/>
        <v>0</v>
      </c>
      <c r="F165" s="427"/>
      <c r="G165" s="427" t="str">
        <f t="shared" si="21"/>
        <v/>
      </c>
      <c r="H165" s="427"/>
      <c r="I165" s="44"/>
      <c r="J165" s="44" t="str">
        <f t="shared" si="22"/>
        <v/>
      </c>
      <c r="K165" s="44"/>
      <c r="L165" s="44"/>
      <c r="M165" s="68"/>
      <c r="N165" s="4447"/>
      <c r="O165" s="4707"/>
      <c r="P165" s="3799"/>
      <c r="Q165" s="1060" t="s">
        <v>3</v>
      </c>
      <c r="R165" s="839" t="b">
        <f t="shared" si="23"/>
        <v>0</v>
      </c>
      <c r="S165" s="361"/>
      <c r="T165" s="361"/>
      <c r="U165" s="2697"/>
      <c r="V165" s="4447"/>
      <c r="W165" s="4753"/>
      <c r="X165" s="1443"/>
      <c r="Y165" s="1443"/>
      <c r="Z165" s="2698"/>
      <c r="AA165"/>
      <c r="BO165" s="46"/>
      <c r="BP165" s="47"/>
      <c r="BQ165" s="47"/>
      <c r="BR165" s="47"/>
      <c r="BS165" s="47"/>
      <c r="BT165" s="47"/>
      <c r="BU165" s="47"/>
      <c r="BV165" s="47"/>
      <c r="BW165" s="47"/>
      <c r="BX165" s="47"/>
      <c r="BY165" s="47"/>
      <c r="BZ165" s="47"/>
      <c r="CA165" s="47"/>
      <c r="CB165" s="47"/>
      <c r="CC165" s="47"/>
      <c r="CD165" s="47"/>
      <c r="CE165" s="48"/>
    </row>
    <row r="166" spans="1:83" s="2" customFormat="1" ht="43.5" x14ac:dyDescent="0.3">
      <c r="A166" s="610" t="s">
        <v>259</v>
      </c>
      <c r="B166" s="1852"/>
      <c r="C166" s="1717" t="s">
        <v>1346</v>
      </c>
      <c r="D166" s="699" t="s">
        <v>3</v>
      </c>
      <c r="E166" s="556" t="b">
        <f t="shared" si="24"/>
        <v>0</v>
      </c>
      <c r="F166" s="427"/>
      <c r="G166" s="427" t="str">
        <f t="shared" si="21"/>
        <v/>
      </c>
      <c r="H166" s="427"/>
      <c r="I166" s="44"/>
      <c r="J166" s="44" t="str">
        <f t="shared" si="22"/>
        <v/>
      </c>
      <c r="K166" s="44"/>
      <c r="L166" s="44"/>
      <c r="M166" s="68"/>
      <c r="N166" s="4447"/>
      <c r="O166" s="4707"/>
      <c r="P166" s="3799"/>
      <c r="Q166" s="1060" t="s">
        <v>3</v>
      </c>
      <c r="R166" s="839" t="b">
        <f t="shared" si="23"/>
        <v>0</v>
      </c>
      <c r="S166" s="361"/>
      <c r="T166" s="361"/>
      <c r="U166" s="2697"/>
      <c r="V166" s="4447"/>
      <c r="W166" s="4753"/>
      <c r="X166" s="1443"/>
      <c r="Y166" s="1443"/>
      <c r="Z166" s="2698"/>
      <c r="AA166"/>
      <c r="BO166" s="46"/>
      <c r="BP166" s="47"/>
      <c r="BQ166" s="47"/>
      <c r="BR166" s="47"/>
      <c r="BS166" s="47"/>
      <c r="BT166" s="47"/>
      <c r="BU166" s="47"/>
      <c r="BV166" s="47"/>
      <c r="BW166" s="47"/>
      <c r="BX166" s="47"/>
      <c r="BY166" s="47"/>
      <c r="BZ166" s="47"/>
      <c r="CA166" s="47"/>
      <c r="CB166" s="47"/>
      <c r="CC166" s="47"/>
      <c r="CD166" s="47"/>
      <c r="CE166" s="48"/>
    </row>
    <row r="167" spans="1:83" s="2" customFormat="1" ht="58" x14ac:dyDescent="0.3">
      <c r="A167" s="610" t="s">
        <v>260</v>
      </c>
      <c r="B167" s="1852"/>
      <c r="C167" s="1717" t="s">
        <v>1347</v>
      </c>
      <c r="D167" s="699" t="s">
        <v>3</v>
      </c>
      <c r="E167" s="556" t="b">
        <f t="shared" si="24"/>
        <v>0</v>
      </c>
      <c r="F167" s="427"/>
      <c r="G167" s="427" t="str">
        <f t="shared" si="21"/>
        <v/>
      </c>
      <c r="H167" s="427"/>
      <c r="I167" s="44"/>
      <c r="J167" s="44" t="str">
        <f t="shared" si="22"/>
        <v/>
      </c>
      <c r="K167" s="44"/>
      <c r="L167" s="44"/>
      <c r="M167" s="68"/>
      <c r="N167" s="4447"/>
      <c r="O167" s="4707"/>
      <c r="P167" s="3799"/>
      <c r="Q167" s="1060" t="s">
        <v>3</v>
      </c>
      <c r="R167" s="839" t="b">
        <f t="shared" si="23"/>
        <v>0</v>
      </c>
      <c r="S167" s="361"/>
      <c r="T167" s="361"/>
      <c r="U167" s="2697"/>
      <c r="V167" s="4447"/>
      <c r="W167" s="4753"/>
      <c r="X167" s="1443"/>
      <c r="Y167" s="1443"/>
      <c r="Z167" s="2698"/>
      <c r="AA167"/>
      <c r="BO167" s="46"/>
      <c r="BP167" s="47"/>
      <c r="BQ167" s="47"/>
      <c r="BR167" s="47"/>
      <c r="BS167" s="47"/>
      <c r="BT167" s="47"/>
      <c r="BU167" s="47"/>
      <c r="BV167" s="47"/>
      <c r="BW167" s="47"/>
      <c r="BX167" s="47"/>
      <c r="BY167" s="47"/>
      <c r="BZ167" s="47"/>
      <c r="CA167" s="47"/>
      <c r="CB167" s="47"/>
      <c r="CC167" s="47"/>
      <c r="CD167" s="47"/>
      <c r="CE167" s="48"/>
    </row>
    <row r="168" spans="1:83" s="2" customFormat="1" ht="116" x14ac:dyDescent="0.3">
      <c r="A168" s="610" t="s">
        <v>261</v>
      </c>
      <c r="B168" s="1852"/>
      <c r="C168" s="1717" t="s">
        <v>1348</v>
      </c>
      <c r="D168" s="699" t="s">
        <v>3</v>
      </c>
      <c r="E168" s="556" t="b">
        <f t="shared" si="24"/>
        <v>0</v>
      </c>
      <c r="F168" s="427"/>
      <c r="G168" s="427" t="str">
        <f t="shared" si="21"/>
        <v/>
      </c>
      <c r="H168" s="427"/>
      <c r="I168" s="44"/>
      <c r="J168" s="44" t="str">
        <f t="shared" si="22"/>
        <v/>
      </c>
      <c r="K168" s="44"/>
      <c r="L168" s="44"/>
      <c r="M168" s="68"/>
      <c r="N168" s="4447"/>
      <c r="O168" s="4707"/>
      <c r="P168" s="3799"/>
      <c r="Q168" s="1060" t="s">
        <v>3</v>
      </c>
      <c r="R168" s="839" t="b">
        <f t="shared" si="23"/>
        <v>0</v>
      </c>
      <c r="S168" s="361"/>
      <c r="T168" s="361"/>
      <c r="U168" s="2697"/>
      <c r="V168" s="4447"/>
      <c r="W168" s="4753"/>
      <c r="X168" s="1443"/>
      <c r="Y168" s="1443"/>
      <c r="Z168" s="2698"/>
      <c r="AA168"/>
      <c r="BO168" s="46"/>
      <c r="BP168" s="47"/>
      <c r="BQ168" s="47"/>
      <c r="BR168" s="47"/>
      <c r="BS168" s="47"/>
      <c r="BT168" s="47"/>
      <c r="BU168" s="47"/>
      <c r="BV168" s="47"/>
      <c r="BW168" s="47"/>
      <c r="BX168" s="47"/>
      <c r="BY168" s="47"/>
      <c r="BZ168" s="47"/>
      <c r="CA168" s="47"/>
      <c r="CB168" s="47"/>
      <c r="CC168" s="47"/>
      <c r="CD168" s="47"/>
      <c r="CE168" s="48"/>
    </row>
    <row r="169" spans="1:83" s="2" customFormat="1" ht="73" thickBot="1" x14ac:dyDescent="0.35">
      <c r="A169" s="610" t="s">
        <v>262</v>
      </c>
      <c r="B169" s="1852"/>
      <c r="C169" s="1807" t="s">
        <v>263</v>
      </c>
      <c r="D169" s="700" t="s">
        <v>3</v>
      </c>
      <c r="E169" s="1039" t="b">
        <f t="shared" si="24"/>
        <v>0</v>
      </c>
      <c r="F169" s="869"/>
      <c r="G169" s="869" t="str">
        <f t="shared" si="21"/>
        <v/>
      </c>
      <c r="H169" s="869"/>
      <c r="I169" s="79"/>
      <c r="J169" s="79" t="str">
        <f t="shared" si="22"/>
        <v/>
      </c>
      <c r="K169" s="79"/>
      <c r="L169" s="79"/>
      <c r="M169" s="143"/>
      <c r="N169" s="4448"/>
      <c r="O169" s="4707"/>
      <c r="P169" s="3800"/>
      <c r="Q169" s="1017" t="s">
        <v>3</v>
      </c>
      <c r="R169" s="943" t="b">
        <f t="shared" si="23"/>
        <v>0</v>
      </c>
      <c r="S169" s="387"/>
      <c r="T169" s="387"/>
      <c r="U169" s="2699"/>
      <c r="V169" s="4448"/>
      <c r="W169" s="4753"/>
      <c r="X169" s="1423"/>
      <c r="Y169" s="1423"/>
      <c r="Z169" s="2682"/>
      <c r="AA169"/>
      <c r="BO169" s="46"/>
      <c r="BP169" s="47"/>
      <c r="BQ169" s="47"/>
      <c r="BR169" s="47"/>
      <c r="BS169" s="47"/>
      <c r="BT169" s="47"/>
      <c r="BU169" s="47"/>
      <c r="BV169" s="47"/>
      <c r="BW169" s="47"/>
      <c r="BX169" s="47"/>
      <c r="BY169" s="47"/>
      <c r="BZ169" s="47"/>
      <c r="CA169" s="47"/>
      <c r="CB169" s="47"/>
      <c r="CC169" s="47"/>
      <c r="CD169" s="47"/>
      <c r="CE169" s="48"/>
    </row>
    <row r="170" spans="1:83" s="2" customFormat="1" ht="29.5" thickTop="1" x14ac:dyDescent="0.3">
      <c r="A170" s="610" t="s">
        <v>264</v>
      </c>
      <c r="B170" s="1504" t="s">
        <v>461</v>
      </c>
      <c r="C170" s="2148" t="s">
        <v>1850</v>
      </c>
      <c r="D170" s="2149" t="s">
        <v>565</v>
      </c>
      <c r="E170" s="1929" t="b">
        <f>IF(AND(E171=TRUE,E172=TRUE,E173=TRUE,E174=TRUE,E175=TRUE,E176=TRUE,E177=TRUE,E178=TRUE,E179=TRUE,E180=TRUE,E181=TRUE,E182=TRUE),TRUE,FALSE)</f>
        <v>0</v>
      </c>
      <c r="F170" s="1934">
        <f>COUNTIF(E171:E182,TRUE)</f>
        <v>0</v>
      </c>
      <c r="G170" s="1953">
        <f>COUNTIFS(E171:E182,TRUE,G171:G182,"Not Blank")</f>
        <v>0</v>
      </c>
      <c r="H170" s="1514">
        <f>COUNTIFS(E171:E182,FALSE,G171:G182,"Not Blank")</f>
        <v>0</v>
      </c>
      <c r="I170" s="2155" t="str">
        <f xml:space="preserve">
IF(F170&gt;12,"Too Many Entries - Check Red Lines",
IF(AND(E170=FALSE,G170=0,H170=0,E170=TRUE),"Nothing Required Below",
IF(G170&lt;F170,"Valid Entry required below - Check Amber Line/s",
IF(AND(E170=FALSE,G170=0,H170=0),"Nothing Entered below Yet",
IF(G170&lt;F170,"Valid Entry required below - Check Amber Line/s",
IF(AND(G170=0,H170&gt;0),"**Non-Valid Entry/ies below - Check Yellow Line/s",
IF(AND(G170&gt;0,H170&gt;0),"**Valid and Non-Valid Entries made below - Check Yellow Line/s",
IF(AND(E170=FALSE,F170&lt;12),"Not all requirements addressed below - Check Pink Line/s",
IF(AND(E170=FALSE,G170&lt;12,G170&gt;0,H170=0),"More entries to come",
IF(AND(E170,TRUE,G170=12,H170=0),"Valid Entries made below"
))))))))))</f>
        <v>Nothing Entered below Yet</v>
      </c>
      <c r="J170" s="2248">
        <f>COUNTIFS(E171:E182,TRUE,J171:J182,"Not Blank")</f>
        <v>0</v>
      </c>
      <c r="K170" s="2248">
        <f>COUNTIFS(E171:E182,FALSE,J171:J182,"Not Blank")</f>
        <v>0</v>
      </c>
      <c r="L170" s="2148" t="str">
        <f xml:space="preserve">
IF(J170&gt;12,"Too Many Entries - Check Red Lines",
IF(AND(E170=FALSE,J170=0,K170=0,E170=TRUE),"Nothing Required Below",
IF(J170&lt;F170,"Valid Entry required below - Check Amber Line/s",
IF(AND(E170=FALSE,J170=0,K170=0),"Nothing Entered below Yet",
IF(AND(J170=0,K170&gt;0),"**Non-Valid Entry/ies below - Check Yellow Line/s",
IF(AND(J170&gt;0,K170&gt;0),"**Valid and Non-Valid Entries made below - Check Yellow Line/s",
IF(AND(E170=FALSE,J170&lt;12),"Not all requirements addressed below - Check Pink Line/s",
IF(AND(E170=FALSE,J170&lt;12,J170&gt;0,K170=0),"More entries to come",
IF(AND(E170,TRUE,J170=12,K170=0),"Valid Entries made below"
)))))))))</f>
        <v>Nothing Entered below Yet</v>
      </c>
      <c r="M170" s="2176"/>
      <c r="N170" s="4446" t="s">
        <v>3</v>
      </c>
      <c r="O170" s="4706" t="b">
        <f>IF(OR(N170="Compliant",N170="FE with work-a-round",N170="Functionally Equivalent"),TRUE,FALSE)</f>
        <v>0</v>
      </c>
      <c r="P170" s="3801"/>
      <c r="Q170" s="2178" t="s">
        <v>565</v>
      </c>
      <c r="R170" s="749" t="b">
        <f>IF(AND(R171=TRUE,R172=TRUE,R173=TRUE,R174=TRUE,R175=TRUE,R176=TRUE,R177=TRUE,R178=TRUE,R179=TRUE,R180=TRUE,R181=TRUE,R182=TRUE),TRUE,FALSE)</f>
        <v>0</v>
      </c>
      <c r="S170" s="1532"/>
      <c r="T170" s="1532"/>
      <c r="U170" s="2700"/>
      <c r="V170" s="4446" t="s">
        <v>3</v>
      </c>
      <c r="W170" s="4752" t="b">
        <f>IF(OR(V170="Compliant",V170="FE with work-a-round",V170="Functionally Equivalent",V170="Not Required/Applicable"),TRUE,FALSE)</f>
        <v>0</v>
      </c>
      <c r="X170" s="2701"/>
      <c r="Y170" s="2701"/>
      <c r="Z170" s="2702"/>
      <c r="AA170"/>
      <c r="BO170" s="46"/>
      <c r="BP170" s="47"/>
      <c r="BQ170" s="47"/>
      <c r="BR170" s="47"/>
      <c r="BS170" s="47"/>
      <c r="BT170" s="47"/>
      <c r="BU170" s="47"/>
      <c r="BV170" s="47"/>
      <c r="BW170" s="47"/>
      <c r="BX170" s="47"/>
      <c r="BY170" s="47"/>
      <c r="BZ170" s="47"/>
      <c r="CA170" s="47"/>
      <c r="CB170" s="47"/>
      <c r="CC170" s="47"/>
      <c r="CD170" s="47"/>
      <c r="CE170" s="48"/>
    </row>
    <row r="171" spans="1:83" s="2" customFormat="1" ht="101.5" x14ac:dyDescent="0.3">
      <c r="A171" s="610" t="s">
        <v>265</v>
      </c>
      <c r="B171" s="1852"/>
      <c r="C171" s="1806" t="s">
        <v>283</v>
      </c>
      <c r="D171" s="2096" t="s">
        <v>3</v>
      </c>
      <c r="E171" s="934" t="b">
        <f t="shared" ref="E171:E182" si="25">IF(D171="Compliant",TRUE,FALSE)</f>
        <v>0</v>
      </c>
      <c r="F171" s="157"/>
      <c r="G171" s="157" t="str">
        <f t="shared" ref="G171:G182" si="26">IF(I171&lt;&gt;"", "Not Blank", "")</f>
        <v/>
      </c>
      <c r="H171" s="157"/>
      <c r="I171" s="42"/>
      <c r="J171" s="42" t="str">
        <f t="shared" ref="J171:J182" si="27">IF(L171&lt;&gt;"", "Not Blank", "")</f>
        <v/>
      </c>
      <c r="K171" s="42"/>
      <c r="L171" s="42"/>
      <c r="M171" s="144"/>
      <c r="N171" s="4447"/>
      <c r="O171" s="4707"/>
      <c r="P171" s="3798"/>
      <c r="Q171" s="1863" t="s">
        <v>3</v>
      </c>
      <c r="R171" s="839" t="b">
        <f t="shared" ref="R171:R182" si="28">IF(OR(Q171="Compliant",Q171="FE with work-a-round",Q171="Functionally Equivalent"),TRUE,FALSE)</f>
        <v>0</v>
      </c>
      <c r="S171" s="361"/>
      <c r="T171" s="361"/>
      <c r="U171" s="2697"/>
      <c r="V171" s="4447"/>
      <c r="W171" s="4753"/>
      <c r="X171" s="1443"/>
      <c r="Y171" s="1443"/>
      <c r="Z171" s="2698"/>
      <c r="AA171"/>
      <c r="BO171" s="46"/>
      <c r="BP171" s="47"/>
      <c r="BQ171" s="47"/>
      <c r="BR171" s="47"/>
      <c r="BS171" s="47"/>
      <c r="BT171" s="47"/>
      <c r="BU171" s="47"/>
      <c r="BV171" s="47"/>
      <c r="BW171" s="47"/>
      <c r="BX171" s="47"/>
      <c r="BY171" s="47"/>
      <c r="BZ171" s="47"/>
      <c r="CA171" s="47"/>
      <c r="CB171" s="47"/>
      <c r="CC171" s="47"/>
      <c r="CD171" s="47"/>
      <c r="CE171" s="48"/>
    </row>
    <row r="172" spans="1:83" s="2" customFormat="1" ht="29" x14ac:dyDescent="0.3">
      <c r="A172" s="610" t="s">
        <v>266</v>
      </c>
      <c r="B172" s="1852"/>
      <c r="C172" s="1717" t="s">
        <v>227</v>
      </c>
      <c r="D172" s="699" t="s">
        <v>3</v>
      </c>
      <c r="E172" s="934" t="b">
        <f t="shared" si="25"/>
        <v>0</v>
      </c>
      <c r="F172" s="157"/>
      <c r="G172" s="157" t="str">
        <f t="shared" si="26"/>
        <v/>
      </c>
      <c r="H172" s="157"/>
      <c r="I172" s="44"/>
      <c r="J172" s="44" t="str">
        <f t="shared" si="27"/>
        <v/>
      </c>
      <c r="K172" s="44"/>
      <c r="L172" s="44"/>
      <c r="M172" s="68"/>
      <c r="N172" s="4447"/>
      <c r="O172" s="4707"/>
      <c r="P172" s="3799"/>
      <c r="Q172" s="1060" t="s">
        <v>3</v>
      </c>
      <c r="R172" s="839" t="b">
        <f t="shared" si="28"/>
        <v>0</v>
      </c>
      <c r="S172" s="361"/>
      <c r="T172" s="361"/>
      <c r="U172" s="2697"/>
      <c r="V172" s="4447"/>
      <c r="W172" s="4753"/>
      <c r="X172" s="1443"/>
      <c r="Y172" s="1443"/>
      <c r="Z172" s="2698"/>
      <c r="AA172"/>
      <c r="BO172" s="46"/>
      <c r="BP172" s="47"/>
      <c r="BQ172" s="47"/>
      <c r="BR172" s="47"/>
      <c r="BS172" s="47"/>
      <c r="BT172" s="47"/>
      <c r="BU172" s="47"/>
      <c r="BV172" s="47"/>
      <c r="BW172" s="47"/>
      <c r="BX172" s="47"/>
      <c r="BY172" s="47"/>
      <c r="BZ172" s="47"/>
      <c r="CA172" s="47"/>
      <c r="CB172" s="47"/>
      <c r="CC172" s="47"/>
      <c r="CD172" s="47"/>
      <c r="CE172" s="48"/>
    </row>
    <row r="173" spans="1:83" s="2" customFormat="1" ht="43.5" x14ac:dyDescent="0.3">
      <c r="A173" s="610" t="s">
        <v>267</v>
      </c>
      <c r="B173" s="1852"/>
      <c r="C173" s="1717" t="s">
        <v>284</v>
      </c>
      <c r="D173" s="699" t="s">
        <v>3</v>
      </c>
      <c r="E173" s="934" t="b">
        <f t="shared" si="25"/>
        <v>0</v>
      </c>
      <c r="F173" s="157"/>
      <c r="G173" s="157" t="str">
        <f t="shared" si="26"/>
        <v/>
      </c>
      <c r="H173" s="157"/>
      <c r="I173" s="44"/>
      <c r="J173" s="44" t="str">
        <f t="shared" si="27"/>
        <v/>
      </c>
      <c r="K173" s="44"/>
      <c r="L173" s="44"/>
      <c r="M173" s="68"/>
      <c r="N173" s="4447"/>
      <c r="O173" s="4707"/>
      <c r="P173" s="3799"/>
      <c r="Q173" s="1060" t="s">
        <v>3</v>
      </c>
      <c r="R173" s="839" t="b">
        <f t="shared" si="28"/>
        <v>0</v>
      </c>
      <c r="S173" s="361"/>
      <c r="T173" s="361"/>
      <c r="U173" s="2697"/>
      <c r="V173" s="4447"/>
      <c r="W173" s="4753"/>
      <c r="X173" s="1443"/>
      <c r="Y173" s="1443"/>
      <c r="Z173" s="2698"/>
      <c r="AA173"/>
      <c r="BO173" s="46"/>
      <c r="BP173" s="47"/>
      <c r="BQ173" s="47"/>
      <c r="BR173" s="47"/>
      <c r="BS173" s="47"/>
      <c r="BT173" s="47"/>
      <c r="BU173" s="47"/>
      <c r="BV173" s="47"/>
      <c r="BW173" s="47"/>
      <c r="BX173" s="47"/>
      <c r="BY173" s="47"/>
      <c r="BZ173" s="47"/>
      <c r="CA173" s="47"/>
      <c r="CB173" s="47"/>
      <c r="CC173" s="47"/>
      <c r="CD173" s="47"/>
      <c r="CE173" s="48"/>
    </row>
    <row r="174" spans="1:83" s="2" customFormat="1" ht="130.5" x14ac:dyDescent="0.3">
      <c r="A174" s="610" t="s">
        <v>268</v>
      </c>
      <c r="B174" s="1852"/>
      <c r="C174" s="1717" t="s">
        <v>1349</v>
      </c>
      <c r="D174" s="699" t="s">
        <v>3</v>
      </c>
      <c r="E174" s="556" t="b">
        <f t="shared" si="25"/>
        <v>0</v>
      </c>
      <c r="F174" s="427"/>
      <c r="G174" s="427" t="str">
        <f t="shared" si="26"/>
        <v/>
      </c>
      <c r="H174" s="427"/>
      <c r="I174" s="44"/>
      <c r="J174" s="44" t="str">
        <f t="shared" si="27"/>
        <v/>
      </c>
      <c r="K174" s="44"/>
      <c r="L174" s="44"/>
      <c r="M174" s="68"/>
      <c r="N174" s="4447"/>
      <c r="O174" s="4707"/>
      <c r="P174" s="3799"/>
      <c r="Q174" s="1060" t="s">
        <v>3</v>
      </c>
      <c r="R174" s="839" t="b">
        <f t="shared" si="28"/>
        <v>0</v>
      </c>
      <c r="S174" s="361"/>
      <c r="T174" s="361"/>
      <c r="U174" s="2697"/>
      <c r="V174" s="4447"/>
      <c r="W174" s="4753"/>
      <c r="X174" s="1443"/>
      <c r="Y174" s="1443"/>
      <c r="Z174" s="2698"/>
      <c r="AA174"/>
      <c r="BO174" s="46"/>
      <c r="BP174" s="47"/>
      <c r="BQ174" s="47"/>
      <c r="BR174" s="47"/>
      <c r="BS174" s="47"/>
      <c r="BT174" s="47"/>
      <c r="BU174" s="47"/>
      <c r="BV174" s="47"/>
      <c r="BW174" s="47"/>
      <c r="BX174" s="47"/>
      <c r="BY174" s="47"/>
      <c r="BZ174" s="47"/>
      <c r="CA174" s="47"/>
      <c r="CB174" s="47"/>
      <c r="CC174" s="47"/>
      <c r="CD174" s="47"/>
      <c r="CE174" s="48"/>
    </row>
    <row r="175" spans="1:83" s="2" customFormat="1" ht="101.5" x14ac:dyDescent="0.3">
      <c r="A175" s="610" t="s">
        <v>269</v>
      </c>
      <c r="B175" s="1852"/>
      <c r="C175" s="1717" t="s">
        <v>1350</v>
      </c>
      <c r="D175" s="699" t="s">
        <v>3</v>
      </c>
      <c r="E175" s="556" t="b">
        <f t="shared" si="25"/>
        <v>0</v>
      </c>
      <c r="F175" s="427"/>
      <c r="G175" s="427" t="str">
        <f t="shared" si="26"/>
        <v/>
      </c>
      <c r="H175" s="427"/>
      <c r="I175" s="44"/>
      <c r="J175" s="44" t="str">
        <f t="shared" si="27"/>
        <v/>
      </c>
      <c r="K175" s="44"/>
      <c r="L175" s="44"/>
      <c r="M175" s="68"/>
      <c r="N175" s="4447"/>
      <c r="O175" s="4707"/>
      <c r="P175" s="3799"/>
      <c r="Q175" s="1060" t="s">
        <v>3</v>
      </c>
      <c r="R175" s="839" t="b">
        <f t="shared" si="28"/>
        <v>0</v>
      </c>
      <c r="S175" s="361"/>
      <c r="T175" s="361"/>
      <c r="U175" s="2697"/>
      <c r="V175" s="4447"/>
      <c r="W175" s="4753"/>
      <c r="X175" s="1443"/>
      <c r="Y175" s="1443"/>
      <c r="Z175" s="2698"/>
      <c r="AA175"/>
      <c r="BO175" s="46"/>
      <c r="BP175" s="47"/>
      <c r="BQ175" s="47"/>
      <c r="BR175" s="47"/>
      <c r="BS175" s="47"/>
      <c r="BT175" s="47"/>
      <c r="BU175" s="47"/>
      <c r="BV175" s="47"/>
      <c r="BW175" s="47"/>
      <c r="BX175" s="47"/>
      <c r="BY175" s="47"/>
      <c r="BZ175" s="47"/>
      <c r="CA175" s="47"/>
      <c r="CB175" s="47"/>
      <c r="CC175" s="47"/>
      <c r="CD175" s="47"/>
      <c r="CE175" s="48"/>
    </row>
    <row r="176" spans="1:83" s="2" customFormat="1" ht="15.5" x14ac:dyDescent="0.3">
      <c r="A176" s="610" t="s">
        <v>270</v>
      </c>
      <c r="B176" s="1852"/>
      <c r="C176" s="1717" t="s">
        <v>271</v>
      </c>
      <c r="D176" s="699" t="s">
        <v>3</v>
      </c>
      <c r="E176" s="934" t="b">
        <f t="shared" si="25"/>
        <v>0</v>
      </c>
      <c r="F176" s="157"/>
      <c r="G176" s="157" t="str">
        <f t="shared" si="26"/>
        <v/>
      </c>
      <c r="H176" s="157"/>
      <c r="I176" s="44"/>
      <c r="J176" s="44" t="str">
        <f t="shared" si="27"/>
        <v/>
      </c>
      <c r="K176" s="44"/>
      <c r="L176" s="44"/>
      <c r="M176" s="68"/>
      <c r="N176" s="4447"/>
      <c r="O176" s="4707"/>
      <c r="P176" s="3799"/>
      <c r="Q176" s="1060" t="s">
        <v>3</v>
      </c>
      <c r="R176" s="839" t="b">
        <f t="shared" si="28"/>
        <v>0</v>
      </c>
      <c r="S176" s="361"/>
      <c r="T176" s="361"/>
      <c r="U176" s="2697"/>
      <c r="V176" s="4447"/>
      <c r="W176" s="4753"/>
      <c r="X176" s="1443"/>
      <c r="Y176" s="1443"/>
      <c r="Z176" s="2698"/>
      <c r="AA176"/>
      <c r="BO176" s="46"/>
      <c r="BP176" s="47"/>
      <c r="BQ176" s="47"/>
      <c r="BR176" s="47"/>
      <c r="BS176" s="47"/>
      <c r="BT176" s="47"/>
      <c r="BU176" s="47"/>
      <c r="BV176" s="47"/>
      <c r="BW176" s="47"/>
      <c r="BX176" s="47"/>
      <c r="BY176" s="47"/>
      <c r="BZ176" s="47"/>
      <c r="CA176" s="47"/>
      <c r="CB176" s="47"/>
      <c r="CC176" s="47"/>
      <c r="CD176" s="47"/>
      <c r="CE176" s="48"/>
    </row>
    <row r="177" spans="1:83" s="2" customFormat="1" ht="29" x14ac:dyDescent="0.3">
      <c r="A177" s="610" t="s">
        <v>272</v>
      </c>
      <c r="B177" s="1852"/>
      <c r="C177" s="1717" t="s">
        <v>273</v>
      </c>
      <c r="D177" s="699" t="s">
        <v>3</v>
      </c>
      <c r="E177" s="934" t="b">
        <f t="shared" si="25"/>
        <v>0</v>
      </c>
      <c r="F177" s="157"/>
      <c r="G177" s="157" t="str">
        <f t="shared" si="26"/>
        <v/>
      </c>
      <c r="H177" s="157"/>
      <c r="I177" s="44"/>
      <c r="J177" s="44" t="str">
        <f t="shared" si="27"/>
        <v/>
      </c>
      <c r="K177" s="44"/>
      <c r="L177" s="44"/>
      <c r="M177" s="68"/>
      <c r="N177" s="4447"/>
      <c r="O177" s="4707"/>
      <c r="P177" s="3799"/>
      <c r="Q177" s="1060" t="s">
        <v>3</v>
      </c>
      <c r="R177" s="839" t="b">
        <f t="shared" si="28"/>
        <v>0</v>
      </c>
      <c r="S177" s="361"/>
      <c r="T177" s="361"/>
      <c r="U177" s="2697"/>
      <c r="V177" s="4447"/>
      <c r="W177" s="4753"/>
      <c r="X177" s="1443"/>
      <c r="Y177" s="1443"/>
      <c r="Z177" s="2698"/>
      <c r="AA177"/>
      <c r="BO177" s="46"/>
      <c r="BP177" s="47"/>
      <c r="BQ177" s="47"/>
      <c r="BR177" s="47"/>
      <c r="BS177" s="47"/>
      <c r="BT177" s="47"/>
      <c r="BU177" s="47"/>
      <c r="BV177" s="47"/>
      <c r="BW177" s="47"/>
      <c r="BX177" s="47"/>
      <c r="BY177" s="47"/>
      <c r="BZ177" s="47"/>
      <c r="CA177" s="47"/>
      <c r="CB177" s="47"/>
      <c r="CC177" s="47"/>
      <c r="CD177" s="47"/>
      <c r="CE177" s="48"/>
    </row>
    <row r="178" spans="1:83" s="2" customFormat="1" ht="29" x14ac:dyDescent="0.3">
      <c r="A178" s="610" t="s">
        <v>274</v>
      </c>
      <c r="B178" s="1852"/>
      <c r="C178" s="1717" t="s">
        <v>275</v>
      </c>
      <c r="D178" s="699" t="s">
        <v>3</v>
      </c>
      <c r="E178" s="934" t="b">
        <f t="shared" si="25"/>
        <v>0</v>
      </c>
      <c r="F178" s="157"/>
      <c r="G178" s="157" t="str">
        <f t="shared" si="26"/>
        <v/>
      </c>
      <c r="H178" s="157"/>
      <c r="I178" s="44"/>
      <c r="J178" s="44" t="str">
        <f t="shared" si="27"/>
        <v/>
      </c>
      <c r="K178" s="44"/>
      <c r="L178" s="44"/>
      <c r="M178" s="68"/>
      <c r="N178" s="4447"/>
      <c r="O178" s="4707"/>
      <c r="P178" s="3799"/>
      <c r="Q178" s="1060" t="s">
        <v>3</v>
      </c>
      <c r="R178" s="839" t="b">
        <f t="shared" si="28"/>
        <v>0</v>
      </c>
      <c r="S178" s="361"/>
      <c r="T178" s="387"/>
      <c r="U178" s="2697"/>
      <c r="V178" s="4447"/>
      <c r="W178" s="4753"/>
      <c r="X178" s="1443"/>
      <c r="Y178" s="1443"/>
      <c r="Z178" s="2698"/>
      <c r="AA178"/>
      <c r="BO178" s="46"/>
      <c r="BP178" s="47"/>
      <c r="BQ178" s="47"/>
      <c r="BR178" s="47"/>
      <c r="BS178" s="47"/>
      <c r="BT178" s="47"/>
      <c r="BU178" s="47"/>
      <c r="BV178" s="47"/>
      <c r="BW178" s="47"/>
      <c r="BX178" s="47"/>
      <c r="BY178" s="47"/>
      <c r="BZ178" s="47"/>
      <c r="CA178" s="47"/>
      <c r="CB178" s="47"/>
      <c r="CC178" s="47"/>
      <c r="CD178" s="47"/>
      <c r="CE178" s="48"/>
    </row>
    <row r="179" spans="1:83" s="2" customFormat="1" ht="217.5" x14ac:dyDescent="0.3">
      <c r="A179" s="610" t="s">
        <v>276</v>
      </c>
      <c r="B179" s="1852"/>
      <c r="C179" s="1717" t="s">
        <v>35</v>
      </c>
      <c r="D179" s="699" t="s">
        <v>3</v>
      </c>
      <c r="E179" s="934" t="b">
        <f t="shared" si="25"/>
        <v>0</v>
      </c>
      <c r="F179" s="157"/>
      <c r="G179" s="157" t="str">
        <f t="shared" si="26"/>
        <v/>
      </c>
      <c r="H179" s="157"/>
      <c r="I179" s="44"/>
      <c r="J179" s="44" t="str">
        <f t="shared" si="27"/>
        <v/>
      </c>
      <c r="K179" s="44"/>
      <c r="L179" s="44"/>
      <c r="M179" s="68"/>
      <c r="N179" s="4447"/>
      <c r="O179" s="4707"/>
      <c r="P179" s="3799"/>
      <c r="Q179" s="1060" t="s">
        <v>3</v>
      </c>
      <c r="R179" s="839" t="b">
        <f t="shared" si="28"/>
        <v>0</v>
      </c>
      <c r="S179" s="419"/>
      <c r="T179" s="361"/>
      <c r="U179" s="2703"/>
      <c r="V179" s="4447"/>
      <c r="W179" s="4753"/>
      <c r="X179" s="1443"/>
      <c r="Y179" s="1443"/>
      <c r="Z179" s="2698"/>
      <c r="AA179"/>
      <c r="BO179" s="46"/>
      <c r="BP179" s="47"/>
      <c r="BQ179" s="47"/>
      <c r="BR179" s="47"/>
      <c r="BS179" s="47"/>
      <c r="BT179" s="47"/>
      <c r="BU179" s="47"/>
      <c r="BV179" s="47"/>
      <c r="BW179" s="47"/>
      <c r="BX179" s="47"/>
      <c r="BY179" s="47"/>
      <c r="BZ179" s="47"/>
      <c r="CA179" s="47"/>
      <c r="CB179" s="47"/>
      <c r="CC179" s="47"/>
      <c r="CD179" s="47"/>
      <c r="CE179" s="48"/>
    </row>
    <row r="180" spans="1:83" s="2" customFormat="1" ht="72.5" x14ac:dyDescent="0.3">
      <c r="A180" s="610" t="s">
        <v>277</v>
      </c>
      <c r="B180" s="1852"/>
      <c r="C180" s="1717" t="s">
        <v>278</v>
      </c>
      <c r="D180" s="699" t="s">
        <v>3</v>
      </c>
      <c r="E180" s="934" t="b">
        <f t="shared" si="25"/>
        <v>0</v>
      </c>
      <c r="F180" s="157"/>
      <c r="G180" s="157" t="str">
        <f t="shared" si="26"/>
        <v/>
      </c>
      <c r="H180" s="157"/>
      <c r="I180" s="44"/>
      <c r="J180" s="44" t="str">
        <f t="shared" si="27"/>
        <v/>
      </c>
      <c r="K180" s="44"/>
      <c r="L180" s="44"/>
      <c r="M180" s="68"/>
      <c r="N180" s="4447"/>
      <c r="O180" s="4707"/>
      <c r="P180" s="3799"/>
      <c r="Q180" s="1060" t="s">
        <v>3</v>
      </c>
      <c r="R180" s="839" t="b">
        <f t="shared" si="28"/>
        <v>0</v>
      </c>
      <c r="S180" s="361"/>
      <c r="T180" s="390"/>
      <c r="U180" s="2697"/>
      <c r="V180" s="4447"/>
      <c r="W180" s="4753"/>
      <c r="X180" s="1443"/>
      <c r="Y180" s="1443"/>
      <c r="Z180" s="2698"/>
      <c r="AA180"/>
      <c r="BO180" s="46"/>
      <c r="BP180" s="47"/>
      <c r="BQ180" s="47"/>
      <c r="BR180" s="47"/>
      <c r="BS180" s="47"/>
      <c r="BT180" s="47"/>
      <c r="BU180" s="47"/>
      <c r="BV180" s="47"/>
      <c r="BW180" s="47"/>
      <c r="BX180" s="47"/>
      <c r="BY180" s="47"/>
      <c r="BZ180" s="47"/>
      <c r="CA180" s="47"/>
      <c r="CB180" s="47"/>
      <c r="CC180" s="47"/>
      <c r="CD180" s="47"/>
      <c r="CE180" s="48"/>
    </row>
    <row r="181" spans="1:83" s="2" customFormat="1" ht="72.5" x14ac:dyDescent="0.3">
      <c r="A181" s="610" t="s">
        <v>279</v>
      </c>
      <c r="B181" s="1852"/>
      <c r="C181" s="1717" t="s">
        <v>280</v>
      </c>
      <c r="D181" s="699" t="s">
        <v>3</v>
      </c>
      <c r="E181" s="934" t="b">
        <f t="shared" si="25"/>
        <v>0</v>
      </c>
      <c r="F181" s="157"/>
      <c r="G181" s="157" t="str">
        <f t="shared" si="26"/>
        <v/>
      </c>
      <c r="H181" s="157"/>
      <c r="I181" s="44"/>
      <c r="J181" s="44" t="str">
        <f t="shared" si="27"/>
        <v/>
      </c>
      <c r="K181" s="44"/>
      <c r="L181" s="44"/>
      <c r="M181" s="68"/>
      <c r="N181" s="4447"/>
      <c r="O181" s="4707"/>
      <c r="P181" s="3799"/>
      <c r="Q181" s="1060" t="s">
        <v>3</v>
      </c>
      <c r="R181" s="839" t="b">
        <f t="shared" si="28"/>
        <v>0</v>
      </c>
      <c r="S181" s="361"/>
      <c r="T181" s="361"/>
      <c r="U181" s="2697"/>
      <c r="V181" s="4447"/>
      <c r="W181" s="4753"/>
      <c r="X181" s="1443"/>
      <c r="Y181" s="1443"/>
      <c r="Z181" s="2698"/>
      <c r="AA181"/>
      <c r="BO181" s="46"/>
      <c r="BP181" s="47"/>
      <c r="BQ181" s="47"/>
      <c r="BR181" s="47"/>
      <c r="BS181" s="47"/>
      <c r="BT181" s="47"/>
      <c r="BU181" s="47"/>
      <c r="BV181" s="47"/>
      <c r="BW181" s="47"/>
      <c r="BX181" s="47"/>
      <c r="BY181" s="47"/>
      <c r="BZ181" s="47"/>
      <c r="CA181" s="47"/>
      <c r="CB181" s="47"/>
      <c r="CC181" s="47"/>
      <c r="CD181" s="47"/>
      <c r="CE181" s="48"/>
    </row>
    <row r="182" spans="1:83" s="2" customFormat="1" ht="29.5" thickBot="1" x14ac:dyDescent="0.35">
      <c r="A182" s="610" t="s">
        <v>281</v>
      </c>
      <c r="B182" s="1852"/>
      <c r="C182" s="1800" t="s">
        <v>282</v>
      </c>
      <c r="D182" s="700" t="s">
        <v>3</v>
      </c>
      <c r="E182" s="935" t="b">
        <f t="shared" si="25"/>
        <v>0</v>
      </c>
      <c r="F182" s="159"/>
      <c r="G182" s="159" t="str">
        <f t="shared" si="26"/>
        <v/>
      </c>
      <c r="H182" s="159"/>
      <c r="I182" s="124"/>
      <c r="J182" s="124" t="str">
        <f t="shared" si="27"/>
        <v/>
      </c>
      <c r="K182" s="124"/>
      <c r="L182" s="124"/>
      <c r="M182" s="246"/>
      <c r="N182" s="4448"/>
      <c r="O182" s="4708"/>
      <c r="P182" s="3802"/>
      <c r="Q182" s="1017" t="s">
        <v>3</v>
      </c>
      <c r="R182" s="938" t="b">
        <f t="shared" si="28"/>
        <v>0</v>
      </c>
      <c r="S182" s="258"/>
      <c r="T182" s="258"/>
      <c r="U182" s="2704"/>
      <c r="V182" s="4448"/>
      <c r="W182" s="4763"/>
      <c r="X182" s="1423"/>
      <c r="Y182" s="1423"/>
      <c r="Z182" s="2682"/>
      <c r="AA182"/>
      <c r="BO182" s="46"/>
      <c r="BP182" s="47"/>
      <c r="BQ182" s="47"/>
      <c r="BR182" s="47"/>
      <c r="BS182" s="47"/>
      <c r="BT182" s="47"/>
      <c r="BU182" s="47"/>
      <c r="BV182" s="47"/>
      <c r="BW182" s="47"/>
      <c r="BX182" s="47"/>
      <c r="BY182" s="47"/>
      <c r="BZ182" s="47"/>
      <c r="CA182" s="47"/>
      <c r="CB182" s="47"/>
      <c r="CC182" s="47"/>
      <c r="CD182" s="47"/>
      <c r="CE182" s="48"/>
    </row>
    <row r="183" spans="1:83" ht="13.5" thickTop="1" x14ac:dyDescent="0.3">
      <c r="A183" s="676"/>
      <c r="B183" s="1"/>
      <c r="C183" s="1"/>
      <c r="D183" s="1"/>
      <c r="E183" s="1"/>
      <c r="F183" s="1"/>
      <c r="G183" s="1"/>
      <c r="H183" s="1"/>
      <c r="I183" s="1"/>
      <c r="J183" s="1"/>
      <c r="K183" s="1"/>
      <c r="L183" s="1"/>
      <c r="M183" s="1"/>
      <c r="N183" s="1"/>
      <c r="O183" s="1"/>
      <c r="P183" s="1"/>
      <c r="Q183" s="1"/>
      <c r="R183" s="1"/>
      <c r="S183" s="1"/>
      <c r="T183" s="1"/>
      <c r="U183" s="1"/>
      <c r="BO183" s="49"/>
      <c r="BP183" s="50"/>
      <c r="BQ183" s="50"/>
      <c r="BR183" s="50"/>
      <c r="BS183" s="50"/>
      <c r="BT183" s="50"/>
      <c r="BU183" s="50"/>
      <c r="BV183" s="50"/>
      <c r="BW183" s="50"/>
      <c r="BX183" s="50"/>
      <c r="BY183" s="50"/>
      <c r="BZ183" s="50"/>
      <c r="CA183" s="50"/>
      <c r="CB183" s="50"/>
      <c r="CC183" s="50"/>
      <c r="CD183" s="50"/>
      <c r="CE183" s="51"/>
    </row>
    <row r="184" spans="1:83" x14ac:dyDescent="0.3">
      <c r="A184" s="4751"/>
      <c r="B184" s="4751"/>
      <c r="C184" s="4751"/>
      <c r="D184" s="4751"/>
      <c r="E184" s="4751"/>
      <c r="F184" s="4751"/>
      <c r="G184" s="4751"/>
      <c r="H184" s="4751"/>
      <c r="I184" s="4751"/>
      <c r="J184" s="4751"/>
      <c r="K184" s="4751"/>
      <c r="L184" s="4751"/>
      <c r="M184" s="4751"/>
      <c r="N184" s="4751"/>
      <c r="O184" s="4751"/>
      <c r="P184" s="4751"/>
      <c r="Q184" s="4751"/>
      <c r="R184" s="4751"/>
      <c r="S184" s="4751"/>
      <c r="T184" s="4751"/>
      <c r="U184" s="4751"/>
      <c r="V184" s="4751"/>
      <c r="BO184" s="49"/>
      <c r="BP184" s="50"/>
      <c r="BQ184" s="50"/>
      <c r="BR184" s="50"/>
      <c r="BS184" s="50"/>
      <c r="BT184" s="50"/>
      <c r="BU184" s="50"/>
      <c r="BV184" s="50"/>
      <c r="BW184" s="50"/>
      <c r="BX184" s="50"/>
      <c r="BY184" s="50"/>
      <c r="BZ184" s="50"/>
      <c r="CA184" s="50"/>
      <c r="CB184" s="50"/>
      <c r="CC184" s="50"/>
      <c r="CD184" s="50"/>
      <c r="CE184" s="51"/>
    </row>
    <row r="185" spans="1:83" x14ac:dyDescent="0.3">
      <c r="A185" s="4751"/>
      <c r="B185" s="4751"/>
      <c r="C185" s="4751"/>
      <c r="D185" s="4751"/>
      <c r="E185" s="4751"/>
      <c r="F185" s="4751"/>
      <c r="G185" s="4751"/>
      <c r="H185" s="4751"/>
      <c r="I185" s="4751"/>
      <c r="J185" s="4751"/>
      <c r="K185" s="4751"/>
      <c r="L185" s="4751"/>
      <c r="M185" s="4751"/>
      <c r="N185" s="4751"/>
      <c r="O185" s="4751"/>
      <c r="P185" s="4751"/>
      <c r="Q185" s="4751"/>
      <c r="R185" s="4751"/>
      <c r="S185" s="4751"/>
      <c r="T185" s="4751"/>
      <c r="U185" s="4751"/>
      <c r="V185" s="4751"/>
      <c r="BO185" s="677"/>
      <c r="BP185" s="201"/>
      <c r="BQ185" s="201"/>
      <c r="BR185" s="201"/>
      <c r="BS185" s="201"/>
      <c r="BT185" s="201"/>
      <c r="BU185" s="201"/>
      <c r="BV185" s="201"/>
      <c r="BW185" s="201"/>
      <c r="BX185" s="201"/>
      <c r="BY185" s="201"/>
      <c r="BZ185" s="201"/>
      <c r="CA185" s="201"/>
      <c r="CB185" s="201"/>
      <c r="CC185" s="201"/>
      <c r="CD185" s="201"/>
      <c r="CE185" s="678"/>
    </row>
  </sheetData>
  <sheetProtection algorithmName="SHA-512" hashValue="g6mVEB1xDiIUmcPcRIkh6IsLcoHsxA6uoBkXLSHW5ACVcAHCYKHj8P4UNeCYWDERwL/NnJO1JbldU5EhO4rVbA==" saltValue="Ze6uylm9JxhK5ffgWJBHMQ==" spinCount="100000" sheet="1" formatCells="0" insertHyperlinks="0" selectLockedCells="1" autoFilter="0"/>
  <dataConsolidate/>
  <mergeCells count="94">
    <mergeCell ref="B1:D1"/>
    <mergeCell ref="B3:D3"/>
    <mergeCell ref="W62:W64"/>
    <mergeCell ref="V62:V64"/>
    <mergeCell ref="W56:W57"/>
    <mergeCell ref="V56:V57"/>
    <mergeCell ref="O56:O57"/>
    <mergeCell ref="N56:N57"/>
    <mergeCell ref="O58:O61"/>
    <mergeCell ref="N58:N61"/>
    <mergeCell ref="W58:W61"/>
    <mergeCell ref="V58:V61"/>
    <mergeCell ref="A4:D4"/>
    <mergeCell ref="D26:N26"/>
    <mergeCell ref="B20:D20"/>
    <mergeCell ref="W69:W76"/>
    <mergeCell ref="W77:W79"/>
    <mergeCell ref="V77:V79"/>
    <mergeCell ref="O77:O79"/>
    <mergeCell ref="B2:D2"/>
    <mergeCell ref="N28:N32"/>
    <mergeCell ref="W6:X6"/>
    <mergeCell ref="R9:R11"/>
    <mergeCell ref="W9:W11"/>
    <mergeCell ref="V9:V11"/>
    <mergeCell ref="O9:O11"/>
    <mergeCell ref="Q9:Q11"/>
    <mergeCell ref="W28:W32"/>
    <mergeCell ref="V28:V32"/>
    <mergeCell ref="O28:O32"/>
    <mergeCell ref="W91:W98"/>
    <mergeCell ref="V91:V98"/>
    <mergeCell ref="O91:O98"/>
    <mergeCell ref="N91:N98"/>
    <mergeCell ref="O65:O68"/>
    <mergeCell ref="N65:N68"/>
    <mergeCell ref="O69:O76"/>
    <mergeCell ref="N69:N76"/>
    <mergeCell ref="O81:O87"/>
    <mergeCell ref="W81:W87"/>
    <mergeCell ref="V81:V87"/>
    <mergeCell ref="N81:N87"/>
    <mergeCell ref="W65:W68"/>
    <mergeCell ref="V65:V68"/>
    <mergeCell ref="N77:N79"/>
    <mergeCell ref="V69:V76"/>
    <mergeCell ref="W170:W182"/>
    <mergeCell ref="V170:V182"/>
    <mergeCell ref="O170:O182"/>
    <mergeCell ref="N170:N182"/>
    <mergeCell ref="W104:W107"/>
    <mergeCell ref="V104:V107"/>
    <mergeCell ref="O104:O107"/>
    <mergeCell ref="N104:N107"/>
    <mergeCell ref="W108:W154"/>
    <mergeCell ref="V108:V154"/>
    <mergeCell ref="O108:O154"/>
    <mergeCell ref="N108:N154"/>
    <mergeCell ref="W159:W161"/>
    <mergeCell ref="V159:V161"/>
    <mergeCell ref="O159:O161"/>
    <mergeCell ref="N159:N161"/>
    <mergeCell ref="W162:W169"/>
    <mergeCell ref="V162:V169"/>
    <mergeCell ref="O162:O169"/>
    <mergeCell ref="N162:N169"/>
    <mergeCell ref="N36:N40"/>
    <mergeCell ref="O45:O55"/>
    <mergeCell ref="N45:N55"/>
    <mergeCell ref="W45:W55"/>
    <mergeCell ref="V45:V55"/>
    <mergeCell ref="W36:W40"/>
    <mergeCell ref="V36:V40"/>
    <mergeCell ref="O36:O40"/>
    <mergeCell ref="W88:W90"/>
    <mergeCell ref="V88:V90"/>
    <mergeCell ref="O88:O90"/>
    <mergeCell ref="N88:N90"/>
    <mergeCell ref="A185:V185"/>
    <mergeCell ref="A184:V184"/>
    <mergeCell ref="A6:C6"/>
    <mergeCell ref="N9:N11"/>
    <mergeCell ref="N6:T6"/>
    <mergeCell ref="U6:V6"/>
    <mergeCell ref="A34:C34"/>
    <mergeCell ref="D34:N34"/>
    <mergeCell ref="A156:N156"/>
    <mergeCell ref="A101:C101"/>
    <mergeCell ref="D101:N101"/>
    <mergeCell ref="A42:C42"/>
    <mergeCell ref="D42:N42"/>
    <mergeCell ref="O62:O64"/>
    <mergeCell ref="N62:N64"/>
    <mergeCell ref="A26:C26"/>
  </mergeCells>
  <conditionalFormatting sqref="P25">
    <cfRule type="beginsWith" dxfId="3387" priority="536" operator="beginsWith" text="Likely">
      <formula>LEFT(P25,LEN("Likely"))="Likely"</formula>
    </cfRule>
    <cfRule type="beginsWith" dxfId="3386" priority="537" operator="beginsWith" text="Not Applicable">
      <formula>LEFT(P25,LEN("Not Applicable"))="Not Applicable"</formula>
    </cfRule>
    <cfRule type="beginsWith" dxfId="3385" priority="538" operator="beginsWith" text="Applicable">
      <formula>LEFT(P25,LEN("Applicable"))="Applicable"</formula>
    </cfRule>
    <cfRule type="beginsWith" dxfId="3384" priority="539" operator="beginsWith" text="Partly">
      <formula>LEFT(P25,LEN("Partly"))="Partly"</formula>
    </cfRule>
    <cfRule type="beginsWith" dxfId="3383" priority="540" operator="beginsWith" text="Missing">
      <formula>LEFT(P25,LEN("Missing"))="Missing"</formula>
    </cfRule>
    <cfRule type="beginsWith" dxfId="3382" priority="541" operator="beginsWith" text="Not">
      <formula>LEFT(P25,LEN("Not"))="Not"</formula>
    </cfRule>
    <cfRule type="beginsWith" dxfId="3381" priority="542" operator="beginsWith" text="Compliant">
      <formula>LEFT(P25,LEN("Compliant"))="Compliant"</formula>
    </cfRule>
    <cfRule type="containsText" dxfId="3380" priority="543" operator="containsText" text="Equivalent">
      <formula>NOT(ISERROR(SEARCH("Equivalent",P25)))</formula>
    </cfRule>
  </conditionalFormatting>
  <conditionalFormatting sqref="B25">
    <cfRule type="expression" dxfId="3379" priority="535">
      <formula>IF($E25,TRUE)</formula>
    </cfRule>
  </conditionalFormatting>
  <conditionalFormatting sqref="B25">
    <cfRule type="expression" dxfId="3378" priority="544">
      <formula>IF(AND($E25=FALSE,$N25="Not Applicable"),TRUE,FALSE)</formula>
    </cfRule>
    <cfRule type="expression" dxfId="3377" priority="545">
      <formula>IF(AND($E25,TRUE,$N25="Not Applicable"),TRUE,FALSE)</formula>
    </cfRule>
    <cfRule type="expression" dxfId="3376" priority="546">
      <formula>IF($E25=TRUE,TRUE,FALSE)</formula>
    </cfRule>
    <cfRule type="expression" dxfId="3375" priority="547">
      <formula>IF(AND($E25=FALSE,$N25&lt;&gt;""),TRUE,FALSE)</formula>
    </cfRule>
  </conditionalFormatting>
  <conditionalFormatting sqref="N25:O25">
    <cfRule type="expression" dxfId="3374" priority="548">
      <formula>IF(AND($E25=FALSE,$N25="Not Applicable"),TRUE,FALSE)</formula>
    </cfRule>
    <cfRule type="expression" dxfId="3373" priority="549">
      <formula>IF(AND($E25=TRUE,$L25="",$N25="Applicable"),TRUE,FALSE)</formula>
    </cfRule>
    <cfRule type="expression" dxfId="3372" priority="550">
      <formula>IF(AND($E25=TRUE,$L25&lt;&gt;"",$N25="Applicable"),TRUE,FALSE)</formula>
    </cfRule>
    <cfRule type="expression" dxfId="3371" priority="551">
      <formula>IF(AND($E25=FALSE,$N25&lt;&gt;""),TRUE,FALSE)</formula>
    </cfRule>
    <cfRule type="expression" dxfId="3370" priority="552">
      <formula>IF(AND($L25&lt;&gt;"",$N25&lt;&gt;""),TRUE,FALSE)</formula>
    </cfRule>
  </conditionalFormatting>
  <conditionalFormatting sqref="V100 V102">
    <cfRule type="containsText" dxfId="3369" priority="525" operator="containsText" text="Applicable">
      <formula>NOT(ISERROR(SEARCH("Applicable",V100)))</formula>
    </cfRule>
    <cfRule type="containsText" dxfId="3368" priority="526" operator="containsText" text="Functionally">
      <formula>NOT(ISERROR(SEARCH("Functionally",V100)))</formula>
    </cfRule>
    <cfRule type="containsText" dxfId="3367" priority="527" operator="containsText" text="Not Compliant">
      <formula>NOT(ISERROR(SEARCH("Not Compliant",V100)))</formula>
    </cfRule>
    <cfRule type="containsText" dxfId="3366" priority="528" operator="containsText" text="Compliant">
      <formula>NOT(ISERROR(SEARCH("Compliant",V100)))</formula>
    </cfRule>
  </conditionalFormatting>
  <conditionalFormatting sqref="B104 D104">
    <cfRule type="expression" dxfId="3365" priority="520">
      <formula>IF($E104,TRUE)</formula>
    </cfRule>
  </conditionalFormatting>
  <conditionalFormatting sqref="B108 D108">
    <cfRule type="expression" dxfId="3364" priority="519">
      <formula>IF($E108,TRUE)</formula>
    </cfRule>
  </conditionalFormatting>
  <conditionalFormatting sqref="N100:O100 N102:O102">
    <cfRule type="containsText" dxfId="3363" priority="529" operator="containsText" text="Not Compliant">
      <formula>NOT(ISERROR(SEARCH("Not Compliant",N100)))</formula>
    </cfRule>
    <cfRule type="expression" dxfId="3362" priority="530">
      <formula>IF(AND($E100=TRUE,$I100="",$N100="Compliant"),TRUE,FALSE)</formula>
    </cfRule>
    <cfRule type="expression" dxfId="3361" priority="531">
      <formula>IF(AND($E100=TRUE,$I100&lt;&gt;"",$N100="Compliant"),TRUE,FALSE)</formula>
    </cfRule>
    <cfRule type="expression" dxfId="3360" priority="532">
      <formula>IF($N100&lt;&gt;"",TRUE,FALSE)</formula>
    </cfRule>
    <cfRule type="expression" dxfId="3359" priority="533">
      <formula>IF(AND($E100=FALSE,$N100&lt;&gt;""),TRUE,FALSE)</formula>
    </cfRule>
    <cfRule type="expression" dxfId="3358" priority="534">
      <formula>IF(AND($I100&lt;&gt;"",$N100&lt;&gt;""),TRUE,FALSE)</formula>
    </cfRule>
  </conditionalFormatting>
  <conditionalFormatting sqref="D114:D116 D163:D169">
    <cfRule type="expression" dxfId="3357" priority="499">
      <formula>IF($D114="Compliant",TRUE)</formula>
    </cfRule>
    <cfRule type="expression" dxfId="3356" priority="500">
      <formula>IF($D114=" ",TRUE)</formula>
    </cfRule>
    <cfRule type="expression" dxfId="3355" priority="506">
      <formula>IF($D114="Not Compliant",TRUE)</formula>
    </cfRule>
  </conditionalFormatting>
  <conditionalFormatting sqref="B105:B107">
    <cfRule type="expression" dxfId="3354" priority="521">
      <formula>IF(AND($E105=FALSE,OR($I105&lt;&gt;"",$L105&lt;&gt;"")),TRUE,FALSE)</formula>
    </cfRule>
    <cfRule type="expression" dxfId="3353" priority="522">
      <formula>IF(AND($E105=TRUE,OR($I105="",$J105="")),TRUE,FALSE)</formula>
    </cfRule>
    <cfRule type="expression" dxfId="3352" priority="523">
      <formula>IF(AND($E105=TRUE,OR($I105&lt;&gt;"",$L105="")),TRUE,FALSE)</formula>
    </cfRule>
    <cfRule type="expression" dxfId="3351" priority="524">
      <formula>IF(AND($E105=FALSE,$E$104=TRUE),TRUE,FALSE)</formula>
    </cfRule>
  </conditionalFormatting>
  <conditionalFormatting sqref="D171:D182 D117:D154 D109:D113 D105:D107 D93:D99 D89:D90 D82:D87 D78:D79 D70:D76 D66:D68 D63:D64 D59:D61 D57 D49:D55 D47 D37:D40 D29:D32 D8">
    <cfRule type="expression" dxfId="3350" priority="491">
      <formula>IF($D8="Compliant",TRUE)</formula>
    </cfRule>
    <cfRule type="expression" dxfId="3349" priority="492">
      <formula>IF($D8=" ",TRUE)</formula>
    </cfRule>
    <cfRule type="expression" dxfId="3348" priority="498">
      <formula>IF($D8="Not Compliant",TRUE)</formula>
    </cfRule>
  </conditionalFormatting>
  <conditionalFormatting sqref="B17">
    <cfRule type="expression" dxfId="3347" priority="490">
      <formula>IF($E17=TRUE,TRUE,FALSE)</formula>
    </cfRule>
  </conditionalFormatting>
  <conditionalFormatting sqref="B15">
    <cfRule type="expression" dxfId="3346" priority="489">
      <formula>IF($E15=TRUE,TRUE,FALSE)</formula>
    </cfRule>
  </conditionalFormatting>
  <conditionalFormatting sqref="B16">
    <cfRule type="expression" dxfId="3345" priority="488">
      <formula>IF($E16=TRUE,TRUE,FALSE)</formula>
    </cfRule>
  </conditionalFormatting>
  <conditionalFormatting sqref="B18:B20">
    <cfRule type="expression" dxfId="3344" priority="487">
      <formula>IF($E18=TRUE,TRUE,FALSE)</formula>
    </cfRule>
  </conditionalFormatting>
  <conditionalFormatting sqref="D15:D19">
    <cfRule type="expression" dxfId="3343" priority="486">
      <formula>IF($E15,TRUE)</formula>
    </cfRule>
  </conditionalFormatting>
  <conditionalFormatting sqref="B47">
    <cfRule type="expression" dxfId="3342" priority="480">
      <formula>IF(AND($E47=FALSE,OR($I47&lt;&gt;"",$L47&lt;&gt;"")),TRUE,FALSE)</formula>
    </cfRule>
    <cfRule type="expression" dxfId="3341" priority="481">
      <formula>IF(AND($E47=TRUE,$I47&lt;&gt;"",$L47&lt;&gt;""),TRUE,FALSE)</formula>
    </cfRule>
    <cfRule type="expression" dxfId="3340" priority="482">
      <formula>IF(AND($E47=TRUE,OR($I47="",$L47="")),TRUE,FALSE)</formula>
    </cfRule>
  </conditionalFormatting>
  <conditionalFormatting sqref="B49:B53">
    <cfRule type="expression" dxfId="3339" priority="477">
      <formula>IF(AND($E49=FALSE,OR($I49&lt;&gt;"",$L49&lt;&gt;"")),TRUE,FALSE)</formula>
    </cfRule>
    <cfRule type="expression" dxfId="3338" priority="478">
      <formula>IF(AND($E49=TRUE,$I49&lt;&gt;"",$L49&lt;&gt;""),TRUE,FALSE)</formula>
    </cfRule>
    <cfRule type="expression" dxfId="3337" priority="479">
      <formula>IF(AND($E49=TRUE,OR($I49="",$L49="")),TRUE,FALSE)</formula>
    </cfRule>
  </conditionalFormatting>
  <conditionalFormatting sqref="B54:B55">
    <cfRule type="expression" dxfId="3336" priority="474">
      <formula>IF(AND($E54=FALSE,OR($I54&lt;&gt;"",$L54&lt;&gt;"")),TRUE,FALSE)</formula>
    </cfRule>
    <cfRule type="expression" dxfId="3335" priority="475">
      <formula>IF(AND($E54=TRUE,$I54&lt;&gt;"",$L54&lt;&gt;""),TRUE,FALSE)</formula>
    </cfRule>
    <cfRule type="expression" dxfId="3334" priority="476">
      <formula>IF(AND($E54=TRUE,OR($I54="",$L54="")),TRUE,FALSE)</formula>
    </cfRule>
  </conditionalFormatting>
  <conditionalFormatting sqref="B57">
    <cfRule type="expression" dxfId="3333" priority="471">
      <formula>IF(AND($E57=FALSE,OR($I57&lt;&gt;"",$L57&lt;&gt;"")),TRUE,FALSE)</formula>
    </cfRule>
    <cfRule type="expression" dxfId="3332" priority="472">
      <formula>IF(AND($E57=TRUE,$I57&lt;&gt;"",$L57&lt;&gt;""),TRUE,FALSE)</formula>
    </cfRule>
    <cfRule type="expression" dxfId="3331" priority="473">
      <formula>IF(AND($E57=TRUE,OR($I57="",$L57="")),TRUE,FALSE)</formula>
    </cfRule>
  </conditionalFormatting>
  <conditionalFormatting sqref="B59:B61">
    <cfRule type="expression" dxfId="3330" priority="468">
      <formula>IF(AND($E59=FALSE,OR($I59&lt;&gt;"",$L59&lt;&gt;"")),TRUE,FALSE)</formula>
    </cfRule>
    <cfRule type="expression" dxfId="3329" priority="469">
      <formula>IF(AND($E59=TRUE,$I59&lt;&gt;"",$L59&lt;&gt;""),TRUE,FALSE)</formula>
    </cfRule>
    <cfRule type="expression" dxfId="3328" priority="470">
      <formula>IF(AND($E59=TRUE,OR($I59="",$L59="")),TRUE,FALSE)</formula>
    </cfRule>
  </conditionalFormatting>
  <conditionalFormatting sqref="B63:B64">
    <cfRule type="expression" dxfId="3327" priority="465">
      <formula>IF(AND($E63=FALSE,OR($I63&lt;&gt;"",$L63&lt;&gt;"")),TRUE,FALSE)</formula>
    </cfRule>
    <cfRule type="expression" dxfId="3326" priority="466">
      <formula>IF(AND($E63=TRUE,$I63&lt;&gt;"",$L63&lt;&gt;""),TRUE,FALSE)</formula>
    </cfRule>
    <cfRule type="expression" dxfId="3325" priority="467">
      <formula>IF(AND($E63=TRUE,OR($I63="",$L63="")),TRUE,FALSE)</formula>
    </cfRule>
  </conditionalFormatting>
  <conditionalFormatting sqref="B66:B68">
    <cfRule type="expression" dxfId="3324" priority="462">
      <formula>IF(AND($E66=FALSE,OR($I66&lt;&gt;"",$L66&lt;&gt;"")),TRUE,FALSE)</formula>
    </cfRule>
    <cfRule type="expression" dxfId="3323" priority="463">
      <formula>IF(AND($E66=TRUE,$I66&lt;&gt;"",$L66&lt;&gt;""),TRUE,FALSE)</formula>
    </cfRule>
    <cfRule type="expression" dxfId="3322" priority="464">
      <formula>IF(AND($E66=TRUE,OR($I66="",$L66="")),TRUE,FALSE)</formula>
    </cfRule>
  </conditionalFormatting>
  <conditionalFormatting sqref="B70:B75">
    <cfRule type="expression" dxfId="3321" priority="459">
      <formula>IF(AND($E70=FALSE,OR($I70&lt;&gt;"",$L70&lt;&gt;"")),TRUE,FALSE)</formula>
    </cfRule>
    <cfRule type="expression" dxfId="3320" priority="460">
      <formula>IF(AND($E70=TRUE,$I70&lt;&gt;"",$L70&lt;&gt;""),TRUE,FALSE)</formula>
    </cfRule>
    <cfRule type="expression" dxfId="3319" priority="461">
      <formula>IF(AND($E70=TRUE,OR($I70="",$L70="")),TRUE,FALSE)</formula>
    </cfRule>
  </conditionalFormatting>
  <conditionalFormatting sqref="B76">
    <cfRule type="expression" dxfId="3318" priority="456">
      <formula>IF(AND($E76=FALSE,OR($I76&lt;&gt;"",$L76&lt;&gt;"")),TRUE,FALSE)</formula>
    </cfRule>
    <cfRule type="expression" dxfId="3317" priority="457">
      <formula>IF(AND($E76=TRUE,$I76&lt;&gt;"",$L76&lt;&gt;""),TRUE,FALSE)</formula>
    </cfRule>
    <cfRule type="expression" dxfId="3316" priority="458">
      <formula>IF(AND($E76=TRUE,OR($I76="",$L76="")),TRUE,FALSE)</formula>
    </cfRule>
  </conditionalFormatting>
  <conditionalFormatting sqref="B78:B79">
    <cfRule type="expression" dxfId="3315" priority="453">
      <formula>IF(AND($E78=FALSE,OR($I78&lt;&gt;"",$L78&lt;&gt;"")),TRUE,FALSE)</formula>
    </cfRule>
    <cfRule type="expression" dxfId="3314" priority="454">
      <formula>IF(AND($E78=TRUE,$I78&lt;&gt;"",$L78&lt;&gt;""),TRUE,FALSE)</formula>
    </cfRule>
    <cfRule type="expression" dxfId="3313" priority="455">
      <formula>IF(AND($E78=TRUE,OR($I78="",$L78="")),TRUE,FALSE)</formula>
    </cfRule>
  </conditionalFormatting>
  <conditionalFormatting sqref="B82:B86">
    <cfRule type="expression" dxfId="3312" priority="450">
      <formula>IF(AND($E82=FALSE,OR($I82&lt;&gt;"",$L82&lt;&gt;"")),TRUE,FALSE)</formula>
    </cfRule>
    <cfRule type="expression" dxfId="3311" priority="451">
      <formula>IF(AND($E82=TRUE,$I82&lt;&gt;"",$L82&lt;&gt;""),TRUE,FALSE)</formula>
    </cfRule>
    <cfRule type="expression" dxfId="3310" priority="452">
      <formula>IF(AND($E82=TRUE,OR($I82="",$L82="")),TRUE,FALSE)</formula>
    </cfRule>
  </conditionalFormatting>
  <conditionalFormatting sqref="B87">
    <cfRule type="expression" dxfId="3309" priority="447">
      <formula>IF(AND($E87=FALSE,OR($I87&lt;&gt;"",$L87&lt;&gt;"")),TRUE,FALSE)</formula>
    </cfRule>
    <cfRule type="expression" dxfId="3308" priority="448">
      <formula>IF(AND($E87=TRUE,$I87&lt;&gt;"",$L87&lt;&gt;""),TRUE,FALSE)</formula>
    </cfRule>
    <cfRule type="expression" dxfId="3307" priority="449">
      <formula>IF(AND($E87=TRUE,OR($I87="",$L87="")),TRUE,FALSE)</formula>
    </cfRule>
  </conditionalFormatting>
  <conditionalFormatting sqref="B89:B90">
    <cfRule type="expression" dxfId="3306" priority="351">
      <formula>IF(AND($E89=TRUE,$F$88&gt;1),TRUE,FALSE)</formula>
    </cfRule>
    <cfRule type="expression" dxfId="3305" priority="422">
      <formula>IF(AND($E89=FALSE,OR($I89&lt;&gt;"",$L89&lt;&gt;"")),TRUE,FALSE)</formula>
    </cfRule>
    <cfRule type="expression" dxfId="3304" priority="444">
      <formula>IF(AND($E89=TRUE,$I89&lt;&gt;"",$L89&lt;&gt;""),TRUE,FALSE)</formula>
    </cfRule>
    <cfRule type="expression" dxfId="3303" priority="445">
      <formula>IF(AND($E89=TRUE,OR($I89="",$L89="")),TRUE,FALSE)</formula>
    </cfRule>
    <cfRule type="expression" dxfId="3302" priority="446">
      <formula>IF(AND($E89=FALSE,$E$88=TRUE),TRUE,FALSE)</formula>
    </cfRule>
  </conditionalFormatting>
  <conditionalFormatting sqref="B93:B98">
    <cfRule type="expression" dxfId="3301" priority="441">
      <formula>IF(AND($E93=FALSE,OR($I93&lt;&gt;"",$L93&lt;&gt;"")),TRUE,FALSE)</formula>
    </cfRule>
    <cfRule type="expression" dxfId="3300" priority="442">
      <formula>IF(AND($E93=TRUE,$I93&lt;&gt;"",$L93&lt;&gt;""),TRUE,FALSE)</formula>
    </cfRule>
    <cfRule type="expression" dxfId="3299" priority="443">
      <formula>IF(AND($E93=TRUE,OR($I93="",$L93="")),TRUE,FALSE)</formula>
    </cfRule>
  </conditionalFormatting>
  <conditionalFormatting sqref="B99">
    <cfRule type="expression" dxfId="3298" priority="438">
      <formula>IF(AND($E99=FALSE,OR($I99&lt;&gt;"",$L99&lt;&gt;"")),TRUE,FALSE)</formula>
    </cfRule>
    <cfRule type="expression" dxfId="3297" priority="439">
      <formula>IF(AND($E99=TRUE,$I99&lt;&gt;"",$L99&lt;&gt;""),TRUE,FALSE)</formula>
    </cfRule>
    <cfRule type="expression" dxfId="3296" priority="440">
      <formula>IF(AND($E99=TRUE,OR($I99="",$L99="")),TRUE,FALSE)</formula>
    </cfRule>
  </conditionalFormatting>
  <conditionalFormatting sqref="B109:B154">
    <cfRule type="expression" dxfId="3295" priority="515">
      <formula>IF(AND($E109=FALSE,OR($I109&lt;&gt;"",$L109&lt;&gt;"")),TRUE,FALSE)</formula>
    </cfRule>
    <cfRule type="expression" dxfId="3294" priority="516">
      <formula>IF(AND($E109=TRUE,OR($I109="",$J109="")),TRUE,FALSE)</formula>
    </cfRule>
    <cfRule type="expression" dxfId="3293" priority="517">
      <formula>IF(AND($E109=TRUE,OR($I109&lt;&gt;"",$L109="")),TRUE,FALSE)</formula>
    </cfRule>
    <cfRule type="expression" dxfId="3292" priority="518">
      <formula>IF(AND($E109=FALSE,$E$108=TRUE),TRUE,FALSE)</formula>
    </cfRule>
  </conditionalFormatting>
  <conditionalFormatting sqref="B103 D103">
    <cfRule type="expression" dxfId="3291" priority="417">
      <formula>IF($E103,TRUE)</formula>
    </cfRule>
  </conditionalFormatting>
  <conditionalFormatting sqref="D92 B92">
    <cfRule type="expression" dxfId="3290" priority="416">
      <formula>IF($E92,TRUE)</formula>
    </cfRule>
  </conditionalFormatting>
  <conditionalFormatting sqref="B81 D81">
    <cfRule type="expression" dxfId="3289" priority="414">
      <formula>IF($E81,TRUE)</formula>
    </cfRule>
  </conditionalFormatting>
  <conditionalFormatting sqref="B77 D77">
    <cfRule type="expression" dxfId="3288" priority="413">
      <formula>IF($E77,TRUE)</formula>
    </cfRule>
  </conditionalFormatting>
  <conditionalFormatting sqref="B69 D69">
    <cfRule type="expression" dxfId="3287" priority="412">
      <formula>IF($E69,TRUE)</formula>
    </cfRule>
  </conditionalFormatting>
  <conditionalFormatting sqref="B65 D65">
    <cfRule type="expression" dxfId="3286" priority="411">
      <formula>IF($E65,TRUE)</formula>
    </cfRule>
  </conditionalFormatting>
  <conditionalFormatting sqref="B62 D62">
    <cfRule type="expression" dxfId="3285" priority="410">
      <formula>IF($E62,TRUE)</formula>
    </cfRule>
  </conditionalFormatting>
  <conditionalFormatting sqref="B58 D58">
    <cfRule type="expression" dxfId="3284" priority="409">
      <formula>IF($E58,TRUE)</formula>
    </cfRule>
  </conditionalFormatting>
  <conditionalFormatting sqref="B48 D48">
    <cfRule type="expression" dxfId="3283" priority="407">
      <formula>IF($E48,TRUE)</formula>
    </cfRule>
  </conditionalFormatting>
  <conditionalFormatting sqref="B46 D46">
    <cfRule type="expression" dxfId="3282" priority="406">
      <formula>IF($E46,TRUE)</formula>
    </cfRule>
  </conditionalFormatting>
  <conditionalFormatting sqref="B45 D45">
    <cfRule type="expression" dxfId="3281" priority="402">
      <formula>IF($E45,TRUE)</formula>
    </cfRule>
  </conditionalFormatting>
  <conditionalFormatting sqref="B36 D36">
    <cfRule type="expression" dxfId="3280" priority="400">
      <formula>IF($E36,TRUE)</formula>
    </cfRule>
  </conditionalFormatting>
  <conditionalFormatting sqref="B88 D88 D44 D56 D80">
    <cfRule type="expression" dxfId="3279" priority="399">
      <formula>SEARCH("Red L",$I$88)&gt;0</formula>
    </cfRule>
    <cfRule type="expression" dxfId="3278" priority="415">
      <formula>IF($E44,TRUE)</formula>
    </cfRule>
  </conditionalFormatting>
  <conditionalFormatting sqref="B44">
    <cfRule type="expression" dxfId="3277" priority="393">
      <formula>SEARCH("Red L",$I$88)&gt;0</formula>
    </cfRule>
    <cfRule type="expression" dxfId="3276" priority="394">
      <formula>IF($E44,TRUE)</formula>
    </cfRule>
  </conditionalFormatting>
  <conditionalFormatting sqref="B56">
    <cfRule type="expression" dxfId="3275" priority="395">
      <formula>SEARCH("Red L",$I$88)&gt;0</formula>
    </cfRule>
    <cfRule type="expression" dxfId="3274" priority="396">
      <formula>IF($E56,TRUE)</formula>
    </cfRule>
  </conditionalFormatting>
  <conditionalFormatting sqref="B80">
    <cfRule type="expression" dxfId="3273" priority="397">
      <formula>SEARCH("Red L",$I$88)&gt;0</formula>
    </cfRule>
    <cfRule type="expression" dxfId="3272" priority="398">
      <formula>IF($E80,TRUE)</formula>
    </cfRule>
  </conditionalFormatting>
  <conditionalFormatting sqref="B91 D91">
    <cfRule type="expression" dxfId="3271" priority="391">
      <formula>IF(AND($E91=TRUE,$I91&lt;&gt;"",$L91&lt;&gt;""),TRUE,FALSE)</formula>
    </cfRule>
  </conditionalFormatting>
  <conditionalFormatting sqref="B170 D170">
    <cfRule type="expression" dxfId="3270" priority="389">
      <formula>IF($E170,TRUE)</formula>
    </cfRule>
  </conditionalFormatting>
  <conditionalFormatting sqref="B160:B161">
    <cfRule type="expression" dxfId="3269" priority="374">
      <formula>IF(AND($E160=FALSE,$E$15=TRUE),TRUE,FALSE)</formula>
    </cfRule>
    <cfRule type="expression" dxfId="3268" priority="384">
      <formula>IF(AND($E160=TRUE,$E$158=FALSE,$E$15=TRUE),TRUE,FALSE)</formula>
    </cfRule>
    <cfRule type="expression" dxfId="3267" priority="385">
      <formula>IF(AND($E160=FALSE,OR($I160&lt;&gt;"",$L160&lt;&gt;"")),TRUE,FALSE)</formula>
    </cfRule>
    <cfRule type="expression" dxfId="3266" priority="386">
      <formula>IF(AND($E160=TRUE,OR($I160="",$J160="")),TRUE,FALSE)</formula>
    </cfRule>
    <cfRule type="expression" dxfId="3265" priority="387">
      <formula>IF(AND($E160=TRUE,OR($I160&lt;&gt;"",$L160="")),TRUE,FALSE)</formula>
    </cfRule>
  </conditionalFormatting>
  <conditionalFormatting sqref="D160:D161">
    <cfRule type="expression" dxfId="3264" priority="375">
      <formula>IF($D160="Compliant",TRUE)</formula>
    </cfRule>
    <cfRule type="expression" dxfId="3263" priority="376">
      <formula>IF($D160=" ",TRUE)</formula>
    </cfRule>
    <cfRule type="expression" dxfId="3262" priority="382">
      <formula>IF($D160="Not Compliant",TRUE)</formula>
    </cfRule>
  </conditionalFormatting>
  <conditionalFormatting sqref="B159 D159">
    <cfRule type="expression" dxfId="3261" priority="372">
      <formula>IF($E159,TRUE)</formula>
    </cfRule>
    <cfRule type="expression" dxfId="3260" priority="373">
      <formula>IF(AND($E$15=TRUE,$E159=FALSE),TRUE,FALSE)</formula>
    </cfRule>
  </conditionalFormatting>
  <conditionalFormatting sqref="B162 D162">
    <cfRule type="expression" dxfId="3259" priority="368">
      <formula>IF($E162,TRUE)</formula>
    </cfRule>
    <cfRule type="expression" dxfId="3258" priority="369">
      <formula>IF(AND($E$21=TRUE,$E$73=FALSE,$F162&gt;0),TRUE,FALSE)</formula>
    </cfRule>
    <cfRule type="expression" dxfId="3257" priority="370">
      <formula>IF(AND($E$21=TRUE,$E162=FALSE),TRUE,FALSE)</formula>
    </cfRule>
  </conditionalFormatting>
  <conditionalFormatting sqref="B158 D158">
    <cfRule type="expression" dxfId="3256" priority="362">
      <formula>IF($E158,TRUE)</formula>
    </cfRule>
    <cfRule type="expression" dxfId="3255" priority="363">
      <formula>IF(AND($E$15=TRUE,$E$158=FALSE,$F158&gt;0),TRUE,FALSE)</formula>
    </cfRule>
    <cfRule type="expression" dxfId="3254" priority="364">
      <formula>IF(AND($E$15=TRUE,$E158=FALSE),TRUE,FALSE)</formula>
    </cfRule>
  </conditionalFormatting>
  <conditionalFormatting sqref="B163:B169">
    <cfRule type="expression" dxfId="3253" priority="357">
      <formula>IF(AND($E163=FALSE,$E$15=TRUE),TRUE,FALSE)</formula>
    </cfRule>
    <cfRule type="expression" dxfId="3252" priority="358">
      <formula>IF(AND($E163=TRUE,$E$158=FALSE,$E$15=TRUE),TRUE,FALSE)</formula>
    </cfRule>
    <cfRule type="expression" dxfId="3251" priority="359">
      <formula>IF(AND($E163=FALSE,OR($I163&lt;&gt;"",$L163&lt;&gt;"")),TRUE,FALSE)</formula>
    </cfRule>
    <cfRule type="expression" dxfId="3250" priority="360">
      <formula>IF(AND($E163=TRUE,OR($I163="",$J163="")),TRUE,FALSE)</formula>
    </cfRule>
    <cfRule type="expression" dxfId="3249" priority="361">
      <formula>IF(AND($E163=TRUE,OR($I163&lt;&gt;"",$L163="")),TRUE,FALSE)</formula>
    </cfRule>
  </conditionalFormatting>
  <conditionalFormatting sqref="B171:B182">
    <cfRule type="expression" dxfId="3248" priority="352">
      <formula>IF(AND($E171=FALSE,$E$15=TRUE),TRUE,FALSE)</formula>
    </cfRule>
    <cfRule type="expression" dxfId="3247" priority="353">
      <formula>IF(AND($E171=TRUE,$E$158=FALSE,$E$15=TRUE),TRUE,FALSE)</formula>
    </cfRule>
    <cfRule type="expression" dxfId="3246" priority="354">
      <formula>IF(AND($E171=FALSE,OR($I171&lt;&gt;"",$L171&lt;&gt;"")),TRUE,FALSE)</formula>
    </cfRule>
    <cfRule type="expression" dxfId="3245" priority="355">
      <formula>IF(AND($E171=TRUE,OR($I171="",$J171="")),TRUE,FALSE)</formula>
    </cfRule>
    <cfRule type="expression" dxfId="3244" priority="356">
      <formula>IF(AND($E171=TRUE,OR($I171&lt;&gt;"",$L171="")),TRUE,FALSE)</formula>
    </cfRule>
  </conditionalFormatting>
  <conditionalFormatting sqref="B29:B32">
    <cfRule type="expression" dxfId="3243" priority="336">
      <formula>IF(AND($E29=TRUE,$F$28&gt;1),TRUE,FALSE)</formula>
    </cfRule>
    <cfRule type="expression" dxfId="3242" priority="342">
      <formula>IF(AND($E29=TRUE,$I29&lt;&gt;"",$L29&lt;&gt;""),TRUE,FALSE)</formula>
    </cfRule>
    <cfRule type="expression" dxfId="3241" priority="343">
      <formula>IF(AND($E29=TRUE,OR($I29="",$L29="")),TRUE,FALSE)</formula>
    </cfRule>
    <cfRule type="expression" dxfId="3240" priority="344">
      <formula>IF(AND($E29=FALSE,OR($G29="Not Blank",$J29="Not Blank")),TRUE,FALSE)</formula>
    </cfRule>
    <cfRule type="expression" dxfId="3239" priority="345">
      <formula>IF(AND($E29=FALSE,$F$28&gt;0),TRUE,FALSE)</formula>
    </cfRule>
  </conditionalFormatting>
  <conditionalFormatting sqref="B28 D28">
    <cfRule type="expression" dxfId="3238" priority="340">
      <formula>IF($F28&gt;1,TRUE)</formula>
    </cfRule>
    <cfRule type="expression" dxfId="3237" priority="341">
      <formula>IF(AND($E28,TRUE,$F28=1),TRUE)</formula>
    </cfRule>
  </conditionalFormatting>
  <conditionalFormatting sqref="B37:B40">
    <cfRule type="expression" dxfId="3236" priority="337">
      <formula>IF(AND($E37=FALSE,OR($I37&lt;&gt;"",$L37&lt;&gt;"")),TRUE,FALSE)</formula>
    </cfRule>
    <cfRule type="expression" dxfId="3235" priority="338">
      <formula>IF(AND($E37=TRUE,$I37&lt;&gt;"",$L37&lt;&gt;""),TRUE,FALSE)</formula>
    </cfRule>
    <cfRule type="expression" dxfId="3234" priority="339">
      <formula>IF(AND($E37=TRUE,OR($I37="",$L37="")),TRUE,FALSE)</formula>
    </cfRule>
  </conditionalFormatting>
  <conditionalFormatting sqref="B10:B11">
    <cfRule type="expression" dxfId="3233" priority="329">
      <formula>IF(AND($E$10=TRUE,$E$11=TRUE),TRUE,FALSE)</formula>
    </cfRule>
    <cfRule type="expression" dxfId="3232" priority="330">
      <formula>IF(AND($E10=FALSE,OR($I10&lt;&gt;"",$L10&lt;&gt;"")),TRUE,FALSE)</formula>
    </cfRule>
    <cfRule type="expression" dxfId="3231" priority="331">
      <formula>IF(AND($E10=TRUE,OR($I10="",$J10="")),TRUE,FALSE)</formula>
    </cfRule>
    <cfRule type="expression" dxfId="3230" priority="332">
      <formula>IF(AND($E10=TRUE,OR($I10&lt;&gt;"",$L10="")),TRUE,FALSE)</formula>
    </cfRule>
    <cfRule type="expression" dxfId="3229" priority="333">
      <formula>IF(AND($F$9&gt;0,$D10=" ",$E10=FALSE),TRUE,FALSE)</formula>
    </cfRule>
  </conditionalFormatting>
  <conditionalFormatting sqref="B9">
    <cfRule type="expression" dxfId="3228" priority="334">
      <formula>IF(AND($E10,TRUE,$E11,TRUE),TRUE,FALSE)</formula>
    </cfRule>
    <cfRule type="expression" dxfId="3227" priority="335">
      <formula>IF($E9,TRUE)</formula>
    </cfRule>
  </conditionalFormatting>
  <conditionalFormatting sqref="B8">
    <cfRule type="expression" dxfId="3226" priority="328">
      <formula>IF($E8=TRUE,TRUE,FALSE)</formula>
    </cfRule>
  </conditionalFormatting>
  <conditionalFormatting sqref="B13">
    <cfRule type="expression" dxfId="3225" priority="323">
      <formula>IF(AND($E13=FALSE,OR($I13&lt;&gt;"",$L13&lt;&gt;"")),TRUE,FALSE)</formula>
    </cfRule>
    <cfRule type="expression" dxfId="3224" priority="324">
      <formula>IF(AND($E13=TRUE,$I13&lt;&gt;"",$L13&lt;&gt;""),TRUE,FALSE)</formula>
    </cfRule>
    <cfRule type="expression" dxfId="3223" priority="325">
      <formula>IF(AND($E13=TRUE,OR($I13="",$L13="")),TRUE,FALSE)</formula>
    </cfRule>
  </conditionalFormatting>
  <conditionalFormatting sqref="B22:B24">
    <cfRule type="expression" dxfId="3222" priority="304">
      <formula>IF(AND($E22=FALSE,OR($I22&lt;&gt;"",$L22&lt;&gt;"")),TRUE,FALSE)</formula>
    </cfRule>
    <cfRule type="expression" dxfId="3221" priority="305">
      <formula>IF(AND($E22=TRUE,$I22&lt;&gt;"",$L22&lt;&gt;""),TRUE,FALSE)</formula>
    </cfRule>
    <cfRule type="expression" dxfId="3220" priority="306">
      <formula>IF(AND($E22=TRUE,OR($I22="",$L22="")),TRUE,FALSE)</formula>
    </cfRule>
  </conditionalFormatting>
  <conditionalFormatting sqref="N28 N45 N91">
    <cfRule type="expression" dxfId="3219" priority="284">
      <formula>IF($N28="Compliant",TRUE)</formula>
    </cfRule>
    <cfRule type="expression" dxfId="3218" priority="285">
      <formula>IF($N28="FE with work-a-round",TRUE)</formula>
    </cfRule>
    <cfRule type="expression" dxfId="3217" priority="286">
      <formula>IF($N28="Functionally Equivalent",TRUE)</formula>
    </cfRule>
    <cfRule type="expression" dxfId="3216" priority="287">
      <formula>IF($N28="Likely to become compliant",TRUE)</formula>
    </cfRule>
    <cfRule type="expression" dxfId="3215" priority="288">
      <formula>IF($N28="Partly Compliant",TRUE)</formula>
    </cfRule>
    <cfRule type="expression" dxfId="3214" priority="289">
      <formula>IF($N28="Unknown/Missing",TRUE)</formula>
    </cfRule>
    <cfRule type="expression" dxfId="3213" priority="290">
      <formula>IF($N28="Not Required/Applicable",TRUE)</formula>
    </cfRule>
    <cfRule type="expression" dxfId="3212" priority="291">
      <formula>IF($N28="Not Compliant",TRUE)</formula>
    </cfRule>
    <cfRule type="expression" dxfId="3211" priority="292">
      <formula>IF($N28=" ",TRUE)</formula>
    </cfRule>
  </conditionalFormatting>
  <conditionalFormatting sqref="V28 V45 V91">
    <cfRule type="expression" dxfId="3210" priority="221">
      <formula>IF(V28="Compliant",TRUE)</formula>
    </cfRule>
    <cfRule type="expression" dxfId="3209" priority="222">
      <formula>IF(V28="FE with work-a-round",TRUE)</formula>
    </cfRule>
    <cfRule type="expression" dxfId="3208" priority="223">
      <formula>IF(V28="Functionally Equivalent",TRUE)</formula>
    </cfRule>
    <cfRule type="expression" dxfId="3207" priority="224">
      <formula>IF(V28="Likely to become compliant",TRUE)</formula>
    </cfRule>
    <cfRule type="expression" dxfId="3206" priority="225">
      <formula>IF(V28="Partly Compliant",TRUE)</formula>
    </cfRule>
    <cfRule type="expression" dxfId="3205" priority="226">
      <formula>IF(V28="Unknown/Missing",TRUE)</formula>
    </cfRule>
    <cfRule type="expression" dxfId="3204" priority="227">
      <formula>IF(V28="Not Required/Applicable",TRUE)</formula>
    </cfRule>
    <cfRule type="expression" dxfId="3203" priority="228">
      <formula>IF(V28="Not Compliant",TRUE)</formula>
    </cfRule>
    <cfRule type="expression" dxfId="3202" priority="229">
      <formula>IF($N28=" ",TRUE)</formula>
    </cfRule>
  </conditionalFormatting>
  <conditionalFormatting sqref="N36">
    <cfRule type="expression" dxfId="3201" priority="203">
      <formula>IF($N36="Compliant",TRUE)</formula>
    </cfRule>
    <cfRule type="expression" dxfId="3200" priority="204">
      <formula>IF($N36="FE with work-a-round",TRUE)</formula>
    </cfRule>
    <cfRule type="expression" dxfId="3199" priority="205">
      <formula>IF($N36="Functionally Equivalent",TRUE)</formula>
    </cfRule>
    <cfRule type="expression" dxfId="3198" priority="206">
      <formula>IF($N36="Likely to become compliant",TRUE)</formula>
    </cfRule>
    <cfRule type="expression" dxfId="3197" priority="207">
      <formula>IF($N36="Partly Compliant",TRUE)</formula>
    </cfRule>
    <cfRule type="expression" dxfId="3196" priority="208">
      <formula>IF($N36="Unknown/Missing",TRUE)</formula>
    </cfRule>
    <cfRule type="expression" dxfId="3195" priority="209">
      <formula>IF($N36="Not Required/Applicable",TRUE)</formula>
    </cfRule>
    <cfRule type="expression" dxfId="3194" priority="210">
      <formula>IF($N36="Not Compliant",TRUE)</formula>
    </cfRule>
    <cfRule type="expression" dxfId="3193" priority="211">
      <formula>IF($N36=" ",TRUE)</formula>
    </cfRule>
  </conditionalFormatting>
  <conditionalFormatting sqref="Q37">
    <cfRule type="expression" dxfId="3192" priority="194">
      <formula>IF(Q37="Compliant",TRUE)</formula>
    </cfRule>
    <cfRule type="expression" dxfId="3191" priority="195">
      <formula>IF(Q37="FE with work-a-round",TRUE)</formula>
    </cfRule>
    <cfRule type="expression" dxfId="3190" priority="196">
      <formula>IF(Q37="Functionally Equivalent",TRUE)</formula>
    </cfRule>
    <cfRule type="expression" dxfId="3189" priority="197">
      <formula>IF($Q37="Likely to become compliant",TRUE)</formula>
    </cfRule>
    <cfRule type="expression" dxfId="3188" priority="198">
      <formula>IF($Q37="Partly Compliant",TRUE)</formula>
    </cfRule>
    <cfRule type="expression" dxfId="3187" priority="199">
      <formula>IF($Q37="Unknown/Missing",TRUE)</formula>
    </cfRule>
    <cfRule type="expression" dxfId="3186" priority="200">
      <formula>IF($Q37="Not Required/Applicable",TRUE)</formula>
    </cfRule>
    <cfRule type="expression" dxfId="3185" priority="201">
      <formula>IF(Q37="Not Compliant",TRUE)</formula>
    </cfRule>
    <cfRule type="expression" dxfId="3184" priority="202">
      <formula>IF(Q37=" ",TRUE)</formula>
    </cfRule>
  </conditionalFormatting>
  <conditionalFormatting sqref="V36">
    <cfRule type="expression" dxfId="3183" priority="185">
      <formula>IF(V36="Compliant",TRUE)</formula>
    </cfRule>
    <cfRule type="expression" dxfId="3182" priority="186">
      <formula>IF(V36="FE with work-a-round",TRUE)</formula>
    </cfRule>
    <cfRule type="expression" dxfId="3181" priority="187">
      <formula>IF(V36="Functionally Equivalent",TRUE)</formula>
    </cfRule>
    <cfRule type="expression" dxfId="3180" priority="188">
      <formula>IF(V36="Likely to become compliant",TRUE)</formula>
    </cfRule>
    <cfRule type="expression" dxfId="3179" priority="189">
      <formula>IF(V36="Partly Compliant",TRUE)</formula>
    </cfRule>
    <cfRule type="expression" dxfId="3178" priority="190">
      <formula>IF(V36="Unknown/Missing",TRUE)</formula>
    </cfRule>
    <cfRule type="expression" dxfId="3177" priority="191">
      <formula>IF(V36="Not Required/Applicable",TRUE)</formula>
    </cfRule>
    <cfRule type="expression" dxfId="3176" priority="192">
      <formula>IF(V36="Not Compliant",TRUE)</formula>
    </cfRule>
    <cfRule type="expression" dxfId="3175" priority="193">
      <formula>IF($N36=" ",TRUE)</formula>
    </cfRule>
  </conditionalFormatting>
  <conditionalFormatting sqref="Q36">
    <cfRule type="expression" dxfId="3174" priority="184">
      <formula>IF(R36=TRUE,TRUE,FALSE)</formula>
    </cfRule>
  </conditionalFormatting>
  <conditionalFormatting sqref="Q36">
    <cfRule type="expression" dxfId="3173" priority="183">
      <formula>IF(R36=FALSE,TRUE,FALSE)</formula>
    </cfRule>
  </conditionalFormatting>
  <conditionalFormatting sqref="O44">
    <cfRule type="expression" dxfId="3172" priority="179">
      <formula>IF(AND($E44=TRUE,$I44="Valid Entry required below - Check amber box",#REF!="Compliant"),TRUE,FALSE)</formula>
    </cfRule>
    <cfRule type="expression" dxfId="3171" priority="180">
      <formula>IF(AND($E44=TRUE,$I44="Valid Entry made below",#REF!="Compliant"),TRUE,FALSE)</formula>
    </cfRule>
    <cfRule type="expression" dxfId="3170" priority="181">
      <formula>IF(AND($E44=FALSE,#REF!&lt;&gt;""),TRUE,FALSE)</formula>
    </cfRule>
    <cfRule type="expression" dxfId="3169" priority="182">
      <formula>IF(AND($I44&lt;&gt;"",#REF!&lt;&gt;""),TRUE,FALSE)</formula>
    </cfRule>
  </conditionalFormatting>
  <conditionalFormatting sqref="N44">
    <cfRule type="expression" dxfId="3168" priority="177">
      <formula>IF(O44=FALSE,TRUE,FALSE)</formula>
    </cfRule>
    <cfRule type="expression" dxfId="3167" priority="178">
      <formula>IF(O44=TRUE,TRUE,FALSE)</formula>
    </cfRule>
  </conditionalFormatting>
  <conditionalFormatting sqref="Q44:Q46">
    <cfRule type="expression" dxfId="3166" priority="176">
      <formula>IF(R44=TRUE,TRUE,FALSE)</formula>
    </cfRule>
  </conditionalFormatting>
  <conditionalFormatting sqref="V44">
    <cfRule type="expression" dxfId="3165" priority="173">
      <formula>IF(W44=FALSE,TRUE,FALSE)</formula>
    </cfRule>
    <cfRule type="expression" dxfId="3164" priority="174">
      <formula>IF(W44=TRUE,TRUE,FALSE)</formula>
    </cfRule>
  </conditionalFormatting>
  <conditionalFormatting sqref="Q44:Q46">
    <cfRule type="expression" dxfId="3163" priority="175">
      <formula>IF(R44=FALSE,TRUE,FALSE)</formula>
    </cfRule>
  </conditionalFormatting>
  <conditionalFormatting sqref="V15:V18 Q15:Q18 N15:N18">
    <cfRule type="expression" dxfId="3162" priority="171">
      <formula>IF(O15=FALSE,TRUE,FALSE)</formula>
    </cfRule>
    <cfRule type="expression" dxfId="3161" priority="172">
      <formula>IF(O15=TRUE,TRUE,FALSE)</formula>
    </cfRule>
  </conditionalFormatting>
  <conditionalFormatting sqref="N8:N9">
    <cfRule type="expression" dxfId="3160" priority="162">
      <formula>IF($N8="Compliant",TRUE)</formula>
    </cfRule>
    <cfRule type="expression" dxfId="3159" priority="163">
      <formula>IF($N8="FE with work-a-round",TRUE)</formula>
    </cfRule>
    <cfRule type="expression" dxfId="3158" priority="164">
      <formula>IF($N8="Functionally Equivalent",TRUE)</formula>
    </cfRule>
    <cfRule type="expression" dxfId="3157" priority="165">
      <formula>IF($N8="Likely to become compliant",TRUE)</formula>
    </cfRule>
    <cfRule type="expression" dxfId="3156" priority="166">
      <formula>IF($N8="Partly Compliant",TRUE)</formula>
    </cfRule>
    <cfRule type="expression" dxfId="3155" priority="167">
      <formula>IF($N8="Unknown/Missing",TRUE)</formula>
    </cfRule>
    <cfRule type="expression" dxfId="3154" priority="168">
      <formula>IF($N8="Not Required/Applicable",TRUE)</formula>
    </cfRule>
    <cfRule type="expression" dxfId="3153" priority="169">
      <formula>IF($N8="Not Compliant",TRUE)</formula>
    </cfRule>
    <cfRule type="expression" dxfId="3152" priority="170">
      <formula>IF($N8=" ",TRUE)</formula>
    </cfRule>
  </conditionalFormatting>
  <conditionalFormatting sqref="V8:V9">
    <cfRule type="expression" dxfId="3151" priority="153">
      <formula>IF(V8="Compliant",TRUE)</formula>
    </cfRule>
    <cfRule type="expression" dxfId="3150" priority="154">
      <formula>IF(V8="FE with work-a-round",TRUE)</formula>
    </cfRule>
    <cfRule type="expression" dxfId="3149" priority="155">
      <formula>IF(V8="Functionally Equivalent",TRUE)</formula>
    </cfRule>
    <cfRule type="expression" dxfId="3148" priority="156">
      <formula>IF(V8="Likely to become compliant",TRUE)</formula>
    </cfRule>
    <cfRule type="expression" dxfId="3147" priority="157">
      <formula>IF(V8="Partly Compliant",TRUE)</formula>
    </cfRule>
    <cfRule type="expression" dxfId="3146" priority="158">
      <formula>IF(V8="Unknown/Missing",TRUE)</formula>
    </cfRule>
    <cfRule type="expression" dxfId="3145" priority="159">
      <formula>IF(V8="Not Required/Applicable",TRUE)</formula>
    </cfRule>
    <cfRule type="expression" dxfId="3144" priority="160">
      <formula>IF(V8="Not Compliant",TRUE)</formula>
    </cfRule>
    <cfRule type="expression" dxfId="3143" priority="161">
      <formula>IF($N8=" ",TRUE)</formula>
    </cfRule>
  </conditionalFormatting>
  <conditionalFormatting sqref="Q8:Q9">
    <cfRule type="expression" dxfId="3142" priority="144">
      <formula>IF(Q8="Compliant",TRUE)</formula>
    </cfRule>
    <cfRule type="expression" dxfId="3141" priority="145">
      <formula>IF(Q8="FE with work-a-round",TRUE)</formula>
    </cfRule>
    <cfRule type="expression" dxfId="3140" priority="146">
      <formula>IF(Q8="Functionally Equivalent",TRUE)</formula>
    </cfRule>
    <cfRule type="expression" dxfId="3139" priority="147">
      <formula>IF($Q8="Likely to become compliant",TRUE)</formula>
    </cfRule>
    <cfRule type="expression" dxfId="3138" priority="148">
      <formula>IF($Q8="Partly Compliant",TRUE)</formula>
    </cfRule>
    <cfRule type="expression" dxfId="3137" priority="149">
      <formula>IF($Q8="Unknown/Missing",TRUE)</formula>
    </cfRule>
    <cfRule type="expression" dxfId="3136" priority="150">
      <formula>IF($Q8="Not Required/Applicable",TRUE)</formula>
    </cfRule>
    <cfRule type="expression" dxfId="3135" priority="151">
      <formula>IF(Q8="Not Compliant",TRUE)</formula>
    </cfRule>
    <cfRule type="expression" dxfId="3134" priority="152">
      <formula>IF(Q8=" ",TRUE)</formula>
    </cfRule>
  </conditionalFormatting>
  <conditionalFormatting sqref="D10:D11">
    <cfRule type="expression" dxfId="3133" priority="136">
      <formula>IF($D10="Compliant",TRUE)</formula>
    </cfRule>
    <cfRule type="expression" dxfId="3132" priority="137">
      <formula>IF($D10=" ",TRUE)</formula>
    </cfRule>
    <cfRule type="expression" dxfId="3131" priority="143">
      <formula>IF($D10="Not Compliant",TRUE)</formula>
    </cfRule>
  </conditionalFormatting>
  <conditionalFormatting sqref="D9">
    <cfRule type="expression" dxfId="3130" priority="134">
      <formula>IF($F$9&gt;1,TRUE)</formula>
    </cfRule>
    <cfRule type="expression" dxfId="3129" priority="135">
      <formula>IF(AND($F$9=1,$E9=TRUE),TRUE)</formula>
    </cfRule>
  </conditionalFormatting>
  <conditionalFormatting sqref="D13">
    <cfRule type="beginsWith" dxfId="3128" priority="126" operator="beginsWith" text="Likely">
      <formula>LEFT(D13,LEN("Likely"))="Likely"</formula>
    </cfRule>
    <cfRule type="beginsWith" dxfId="3127" priority="127" operator="beginsWith" text="Not Applicable">
      <formula>LEFT(D13,LEN("Not Applicable"))="Not Applicable"</formula>
    </cfRule>
    <cfRule type="beginsWith" dxfId="3126" priority="128" operator="beginsWith" text="Applicable">
      <formula>LEFT(D13,LEN("Applicable"))="Applicable"</formula>
    </cfRule>
    <cfRule type="beginsWith" dxfId="3125" priority="129" operator="beginsWith" text="Partly">
      <formula>LEFT(D13,LEN("Partly"))="Partly"</formula>
    </cfRule>
    <cfRule type="beginsWith" dxfId="3124" priority="130" operator="beginsWith" text="Missing">
      <formula>LEFT(D13,LEN("Missing"))="Missing"</formula>
    </cfRule>
    <cfRule type="beginsWith" dxfId="3123" priority="131" operator="beginsWith" text="Not">
      <formula>LEFT(D13,LEN("Not"))="Not"</formula>
    </cfRule>
    <cfRule type="beginsWith" dxfId="3122" priority="132" operator="beginsWith" text="Compliant">
      <formula>LEFT(D13,LEN("Compliant"))="Compliant"</formula>
    </cfRule>
    <cfRule type="containsText" dxfId="3121" priority="133" operator="containsText" text="Equivalent">
      <formula>NOT(ISERROR(SEARCH("Equivalent",D13)))</formula>
    </cfRule>
  </conditionalFormatting>
  <conditionalFormatting sqref="N13">
    <cfRule type="beginsWith" dxfId="3120" priority="118" operator="beginsWith" text="Likely">
      <formula>LEFT(N13,LEN("Likely"))="Likely"</formula>
    </cfRule>
    <cfRule type="beginsWith" dxfId="3119" priority="119" operator="beginsWith" text="Not Applicable">
      <formula>LEFT(N13,LEN("Not Applicable"))="Not Applicable"</formula>
    </cfRule>
    <cfRule type="beginsWith" dxfId="3118" priority="120" operator="beginsWith" text="Applicable">
      <formula>LEFT(N13,LEN("Applicable"))="Applicable"</formula>
    </cfRule>
    <cfRule type="beginsWith" dxfId="3117" priority="121" operator="beginsWith" text="Partly">
      <formula>LEFT(N13,LEN("Partly"))="Partly"</formula>
    </cfRule>
    <cfRule type="beginsWith" dxfId="3116" priority="122" operator="beginsWith" text="Missing">
      <formula>LEFT(N13,LEN("Missing"))="Missing"</formula>
    </cfRule>
    <cfRule type="beginsWith" dxfId="3115" priority="123" operator="beginsWith" text="Not">
      <formula>LEFT(N13,LEN("Not"))="Not"</formula>
    </cfRule>
    <cfRule type="beginsWith" dxfId="3114" priority="124" operator="beginsWith" text="Compliant">
      <formula>LEFT(N13,LEN("Compliant"))="Compliant"</formula>
    </cfRule>
    <cfRule type="containsText" dxfId="3113" priority="125" operator="containsText" text="Equivalent">
      <formula>NOT(ISERROR(SEARCH("Equivalent",N13)))</formula>
    </cfRule>
  </conditionalFormatting>
  <conditionalFormatting sqref="V13">
    <cfRule type="beginsWith" dxfId="3112" priority="110" operator="beginsWith" text="Likely">
      <formula>LEFT(V13,LEN("Likely"))="Likely"</formula>
    </cfRule>
    <cfRule type="beginsWith" dxfId="3111" priority="111" operator="beginsWith" text="Not Applicable">
      <formula>LEFT(V13,LEN("Not Applicable"))="Not Applicable"</formula>
    </cfRule>
    <cfRule type="beginsWith" dxfId="3110" priority="112" operator="beginsWith" text="Applicable">
      <formula>LEFT(V13,LEN("Applicable"))="Applicable"</formula>
    </cfRule>
    <cfRule type="beginsWith" dxfId="3109" priority="113" operator="beginsWith" text="Partly">
      <formula>LEFT(V13,LEN("Partly"))="Partly"</formula>
    </cfRule>
    <cfRule type="beginsWith" dxfId="3108" priority="114" operator="beginsWith" text="Missing">
      <formula>LEFT(V13,LEN("Missing"))="Missing"</formula>
    </cfRule>
    <cfRule type="beginsWith" dxfId="3107" priority="115" operator="beginsWith" text="Not">
      <formula>LEFT(V13,LEN("Not"))="Not"</formula>
    </cfRule>
    <cfRule type="beginsWith" dxfId="3106" priority="116" operator="beginsWith" text="Compliant">
      <formula>LEFT(V13,LEN("Compliant"))="Compliant"</formula>
    </cfRule>
    <cfRule type="containsText" dxfId="3105" priority="117" operator="containsText" text="Equivalent">
      <formula>NOT(ISERROR(SEARCH("Equivalent",V13)))</formula>
    </cfRule>
  </conditionalFormatting>
  <conditionalFormatting sqref="Q13">
    <cfRule type="beginsWith" dxfId="3104" priority="102" operator="beginsWith" text="Likely">
      <formula>LEFT(Q13,LEN("Likely"))="Likely"</formula>
    </cfRule>
    <cfRule type="beginsWith" dxfId="3103" priority="103" operator="beginsWith" text="Not Applicable">
      <formula>LEFT(Q13,LEN("Not Applicable"))="Not Applicable"</formula>
    </cfRule>
    <cfRule type="beginsWith" dxfId="3102" priority="104" operator="beginsWith" text="Applicable">
      <formula>LEFT(Q13,LEN("Applicable"))="Applicable"</formula>
    </cfRule>
    <cfRule type="beginsWith" dxfId="3101" priority="105" operator="beginsWith" text="Partly">
      <formula>LEFT(Q13,LEN("Partly"))="Partly"</formula>
    </cfRule>
    <cfRule type="beginsWith" dxfId="3100" priority="106" operator="beginsWith" text="Missing">
      <formula>LEFT(Q13,LEN("Missing"))="Missing"</formula>
    </cfRule>
    <cfRule type="beginsWith" dxfId="3099" priority="107" operator="beginsWith" text="Not">
      <formula>LEFT(Q13,LEN("Not"))="Not"</formula>
    </cfRule>
    <cfRule type="beginsWith" dxfId="3098" priority="108" operator="beginsWith" text="Compliant">
      <formula>LEFT(Q13,LEN("Compliant"))="Compliant"</formula>
    </cfRule>
    <cfRule type="containsText" dxfId="3097" priority="109" operator="containsText" text="Equivalent">
      <formula>NOT(ISERROR(SEARCH("Equivalent",Q13)))</formula>
    </cfRule>
  </conditionalFormatting>
  <conditionalFormatting sqref="D24">
    <cfRule type="expression" dxfId="3096" priority="94">
      <formula>IF($D24="Compliant",TRUE)</formula>
    </cfRule>
    <cfRule type="expression" dxfId="3095" priority="95">
      <formula>IF($D24=" ",TRUE)</formula>
    </cfRule>
    <cfRule type="expression" dxfId="3094" priority="101">
      <formula>IF($D24="Not Compliant",TRUE)</formula>
    </cfRule>
  </conditionalFormatting>
  <conditionalFormatting sqref="N24">
    <cfRule type="expression" dxfId="3093" priority="85">
      <formula>IF($N24="Compliant",TRUE)</formula>
    </cfRule>
    <cfRule type="expression" dxfId="3092" priority="86">
      <formula>IF($N24="FE with work-a-round",TRUE)</formula>
    </cfRule>
    <cfRule type="expression" dxfId="3091" priority="87">
      <formula>IF($N24="Functionally Equivalent",TRUE)</formula>
    </cfRule>
    <cfRule type="expression" dxfId="3090" priority="88">
      <formula>IF($N24="Likely to become compliant",TRUE)</formula>
    </cfRule>
    <cfRule type="expression" dxfId="3089" priority="89">
      <formula>IF($N24="Partly Compliant",TRUE)</formula>
    </cfRule>
    <cfRule type="expression" dxfId="3088" priority="90">
      <formula>IF($N24="Unknown/Missing",TRUE)</formula>
    </cfRule>
    <cfRule type="expression" dxfId="3087" priority="91">
      <formula>IF($N24="Not Required/Applicable",TRUE)</formula>
    </cfRule>
    <cfRule type="expression" dxfId="3086" priority="92">
      <formula>IF($N24="Not Compliant",TRUE)</formula>
    </cfRule>
    <cfRule type="expression" dxfId="3085" priority="93">
      <formula>IF($N24=" ",TRUE)</formula>
    </cfRule>
  </conditionalFormatting>
  <conditionalFormatting sqref="V24">
    <cfRule type="expression" dxfId="3084" priority="76">
      <formula>IF(V24="Compliant",TRUE)</formula>
    </cfRule>
    <cfRule type="expression" dxfId="3083" priority="77">
      <formula>IF(V24="FE with work-a-round",TRUE)</formula>
    </cfRule>
    <cfRule type="expression" dxfId="3082" priority="78">
      <formula>IF(V24="Functionally Equivalent",TRUE)</formula>
    </cfRule>
    <cfRule type="expression" dxfId="3081" priority="79">
      <formula>IF(V24="Likely to become compliant",TRUE)</formula>
    </cfRule>
    <cfRule type="expression" dxfId="3080" priority="80">
      <formula>IF(V24="Partly Compliant",TRUE)</formula>
    </cfRule>
    <cfRule type="expression" dxfId="3079" priority="81">
      <formula>IF(V24="Unknown/Missing",TRUE)</formula>
    </cfRule>
    <cfRule type="expression" dxfId="3078" priority="82">
      <formula>IF(V24="Not Required/Applicable",TRUE)</formula>
    </cfRule>
    <cfRule type="expression" dxfId="3077" priority="83">
      <formula>IF(V24="Not Compliant",TRUE)</formula>
    </cfRule>
    <cfRule type="expression" dxfId="3076" priority="84">
      <formula>IF($N24=" ",TRUE)</formula>
    </cfRule>
  </conditionalFormatting>
  <conditionalFormatting sqref="Q24">
    <cfRule type="expression" dxfId="3075" priority="67">
      <formula>IF(Q24="Compliant",TRUE)</formula>
    </cfRule>
    <cfRule type="expression" dxfId="3074" priority="68">
      <formula>IF(Q24="FE with work-a-round",TRUE)</formula>
    </cfRule>
    <cfRule type="expression" dxfId="3073" priority="69">
      <formula>IF(Q24="Functionally Equivalent",TRUE)</formula>
    </cfRule>
    <cfRule type="expression" dxfId="3072" priority="70">
      <formula>IF($Q24="Likely to become compliant",TRUE)</formula>
    </cfRule>
    <cfRule type="expression" dxfId="3071" priority="71">
      <formula>IF($Q24="Partly Compliant",TRUE)</formula>
    </cfRule>
    <cfRule type="expression" dxfId="3070" priority="72">
      <formula>IF($Q24="Unknown/Missing",TRUE)</formula>
    </cfRule>
    <cfRule type="expression" dxfId="3069" priority="73">
      <formula>IF($Q24="Not Required/Applicable",TRUE)</formula>
    </cfRule>
    <cfRule type="expression" dxfId="3068" priority="74">
      <formula>IF(Q24="Not Compliant",TRUE)</formula>
    </cfRule>
    <cfRule type="expression" dxfId="3067" priority="75">
      <formula>IF(Q24=" ",TRUE)</formula>
    </cfRule>
  </conditionalFormatting>
  <conditionalFormatting sqref="V22:V23 Q22:Q23 N22:N23 D22:D23">
    <cfRule type="beginsWith" dxfId="3066" priority="59" operator="beginsWith" text="Likely">
      <formula>LEFT(D22,LEN("Likely"))="Likely"</formula>
    </cfRule>
    <cfRule type="beginsWith" dxfId="3065" priority="60" operator="beginsWith" text="Not Applicable">
      <formula>LEFT(D22,LEN("Not Applicable"))="Not Applicable"</formula>
    </cfRule>
    <cfRule type="beginsWith" dxfId="3064" priority="61" operator="beginsWith" text="Applicable">
      <formula>LEFT(D22,LEN("Applicable"))="Applicable"</formula>
    </cfRule>
    <cfRule type="beginsWith" dxfId="3063" priority="62" operator="beginsWith" text="Partly">
      <formula>LEFT(D22,LEN("Partly"))="Partly"</formula>
    </cfRule>
    <cfRule type="beginsWith" dxfId="3062" priority="63" operator="beginsWith" text="Missing">
      <formula>LEFT(D22,LEN("Missing"))="Missing"</formula>
    </cfRule>
    <cfRule type="beginsWith" dxfId="3061" priority="64" operator="beginsWith" text="Not">
      <formula>LEFT(D22,LEN("Not"))="Not"</formula>
    </cfRule>
    <cfRule type="beginsWith" dxfId="3060" priority="65" operator="beginsWith" text="Compliant">
      <formula>LEFT(D22,LEN("Compliant"))="Compliant"</formula>
    </cfRule>
    <cfRule type="containsText" dxfId="3059" priority="66" operator="containsText" text="Equivalent">
      <formula>NOT(ISERROR(SEARCH("Equivalent",D22)))</formula>
    </cfRule>
  </conditionalFormatting>
  <conditionalFormatting sqref="Q29:Q32">
    <cfRule type="expression" dxfId="3058" priority="14693">
      <formula>IF(Q29="Compliant",TRUE)</formula>
    </cfRule>
    <cfRule type="expression" dxfId="3057" priority="14694">
      <formula>IF(Q29="FE with work-a-round",TRUE)</formula>
    </cfRule>
    <cfRule type="expression" dxfId="3056" priority="14695">
      <formula>IF(Q29="Functionally Equivalent",TRUE)</formula>
    </cfRule>
    <cfRule type="expression" dxfId="3055" priority="14696">
      <formula>IF(Q29="Likely to become compliant",TRUE)</formula>
    </cfRule>
    <cfRule type="expression" dxfId="3054" priority="14697">
      <formula>IF(Q29="Partly Compliant",TRUE)</formula>
    </cfRule>
    <cfRule type="expression" dxfId="3053" priority="14698">
      <formula>IF(Q29="Unknown/Missing",TRUE)</formula>
    </cfRule>
    <cfRule type="expression" dxfId="3052" priority="14699">
      <formula>IF(Q29="Not Required/Applicable",TRUE)</formula>
    </cfRule>
    <cfRule type="expression" dxfId="3051" priority="14700">
      <formula>IF(Q29="Not Compliant",TRUE)</formula>
    </cfRule>
    <cfRule type="expression" dxfId="3050" priority="14701">
      <formula>IF($N28=" ",TRUE)</formula>
    </cfRule>
  </conditionalFormatting>
  <conditionalFormatting sqref="Q28">
    <cfRule type="expression" dxfId="3049" priority="58">
      <formula>IF(R28=TRUE,TRUE,FALSE)</formula>
    </cfRule>
  </conditionalFormatting>
  <conditionalFormatting sqref="Q28">
    <cfRule type="expression" dxfId="3048" priority="57">
      <formula>IF(R28=FALSE,TRUE,FALSE)</formula>
    </cfRule>
  </conditionalFormatting>
  <conditionalFormatting sqref="Q47">
    <cfRule type="expression" dxfId="3047" priority="14711">
      <formula>IF(Q47="Compliant",TRUE)</formula>
    </cfRule>
    <cfRule type="expression" dxfId="3046" priority="14712">
      <formula>IF(Q47="FE with work-a-round",TRUE)</formula>
    </cfRule>
    <cfRule type="expression" dxfId="3045" priority="14713">
      <formula>IF(Q47="Functionally Equivalent",TRUE)</formula>
    </cfRule>
    <cfRule type="expression" dxfId="3044" priority="14714">
      <formula>IF(Q47="Likely to become compliant",TRUE)</formula>
    </cfRule>
    <cfRule type="expression" dxfId="3043" priority="14715">
      <formula>IF(Q47="Partly Compliant",TRUE)</formula>
    </cfRule>
    <cfRule type="expression" dxfId="3042" priority="14716">
      <formula>IF(Q47="Unknown/Missing",TRUE)</formula>
    </cfRule>
    <cfRule type="expression" dxfId="3041" priority="14717">
      <formula>IF(Q47="Not Required/Applicable",TRUE)</formula>
    </cfRule>
    <cfRule type="expression" dxfId="3040" priority="14718">
      <formula>IF(Q47="Not Compliant",TRUE)</formula>
    </cfRule>
    <cfRule type="expression" dxfId="3039" priority="14719">
      <formula>IF($N45=" ",TRUE)</formula>
    </cfRule>
  </conditionalFormatting>
  <conditionalFormatting sqref="Q48">
    <cfRule type="expression" dxfId="3038" priority="56">
      <formula>IF(R48=TRUE,TRUE,FALSE)</formula>
    </cfRule>
  </conditionalFormatting>
  <conditionalFormatting sqref="Q48">
    <cfRule type="expression" dxfId="3037" priority="55">
      <formula>IF(R48=FALSE,TRUE,FALSE)</formula>
    </cfRule>
  </conditionalFormatting>
  <conditionalFormatting sqref="Q56">
    <cfRule type="expression" dxfId="3036" priority="54">
      <formula>IF(R56=TRUE,TRUE,FALSE)</formula>
    </cfRule>
  </conditionalFormatting>
  <conditionalFormatting sqref="Q56">
    <cfRule type="expression" dxfId="3035" priority="53">
      <formula>IF(R56=FALSE,TRUE,FALSE)</formula>
    </cfRule>
  </conditionalFormatting>
  <conditionalFormatting sqref="Q58">
    <cfRule type="expression" dxfId="3034" priority="52">
      <formula>IF(R58=TRUE,TRUE,FALSE)</formula>
    </cfRule>
  </conditionalFormatting>
  <conditionalFormatting sqref="Q58">
    <cfRule type="expression" dxfId="3033" priority="51">
      <formula>IF(R58=FALSE,TRUE,FALSE)</formula>
    </cfRule>
  </conditionalFormatting>
  <conditionalFormatting sqref="Q91:Q92 Q88 Q80:Q81 Q77 Q69 Q65 Q62">
    <cfRule type="expression" dxfId="3032" priority="50">
      <formula>IF(R62=TRUE,TRUE,FALSE)</formula>
    </cfRule>
  </conditionalFormatting>
  <conditionalFormatting sqref="Q91:Q92 Q88 Q80:Q81 Q77 Q69 Q65 Q62">
    <cfRule type="expression" dxfId="3031" priority="49">
      <formula>IF(R62=FALSE,TRUE,FALSE)</formula>
    </cfRule>
  </conditionalFormatting>
  <conditionalFormatting sqref="Q170 Q162 Q158:Q159 Q108 Q103:Q104">
    <cfRule type="expression" dxfId="3030" priority="48">
      <formula>IF(R103=TRUE,TRUE,FALSE)</formula>
    </cfRule>
  </conditionalFormatting>
  <conditionalFormatting sqref="Q170 Q162 Q158:Q159 Q108 Q103:Q104">
    <cfRule type="expression" dxfId="3029" priority="47">
      <formula>IF(R103=FALSE,TRUE,FALSE)</formula>
    </cfRule>
  </conditionalFormatting>
  <conditionalFormatting sqref="O158 O103 O80">
    <cfRule type="expression" dxfId="3028" priority="43">
      <formula>IF(AND($E80=TRUE,$I80="Valid Entry required below - Check amber box",#REF!="Compliant"),TRUE,FALSE)</formula>
    </cfRule>
    <cfRule type="expression" dxfId="3027" priority="44">
      <formula>IF(AND($E80=TRUE,$I80="Valid Entry made below",#REF!="Compliant"),TRUE,FALSE)</formula>
    </cfRule>
    <cfRule type="expression" dxfId="3026" priority="45">
      <formula>IF(AND($E80=FALSE,#REF!&lt;&gt;""),TRUE,FALSE)</formula>
    </cfRule>
    <cfRule type="expression" dxfId="3025" priority="46">
      <formula>IF(AND($I80&lt;&gt;"",#REF!&lt;&gt;""),TRUE,FALSE)</formula>
    </cfRule>
  </conditionalFormatting>
  <conditionalFormatting sqref="N158 N103 N80">
    <cfRule type="expression" dxfId="3024" priority="41">
      <formula>IF(O80=FALSE,TRUE,FALSE)</formula>
    </cfRule>
    <cfRule type="expression" dxfId="3023" priority="42">
      <formula>IF(O80=TRUE,TRUE,FALSE)</formula>
    </cfRule>
  </conditionalFormatting>
  <conditionalFormatting sqref="V158 V103 V80">
    <cfRule type="expression" dxfId="3022" priority="39">
      <formula>IF(W80=FALSE,TRUE,FALSE)</formula>
    </cfRule>
    <cfRule type="expression" dxfId="3021" priority="40">
      <formula>IF(W80=TRUE,TRUE,FALSE)</formula>
    </cfRule>
  </conditionalFormatting>
  <conditionalFormatting sqref="N170 N162 N159 N108 N104 N99 N88 N81 N56">
    <cfRule type="expression" dxfId="3020" priority="30">
      <formula>IF($N56="Compliant",TRUE)</formula>
    </cfRule>
    <cfRule type="expression" dxfId="3019" priority="31">
      <formula>IF($N56="FE with work-a-round",TRUE)</formula>
    </cfRule>
    <cfRule type="expression" dxfId="3018" priority="32">
      <formula>IF($N56="Functionally Equivalent",TRUE)</formula>
    </cfRule>
    <cfRule type="expression" dxfId="3017" priority="33">
      <formula>IF($N56="Likely to become compliant",TRUE)</formula>
    </cfRule>
    <cfRule type="expression" dxfId="3016" priority="34">
      <formula>IF($N56="Partly Compliant",TRUE)</formula>
    </cfRule>
    <cfRule type="expression" dxfId="3015" priority="35">
      <formula>IF($N56="Unknown/Missing",TRUE)</formula>
    </cfRule>
    <cfRule type="expression" dxfId="3014" priority="36">
      <formula>IF($N56="Not Required/Applicable",TRUE)</formula>
    </cfRule>
    <cfRule type="expression" dxfId="3013" priority="37">
      <formula>IF($N56="Not Compliant",TRUE)</formula>
    </cfRule>
    <cfRule type="expression" dxfId="3012" priority="38">
      <formula>IF($N56=" ",TRUE)</formula>
    </cfRule>
  </conditionalFormatting>
  <conditionalFormatting sqref="V170 V162 V159 V108 V104 V99 V88 V81 V77 V69 V65 V62 V58 V56">
    <cfRule type="expression" dxfId="3011" priority="21">
      <formula>IF(V56="Compliant",TRUE)</formula>
    </cfRule>
    <cfRule type="expression" dxfId="3010" priority="22">
      <formula>IF(V56="FE with work-a-round",TRUE)</formula>
    </cfRule>
    <cfRule type="expression" dxfId="3009" priority="23">
      <formula>IF(V56="Functionally Equivalent",TRUE)</formula>
    </cfRule>
    <cfRule type="expression" dxfId="3008" priority="24">
      <formula>IF(V56="Likely to become compliant",TRUE)</formula>
    </cfRule>
    <cfRule type="expression" dxfId="3007" priority="25">
      <formula>IF(V56="Partly Compliant",TRUE)</formula>
    </cfRule>
    <cfRule type="expression" dxfId="3006" priority="26">
      <formula>IF(V56="Unknown/Missing",TRUE)</formula>
    </cfRule>
    <cfRule type="expression" dxfId="3005" priority="27">
      <formula>IF(V56="Not Required/Applicable",TRUE)</formula>
    </cfRule>
    <cfRule type="expression" dxfId="3004" priority="28">
      <formula>IF(V56="Not Compliant",TRUE)</formula>
    </cfRule>
    <cfRule type="expression" dxfId="3003" priority="29">
      <formula>IF($N56=" ",TRUE)</formula>
    </cfRule>
  </conditionalFormatting>
  <conditionalFormatting sqref="N77 N69 N65 N62 N58">
    <cfRule type="expression" dxfId="3002" priority="12">
      <formula>IF($N58="Compliant",TRUE)</formula>
    </cfRule>
    <cfRule type="expression" dxfId="3001" priority="13">
      <formula>IF($N58="FE with work-a-round",TRUE)</formula>
    </cfRule>
    <cfRule type="expression" dxfId="3000" priority="14">
      <formula>IF($N58="Functionally Equivalent",TRUE)</formula>
    </cfRule>
    <cfRule type="expression" dxfId="2999" priority="15">
      <formula>IF($N58="Likely to become compliant",TRUE)</formula>
    </cfRule>
    <cfRule type="expression" dxfId="2998" priority="16">
      <formula>IF($N58="Partly Compliant",TRUE)</formula>
    </cfRule>
    <cfRule type="expression" dxfId="2997" priority="17">
      <formula>IF($N58="Unknown/Missing",TRUE)</formula>
    </cfRule>
    <cfRule type="expression" dxfId="2996" priority="18">
      <formula>IF($N58="Not Required/Applicable",TRUE)</formula>
    </cfRule>
    <cfRule type="expression" dxfId="2995" priority="19">
      <formula>IF($N58="Not Compliant",TRUE)</formula>
    </cfRule>
    <cfRule type="expression" dxfId="2994" priority="20">
      <formula>IF($N58=" ",TRUE)</formula>
    </cfRule>
  </conditionalFormatting>
  <conditionalFormatting sqref="Q171:Q182 Q163:Q169 Q160:Q161 Q109:Q154 Q105:Q107 Q93:Q99 Q89:Q90 Q82:Q87 Q78:Q79 Q70:Q76 Q66:Q68 Q63:Q64 Q59:Q61 Q57 Q49:Q55 Q38:Q40">
    <cfRule type="expression" dxfId="2993" priority="3">
      <formula>IF(Q38="Compliant",TRUE)</formula>
    </cfRule>
    <cfRule type="expression" dxfId="2992" priority="4">
      <formula>IF(Q38="FE with work-a-round",TRUE)</formula>
    </cfRule>
    <cfRule type="expression" dxfId="2991" priority="5">
      <formula>IF(Q38="Functionally Equivalent",TRUE)</formula>
    </cfRule>
    <cfRule type="expression" dxfId="2990" priority="6">
      <formula>IF(Q38="Likely to become compliant",TRUE)</formula>
    </cfRule>
    <cfRule type="expression" dxfId="2989" priority="7">
      <formula>IF(Q38="Partly Compliant",TRUE)</formula>
    </cfRule>
    <cfRule type="expression" dxfId="2988" priority="8">
      <formula>IF(Q38="Unknown/Missing",TRUE)</formula>
    </cfRule>
    <cfRule type="expression" dxfId="2987" priority="9">
      <formula>IF(Q38="Not Required/Applicable",TRUE)</formula>
    </cfRule>
    <cfRule type="expression" dxfId="2986" priority="10">
      <formula>IF(Q38="Not Compliant",TRUE)</formula>
    </cfRule>
    <cfRule type="expression" dxfId="2985" priority="11">
      <formula>IF($N37=" ",TRUE)</formula>
    </cfRule>
  </conditionalFormatting>
  <dataValidations count="3">
    <dataValidation type="list" allowBlank="1" showInputMessage="1" showErrorMessage="1" sqref="K116">
      <formula1>Final_Compliance</formula1>
    </dataValidation>
    <dataValidation type="list" allowBlank="1" showInputMessage="1" showErrorMessage="1" sqref="N100:O100 N25:O25">
      <formula1>Initial_Compliance</formula1>
    </dataValidation>
    <dataValidation type="list" allowBlank="1" showInputMessage="1" showErrorMessage="1" sqref="I116">
      <formula1>MAO_Compliance_Submission</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01" id="{C674D7AA-73B4-4579-9640-771B5ECD8BEE}">
            <xm:f>ISNUMBER(SEARCH($D114,Dropdowns!$D$18))</xm:f>
            <x14:dxf>
              <fill>
                <patternFill>
                  <bgColor rgb="FFFFFF00"/>
                </patternFill>
              </fill>
            </x14:dxf>
          </x14:cfRule>
          <x14:cfRule type="expression" priority="502" id="{0938B60C-3AB8-4E8B-A98D-BECA1296B156}">
            <xm:f>ISNUMBER(SEARCH($D114,Dropdowns!$D$19))</xm:f>
            <x14:dxf>
              <fill>
                <patternFill>
                  <bgColor theme="6" tint="0.39994506668294322"/>
                </patternFill>
              </fill>
            </x14:dxf>
          </x14:cfRule>
          <x14:cfRule type="expression" priority="503" id="{9A3357A6-ABAA-4C4F-8521-8DC1F90BD049}">
            <xm:f>ISNUMBER(SEARCH($D114,Dropdowns!$D$20))</xm:f>
            <x14:dxf>
              <fill>
                <patternFill>
                  <bgColor theme="6" tint="0.39994506668294322"/>
                </patternFill>
              </fill>
            </x14:dxf>
          </x14:cfRule>
          <x14:cfRule type="expression" priority="504" id="{5A8CD4EE-F292-47CB-97B1-2DCD46865EFB}">
            <xm:f>ISNUMBER(SEARCH($D114,Dropdowns!$D$21))</xm:f>
            <x14:dxf>
              <fill>
                <patternFill>
                  <bgColor rgb="FFFFFF00"/>
                </patternFill>
              </fill>
            </x14:dxf>
          </x14:cfRule>
          <x14:cfRule type="expression" priority="505" id="{2741A438-D03E-458D-8663-5010E8F259D3}">
            <xm:f>ISNUMBER(SEARCH($D114,Dropdowns!$D$23))</xm:f>
            <x14:dxf>
              <fill>
                <patternFill>
                  <bgColor rgb="FFFFFF00"/>
                </patternFill>
              </fill>
            </x14:dxf>
          </x14:cfRule>
          <xm:sqref>D114:D116 D163:D169</xm:sqref>
        </x14:conditionalFormatting>
        <x14:conditionalFormatting xmlns:xm="http://schemas.microsoft.com/office/excel/2006/main">
          <x14:cfRule type="expression" priority="493" id="{199DC42A-8F87-4A73-975A-8C26DD50D8CF}">
            <xm:f>ISNUMBER(SEARCH($D8,Dropdowns!$D$18))</xm:f>
            <x14:dxf>
              <fill>
                <patternFill>
                  <bgColor rgb="FFFFFF00"/>
                </patternFill>
              </fill>
            </x14:dxf>
          </x14:cfRule>
          <x14:cfRule type="expression" priority="494" id="{3B33A6FA-085C-4D62-A18D-70C442FF7EB9}">
            <xm:f>ISNUMBER(SEARCH($D8,Dropdowns!$D$19))</xm:f>
            <x14:dxf>
              <fill>
                <patternFill>
                  <bgColor theme="6" tint="0.39994506668294322"/>
                </patternFill>
              </fill>
            </x14:dxf>
          </x14:cfRule>
          <x14:cfRule type="expression" priority="495" id="{1E191694-043E-4B02-AC31-BAF72B6FF5A5}">
            <xm:f>ISNUMBER(SEARCH($D8,Dropdowns!$D$20))</xm:f>
            <x14:dxf>
              <fill>
                <patternFill>
                  <bgColor theme="6" tint="0.39994506668294322"/>
                </patternFill>
              </fill>
            </x14:dxf>
          </x14:cfRule>
          <x14:cfRule type="expression" priority="496" id="{55916FA0-91C2-4F1F-8C08-FA90BE3B845F}">
            <xm:f>ISNUMBER(SEARCH($D8,Dropdowns!$D$21))</xm:f>
            <x14:dxf>
              <fill>
                <patternFill>
                  <bgColor rgb="FFFFFF00"/>
                </patternFill>
              </fill>
            </x14:dxf>
          </x14:cfRule>
          <x14:cfRule type="expression" priority="497" id="{BBE5555D-6F25-472F-965D-E9158155C243}">
            <xm:f>ISNUMBER(SEARCH($D8,Dropdowns!$D$23))</xm:f>
            <x14:dxf>
              <fill>
                <patternFill>
                  <bgColor rgb="FFFFFF00"/>
                </patternFill>
              </fill>
            </x14:dxf>
          </x14:cfRule>
          <xm:sqref>D171:D182 D117:D154 D109:D113 D105:D107 D93:D99 D89:D90 D82:D87 D78:D79 D70:D76 D66:D68 D63:D64 D59:D61 D57 D49:D55 D47 D37:D40 D29:D32 D8</xm:sqref>
        </x14:conditionalFormatting>
        <x14:conditionalFormatting xmlns:xm="http://schemas.microsoft.com/office/excel/2006/main">
          <x14:cfRule type="expression" priority="377" id="{D7C4510D-ADB5-49F3-A29C-7CDE5F256EAE}">
            <xm:f>ISNUMBER(SEARCH($D160,Dropdowns!$D$18))</xm:f>
            <x14:dxf>
              <fill>
                <patternFill>
                  <bgColor rgb="FFFFFF00"/>
                </patternFill>
              </fill>
            </x14:dxf>
          </x14:cfRule>
          <x14:cfRule type="expression" priority="378" id="{C188574D-6A44-4189-ACF1-B40662B0A738}">
            <xm:f>ISNUMBER(SEARCH($D160,Dropdowns!$D$19))</xm:f>
            <x14:dxf>
              <fill>
                <patternFill>
                  <bgColor theme="6" tint="0.39994506668294322"/>
                </patternFill>
              </fill>
            </x14:dxf>
          </x14:cfRule>
          <x14:cfRule type="expression" priority="379" id="{CD82C85A-C770-47A2-9753-E3F2FAB7E218}">
            <xm:f>ISNUMBER(SEARCH($D160,Dropdowns!$D$20))</xm:f>
            <x14:dxf>
              <fill>
                <patternFill>
                  <bgColor theme="6" tint="0.39994506668294322"/>
                </patternFill>
              </fill>
            </x14:dxf>
          </x14:cfRule>
          <x14:cfRule type="expression" priority="380" id="{B525D6E8-7443-4645-9F4E-4C6FC3871329}">
            <xm:f>ISNUMBER(SEARCH($D160,Dropdowns!$D$21))</xm:f>
            <x14:dxf>
              <fill>
                <patternFill>
                  <bgColor rgb="FFFFFF00"/>
                </patternFill>
              </fill>
            </x14:dxf>
          </x14:cfRule>
          <x14:cfRule type="expression" priority="381" id="{BEE1E49D-E0E8-44AF-BBFE-D2FD4857DE3D}">
            <xm:f>ISNUMBER(SEARCH($D160,Dropdowns!$D$23))</xm:f>
            <x14:dxf>
              <fill>
                <patternFill>
                  <bgColor rgb="FFFFFF00"/>
                </patternFill>
              </fill>
            </x14:dxf>
          </x14:cfRule>
          <xm:sqref>D160:D161</xm:sqref>
        </x14:conditionalFormatting>
        <x14:conditionalFormatting xmlns:xm="http://schemas.microsoft.com/office/excel/2006/main">
          <x14:cfRule type="expression" priority="138" id="{A271056E-61C2-4F6A-AFDF-89771F845DF8}">
            <xm:f>ISNUMBER(SEARCH($D10,Dropdowns!$D$18))</xm:f>
            <x14:dxf>
              <fill>
                <patternFill>
                  <bgColor rgb="FFFFFF00"/>
                </patternFill>
              </fill>
            </x14:dxf>
          </x14:cfRule>
          <x14:cfRule type="expression" priority="139" id="{99551656-A1F8-453D-AAA8-ECEF05B54502}">
            <xm:f>ISNUMBER(SEARCH($D10,Dropdowns!$D$19))</xm:f>
            <x14:dxf>
              <fill>
                <patternFill>
                  <bgColor theme="6" tint="0.39994506668294322"/>
                </patternFill>
              </fill>
            </x14:dxf>
          </x14:cfRule>
          <x14:cfRule type="expression" priority="140" id="{3F58C952-E323-4BF4-AA66-F3EE30BD21F8}">
            <xm:f>ISNUMBER(SEARCH($D10,Dropdowns!$D$20))</xm:f>
            <x14:dxf>
              <fill>
                <patternFill>
                  <bgColor theme="6" tint="0.39994506668294322"/>
                </patternFill>
              </fill>
            </x14:dxf>
          </x14:cfRule>
          <x14:cfRule type="expression" priority="141" id="{96FF95DB-4FBA-4E96-A203-B6C4CFBDA76D}">
            <xm:f>ISNUMBER(SEARCH($D10,Dropdowns!$D$21))</xm:f>
            <x14:dxf>
              <fill>
                <patternFill>
                  <bgColor rgb="FFFFFF00"/>
                </patternFill>
              </fill>
            </x14:dxf>
          </x14:cfRule>
          <x14:cfRule type="expression" priority="142" id="{C892D02B-EF6D-42EC-8354-41B1995AA3AE}">
            <xm:f>ISNUMBER(SEARCH($D10,Dropdowns!$D$23))</xm:f>
            <x14:dxf>
              <fill>
                <patternFill>
                  <bgColor rgb="FFFFFF00"/>
                </patternFill>
              </fill>
            </x14:dxf>
          </x14:cfRule>
          <xm:sqref>D10:D11</xm:sqref>
        </x14:conditionalFormatting>
        <x14:conditionalFormatting xmlns:xm="http://schemas.microsoft.com/office/excel/2006/main">
          <x14:cfRule type="expression" priority="96" id="{173EBD0F-6D4D-4A8B-AFFF-E0920E9486EC}">
            <xm:f>ISNUMBER(SEARCH($D24,Dropdowns!$D$18))</xm:f>
            <x14:dxf>
              <fill>
                <patternFill>
                  <bgColor rgb="FFFFFF00"/>
                </patternFill>
              </fill>
            </x14:dxf>
          </x14:cfRule>
          <x14:cfRule type="expression" priority="97" id="{065DCA65-10E2-4438-980F-C4575011323F}">
            <xm:f>ISNUMBER(SEARCH($D24,Dropdowns!$D$19))</xm:f>
            <x14:dxf>
              <fill>
                <patternFill>
                  <bgColor theme="6" tint="0.39994506668294322"/>
                </patternFill>
              </fill>
            </x14:dxf>
          </x14:cfRule>
          <x14:cfRule type="expression" priority="98" id="{E57DEAF3-C8A8-450B-8A93-9B3233282A00}">
            <xm:f>ISNUMBER(SEARCH($D24,Dropdowns!$D$20))</xm:f>
            <x14:dxf>
              <fill>
                <patternFill>
                  <bgColor theme="6" tint="0.39994506668294322"/>
                </patternFill>
              </fill>
            </x14:dxf>
          </x14:cfRule>
          <x14:cfRule type="expression" priority="99" id="{6AFA0D3B-98ED-42CB-A5F6-DAA6E38CBEC1}">
            <xm:f>ISNUMBER(SEARCH($D24,Dropdowns!$D$21))</xm:f>
            <x14:dxf>
              <fill>
                <patternFill>
                  <bgColor rgb="FFFFFF00"/>
                </patternFill>
              </fill>
            </x14:dxf>
          </x14:cfRule>
          <x14:cfRule type="expression" priority="100" id="{376591C3-8253-4848-B52D-139DFBD11B52}">
            <xm:f>ISNUMBER(SEARCH($D24,Dropdowns!$D$23))</xm:f>
            <x14:dxf>
              <fill>
                <patternFill>
                  <bgColor rgb="FFFFFF00"/>
                </patternFill>
              </fill>
            </x14:dxf>
          </x14:cfRule>
          <xm:sqref>D24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Dropdowns!$C$11:$C$13</xm:f>
          </x14:formula1>
          <xm:sqref>V13:V14 P25 W25 N14:O14 D13 N13 Q13 D22:D23 N22:N23 Q22:Q23 V22:V23</xm:sqref>
        </x14:dataValidation>
        <x14:dataValidation type="list" allowBlank="1" showInputMessage="1" showErrorMessage="1">
          <x14:formula1>
            <xm:f>Dropdowns!$F$9:$F$12</xm:f>
          </x14:formula1>
          <xm:sqref>N157:O157 N155:O155 N102:O102 O45</xm:sqref>
        </x14:dataValidation>
        <x14:dataValidation type="list" allowBlank="1" showInputMessage="1" showErrorMessage="1">
          <x14:formula1>
            <xm:f>Dropdowns!$C$16:$C$19</xm:f>
          </x14:formula1>
          <xm:sqref>V35</xm:sqref>
        </x14:dataValidation>
        <x14:dataValidation type="list" allowBlank="1" showInputMessage="1" showErrorMessage="1">
          <x14:formula1>
            <xm:f>Dropdowns!$G$11:$G$16</xm:f>
          </x14:formula1>
          <xm:sqref>V104 V8:V9 V24:V25 V28 V157 V36 V45 V88 V102 V162 V170 V159 V108 V155 V91 V99:V100 V81 V56 V58 V62 V65 V77 V69</xm:sqref>
        </x14:dataValidation>
        <x14:dataValidation type="list" allowBlank="1" showInputMessage="1" showErrorMessage="1">
          <x14:formula1>
            <xm:f>Dropdowns!$D$16:$D$23</xm:f>
          </x14:formula1>
          <xm:sqref>Q47 D105:D107 D8 D29:D32 D37:D40 D47 D49:D55 D57 D59:D61 D63:D64 D66:D68 D70:D76 D78:D79 D82:D87 D89:D90 D93:D99 D109:D154 D171:D182 D160:D161 D163:D169 D10:D11 Q29:Q32 D24 Q38:Q40 Q49:Q55 Q57 Q59:Q61 Q63:Q64 Q66:Q68 Q70:Q76 Q78:Q79 Q82:Q87 Q89:Q90 Q93:Q99 Q105:Q107 Q109:Q154 Q160:Q161 Q163:Q169 Q171:Q182</xm:sqref>
        </x14:dataValidation>
        <x14:dataValidation type="list" allowBlank="1" showInputMessage="1" showErrorMessage="1">
          <x14:formula1>
            <xm:f>Dropdowns!$C$3:$C$5</xm:f>
          </x14:formula1>
          <xm:sqref>E116</xm:sqref>
        </x14:dataValidation>
        <x14:dataValidation type="list" allowBlank="1" showInputMessage="1" showErrorMessage="1">
          <x14:formula1>
            <xm:f>Dropdowns!$F$2:$F$8</xm:f>
          </x14:formula1>
          <xm:sqref>N28 N77 N36 N8:N9 N24 N81 N91 N88 N99 N170 N104 N159 N162 N108 N58 N62 N65 N69 N45:N56</xm:sqref>
        </x14:dataValidation>
        <x14:dataValidation type="list" allowBlank="1" showInputMessage="1" showErrorMessage="1">
          <x14:formula1>
            <xm:f>Dropdowns!$E$11:$E$15</xm:f>
          </x14:formula1>
          <xm:sqref>Q37 Q8:Q9 Q24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W278"/>
  <sheetViews>
    <sheetView zoomScale="75" zoomScaleNormal="75" workbookViewId="0">
      <pane xSplit="4" ySplit="5" topLeftCell="I6" activePane="bottomRight" state="frozen"/>
      <selection activeCell="T10" sqref="T10"/>
      <selection pane="topRight" activeCell="T10" sqref="T10"/>
      <selection pane="bottomLeft" activeCell="T10" sqref="T10"/>
      <selection pane="bottomRight" activeCell="I9" sqref="I9"/>
    </sheetView>
  </sheetViews>
  <sheetFormatPr defaultColWidth="8.796875" defaultRowHeight="14.5" x14ac:dyDescent="0.3"/>
  <cols>
    <col min="1" max="1" width="15.8984375" hidden="1" customWidth="1"/>
    <col min="2" max="2" width="21.69921875" customWidth="1"/>
    <col min="3" max="3" width="72.69921875" customWidth="1"/>
    <col min="4" max="4" width="33.296875" customWidth="1"/>
    <col min="5" max="6" width="9.69921875" hidden="1" customWidth="1"/>
    <col min="7" max="7" width="9.69921875" style="233" hidden="1" customWidth="1"/>
    <col min="8" max="8" width="10.19921875" hidden="1" customWidth="1"/>
    <col min="9" max="9" width="60.69921875" customWidth="1"/>
    <col min="10" max="10" width="10.796875" style="20" hidden="1" customWidth="1"/>
    <col min="11" max="11" width="10.796875" hidden="1" customWidth="1"/>
    <col min="12" max="13" width="39.796875" customWidth="1"/>
    <col min="14" max="14" width="37" customWidth="1"/>
    <col min="15" max="15" width="20.69921875" hidden="1" customWidth="1"/>
    <col min="16" max="16" width="50.296875" customWidth="1"/>
    <col min="17" max="17" width="37.296875" customWidth="1"/>
    <col min="18" max="18" width="12" style="417" hidden="1" customWidth="1"/>
    <col min="19" max="19" width="57.796875" customWidth="1"/>
    <col min="20" max="20" width="36" customWidth="1"/>
    <col min="21" max="21" width="42" customWidth="1"/>
    <col min="22" max="22" width="33.796875" customWidth="1"/>
    <col min="23" max="23" width="13.796875" hidden="1" customWidth="1"/>
    <col min="24" max="24" width="49.3984375" customWidth="1"/>
    <col min="25" max="25" width="29.796875" customWidth="1"/>
    <col min="26" max="26" width="35.19921875" customWidth="1"/>
  </cols>
  <sheetData>
    <row r="1" spans="1:27" ht="68.25" customHeight="1" x14ac:dyDescent="0.3">
      <c r="B1" s="4521"/>
      <c r="C1" s="4521"/>
      <c r="D1" s="4521"/>
    </row>
    <row r="2" spans="1:27" ht="95.25" customHeight="1" x14ac:dyDescent="0.3">
      <c r="B2" s="4398" t="s">
        <v>1937</v>
      </c>
      <c r="C2" s="4494"/>
      <c r="D2" s="4494"/>
    </row>
    <row r="3" spans="1:27" x14ac:dyDescent="0.3">
      <c r="B3" s="4643"/>
      <c r="C3" s="4643"/>
      <c r="D3" s="4643"/>
    </row>
    <row r="4" spans="1:27" ht="54.75" customHeight="1" thickBot="1" x14ac:dyDescent="0.35">
      <c r="A4" s="4540" t="s">
        <v>1863</v>
      </c>
      <c r="B4" s="4502"/>
      <c r="C4" s="4502"/>
      <c r="D4" s="4502"/>
      <c r="E4" s="711"/>
      <c r="F4" s="711"/>
      <c r="G4" s="237"/>
      <c r="H4" s="711"/>
      <c r="I4" s="711"/>
      <c r="J4" s="237"/>
      <c r="K4" s="711"/>
      <c r="L4" s="711"/>
      <c r="M4" s="711"/>
      <c r="N4" s="1"/>
      <c r="O4" s="1"/>
      <c r="P4" s="1"/>
      <c r="Q4" s="1"/>
      <c r="R4" s="16"/>
      <c r="S4" s="1"/>
      <c r="T4" s="1"/>
    </row>
    <row r="5" spans="1:27" s="225" customFormat="1" ht="38" thickTop="1" thickBot="1" x14ac:dyDescent="0.35">
      <c r="A5" s="1977"/>
      <c r="B5" s="1103" t="s">
        <v>1872</v>
      </c>
      <c r="C5" s="1103" t="s">
        <v>1874</v>
      </c>
      <c r="D5" s="1103" t="s">
        <v>1236</v>
      </c>
      <c r="E5" s="1103"/>
      <c r="F5" s="1103"/>
      <c r="G5" s="1103"/>
      <c r="H5" s="1103"/>
      <c r="I5" s="1103" t="s">
        <v>458</v>
      </c>
      <c r="J5" s="1104"/>
      <c r="K5" s="1104"/>
      <c r="L5" s="1103" t="s">
        <v>408</v>
      </c>
      <c r="M5" s="1103" t="s">
        <v>466</v>
      </c>
      <c r="N5" s="1104" t="s">
        <v>465</v>
      </c>
      <c r="O5" s="1104"/>
      <c r="P5" s="1103" t="s">
        <v>1221</v>
      </c>
      <c r="Q5" s="1103" t="s">
        <v>1212</v>
      </c>
      <c r="R5" s="1104"/>
      <c r="S5" s="1103" t="s">
        <v>396</v>
      </c>
      <c r="T5" s="1103" t="s">
        <v>409</v>
      </c>
      <c r="U5" s="1103" t="s">
        <v>1211</v>
      </c>
      <c r="V5" s="1103" t="s">
        <v>1801</v>
      </c>
      <c r="W5" s="1103"/>
      <c r="X5" s="1103" t="s">
        <v>10</v>
      </c>
      <c r="Y5" s="1103" t="s">
        <v>11</v>
      </c>
      <c r="Z5" s="1103" t="s">
        <v>12</v>
      </c>
    </row>
    <row r="6" spans="1:27" ht="19" thickTop="1" x14ac:dyDescent="0.3">
      <c r="A6" s="4687" t="s">
        <v>1253</v>
      </c>
      <c r="B6" s="4722"/>
      <c r="C6" s="4722"/>
      <c r="D6" s="836"/>
      <c r="E6" s="836"/>
      <c r="F6" s="836"/>
      <c r="G6" s="1020"/>
      <c r="H6" s="836"/>
      <c r="I6" s="1481"/>
      <c r="J6" s="1481"/>
      <c r="K6" s="1481"/>
      <c r="L6" s="1481"/>
      <c r="M6" s="1481"/>
      <c r="N6" s="1481"/>
      <c r="O6" s="1481"/>
      <c r="P6" s="1978"/>
      <c r="Q6" s="1481"/>
      <c r="R6" s="1979"/>
      <c r="S6" s="1481"/>
      <c r="T6" s="1481"/>
      <c r="U6" s="1481"/>
      <c r="V6" s="1481"/>
      <c r="W6" s="1481"/>
      <c r="X6" s="1481"/>
      <c r="Y6" s="1906"/>
      <c r="Z6" s="1906"/>
    </row>
    <row r="7" spans="1:27" s="2" customFormat="1" ht="19" thickBot="1" x14ac:dyDescent="0.35">
      <c r="B7" s="18"/>
      <c r="D7" s="53"/>
      <c r="E7" s="53"/>
      <c r="F7" s="53"/>
      <c r="G7" s="237"/>
      <c r="H7" s="53"/>
      <c r="I7" s="53"/>
      <c r="J7" s="237"/>
      <c r="K7" s="53"/>
      <c r="L7" s="53"/>
      <c r="M7" s="53"/>
      <c r="N7" s="53"/>
      <c r="O7" s="53"/>
      <c r="P7" s="53"/>
      <c r="Q7" s="486"/>
      <c r="R7" s="1057"/>
      <c r="S7" s="486"/>
      <c r="T7" s="236"/>
      <c r="U7" s="487"/>
      <c r="V7" s="53"/>
      <c r="W7" s="53"/>
      <c r="X7" s="80"/>
      <c r="Y7" s="108"/>
      <c r="Z7" s="1056"/>
      <c r="AA7" s="52"/>
    </row>
    <row r="8" spans="1:27" s="2" customFormat="1" ht="44" thickTop="1" x14ac:dyDescent="0.3">
      <c r="A8" s="65" t="s">
        <v>478</v>
      </c>
      <c r="B8" s="1945" t="s">
        <v>398</v>
      </c>
      <c r="C8" s="2298" t="s">
        <v>479</v>
      </c>
      <c r="D8" s="2303" t="s">
        <v>565</v>
      </c>
      <c r="E8" s="1929" t="b">
        <v>1</v>
      </c>
      <c r="F8" s="1934">
        <f>COUNTIFS(E9:E10,"TRUE")</f>
        <v>0</v>
      </c>
      <c r="G8" s="1514">
        <f>COUNTIFS(E9:E10,TRUE,G9:G10,"Not Blank")</f>
        <v>0</v>
      </c>
      <c r="H8" s="1934">
        <f>COUNTIFS(E9:E10,FALSE,G9:G10,"Not Blank")</f>
        <v>0</v>
      </c>
      <c r="I8" s="2155" t="str">
        <f>IF(AND(E8=TRUE,F8&gt;1),"**Too many Options used - check Red Boxes",IF(AND(E8=FALSE,G8=0,H8=0),"Nothing Enterred below Yet",IF(AND(E8=FALSE,G8&gt;0,H8=0),"Entry below has not been summarised",IF(AND(G8=0,H8&gt;0),"**Non-Valid Entry/ies below - Check Yellow Box/es",IF(AND(E8=TRUE,G8=0,H8=0),"Valid Entry required below - Check amber box",IF(AND(G8&gt;0,H8&gt;0),"**Valid and Non-Valid Entries made below - Check Yellow Box/es",IF(AND(E8,TRUE,G8=1,H8=0),"Valid Entry made below")))))))</f>
        <v>Valid Entry required below - Check amber box</v>
      </c>
      <c r="J8" s="2155">
        <f>COUNTIFS(E9:E10,TRUE,J9:J10,"Not Blank")</f>
        <v>0</v>
      </c>
      <c r="K8" s="2155">
        <f>COUNTIFS(E9:E10,FALSE,J9:J10,"Not Blank")</f>
        <v>0</v>
      </c>
      <c r="L8" s="2155" t="str">
        <f>IF(AND(E8=TRUE,J8&gt;1),"**Too many Options used - check Red Boxes",IF(AND(E8=FALSE,J8=0,K8=0),"Nothing Enterred below Yet",IF(AND(E8=FALSE,J8&gt;0,K8=0),"Entry below has not been summarised",IF(AND(J8=0,K8&gt;0),"**Non-Valid Entry/ies below - Check Yellow Box/es",IF(AND(E8=TRUE,J8=0,K8=0),"Valid Entry required below - Check amber box",IF(AND(J8&gt;0,K8&gt;0),"**Valid and Non-Valid Entries made below - Check Yellow Box/es",IF(AND(E8,TRUE,J8=1,K8=0),"Valid Entry made below")))))))</f>
        <v>Valid Entry required below - Check amber box</v>
      </c>
      <c r="M8" s="2176"/>
      <c r="N8" s="4446" t="s">
        <v>3</v>
      </c>
      <c r="O8" s="4491" t="b">
        <f>IF(OR(N8="Compliant",N8="FE with work-a-round",N8="Functionally Equivalent"),TRUE,FALSE)</f>
        <v>0</v>
      </c>
      <c r="P8" s="2423"/>
      <c r="Q8" s="4772" t="s">
        <v>3</v>
      </c>
      <c r="R8" s="4776" t="b">
        <f>IF(OR(Q8="Compliant",Q8="FE with work-a-round",Q8="Functionally Equivalent"),TRUE,FALSE)</f>
        <v>0</v>
      </c>
      <c r="S8" s="406"/>
      <c r="T8" s="406"/>
      <c r="U8" s="1211"/>
      <c r="V8" s="4446" t="s">
        <v>3</v>
      </c>
      <c r="W8" s="4512" t="b">
        <f>IF(OR(V8="Compliant",V8="FE with work-a-round",V8="Functionally Equivalent",V8="Not Required/Applicable"),TRUE,FALSE)</f>
        <v>0</v>
      </c>
      <c r="X8" s="600"/>
      <c r="Y8" s="406"/>
      <c r="Z8" s="1398"/>
      <c r="AA8" s="53"/>
    </row>
    <row r="9" spans="1:27" s="2" customFormat="1" ht="29" x14ac:dyDescent="0.3">
      <c r="A9" s="65"/>
      <c r="B9" s="1504"/>
      <c r="C9" s="2299" t="s">
        <v>1745</v>
      </c>
      <c r="D9" s="2096" t="s">
        <v>3</v>
      </c>
      <c r="E9" s="67" t="b">
        <f>IF(D9="Compliant",TRUE,FALSE)</f>
        <v>0</v>
      </c>
      <c r="F9" s="361"/>
      <c r="G9" s="44" t="str">
        <f>IF(I9&lt;&gt;"", "Not Blank", "")</f>
        <v/>
      </c>
      <c r="H9" s="361"/>
      <c r="I9" s="42"/>
      <c r="J9" s="42" t="str">
        <f>IF(L9&lt;&gt;"", "Not Blank", "")</f>
        <v/>
      </c>
      <c r="K9" s="42"/>
      <c r="L9" s="42"/>
      <c r="M9" s="42"/>
      <c r="N9" s="4447"/>
      <c r="O9" s="4492"/>
      <c r="P9" s="2339"/>
      <c r="Q9" s="4773"/>
      <c r="R9" s="4777"/>
      <c r="S9" s="471"/>
      <c r="T9" s="471"/>
      <c r="U9" s="1218"/>
      <c r="V9" s="4447"/>
      <c r="W9" s="4513"/>
      <c r="X9" s="1245"/>
      <c r="Y9" s="471"/>
      <c r="Z9" s="1406"/>
      <c r="AA9" s="53"/>
    </row>
    <row r="10" spans="1:27" s="2" customFormat="1" ht="29.5" thickBot="1" x14ac:dyDescent="0.35">
      <c r="A10" s="65"/>
      <c r="B10" s="1508"/>
      <c r="C10" s="1707" t="s">
        <v>2055</v>
      </c>
      <c r="D10" s="699" t="s">
        <v>3</v>
      </c>
      <c r="E10" s="161" t="b">
        <f>IF(D10="Compliant",TRUE,FALSE)</f>
        <v>0</v>
      </c>
      <c r="F10" s="258"/>
      <c r="G10" s="124" t="str">
        <f>IF(I10&lt;&gt;"", "Not Blank", "")</f>
        <v/>
      </c>
      <c r="H10" s="258"/>
      <c r="I10" s="124"/>
      <c r="J10" s="124"/>
      <c r="K10" s="124"/>
      <c r="L10" s="124"/>
      <c r="M10" s="124"/>
      <c r="N10" s="4448"/>
      <c r="O10" s="4493"/>
      <c r="P10" s="421"/>
      <c r="Q10" s="4775"/>
      <c r="R10" s="4779"/>
      <c r="S10" s="1224"/>
      <c r="T10" s="1224"/>
      <c r="U10" s="1225"/>
      <c r="V10" s="4448"/>
      <c r="W10" s="4514"/>
      <c r="X10" s="2597"/>
      <c r="Y10" s="1224"/>
      <c r="Z10" s="1411"/>
      <c r="AA10" s="53"/>
    </row>
    <row r="11" spans="1:27" s="2" customFormat="1" ht="26.5" thickTop="1" x14ac:dyDescent="0.3">
      <c r="A11" s="620" t="s">
        <v>615</v>
      </c>
      <c r="B11" s="2297" t="s">
        <v>626</v>
      </c>
      <c r="C11" s="2300" t="s">
        <v>539</v>
      </c>
      <c r="D11" s="1921" t="s">
        <v>565</v>
      </c>
      <c r="E11" s="1980" t="b">
        <f>IF(OR(E12=TRUE,E13=TRUE),TRUE,FALSE)</f>
        <v>0</v>
      </c>
      <c r="F11" s="1981">
        <f>COUNTIF(E12:E13,TRUE)</f>
        <v>0</v>
      </c>
      <c r="G11" s="1647">
        <f>COUNTIFS(E12:E13,TRUE,G12:G13,"Not Blank")</f>
        <v>0</v>
      </c>
      <c r="H11" s="1981">
        <f>COUNTIFS(E12:E13,FALSE,G12:G13,"Not Blank")</f>
        <v>0</v>
      </c>
      <c r="I11" s="1981" t="str">
        <f xml:space="preserve">
IF(F11&gt;1,"Too Many Entries - Check Red Lines",
IF(G11&lt;F11,"Valid Entry required below - Check Amber Line/s",
IF(AND(E10=FALSE,G11=0,H11=0),"Nothing Entered below Yet",
IF(G11&lt;F11,"Valid Entry required below - Check Amber Line/s",
IF(AND(G11=0,H11&gt;0),"**Non-Valid Entry/ies below - Check Yellow Line/s",
IF(AND(G11&gt;0,H11&gt;0),"**Valid and Non-Valid Entries made below - Check Yellow Line/s",
IF(AND(E10=FALSE,F11&lt;1),"Not all requirements addressed below - Check Pink Line/s",
IF(AND(E10=FALSE,G11&lt;1,G11&gt;0,H11=0),"More entries to come",
IF(AND(E10,TRUE,G11=1,H11=0),"Valid Entries made below"
)))))))))</f>
        <v>Nothing Entered below Yet</v>
      </c>
      <c r="J11" s="1647">
        <f>COUNTIFS(E12:E13,TRUE,J12:J13,"Not Blank")</f>
        <v>0</v>
      </c>
      <c r="K11" s="1981">
        <f>COUNTIFS(E12:E13,FALSE,J12:J13,"Not Blank")</f>
        <v>0</v>
      </c>
      <c r="L11" s="1981" t="str">
        <f xml:space="preserve">
IF(J11&gt;1,"Too Many Entries - Check Red Lines",
IF(J11&lt;F11,"Valid Entry required below - Check Amber Line/s",
IF(AND(E10=FALSE,J11=0,K11=0),"Nothing Entered below Yet",
IF(AND(J11=0,K11&gt;0),"**Non-Valid Entry/ies below - Check Yellow Line/s",
IF(AND(J11&gt;0,K11&gt;0),"**Valid and Non-Valid Entries made below - Check Yellow Line/s",
IF(AND(E10=FALSE,J11&lt;1),"Not all requirements addressed below - Check Pink Line/s",
IF(AND(E10=FALSE,J11&lt;1,J11&gt;0,K11=0),"More entries to come",
IF(AND(E10,TRUE,J11=1,K11=0),"Valid Entries made below"
))))))))</f>
        <v>Nothing Entered below Yet</v>
      </c>
      <c r="M11" s="390"/>
      <c r="N11" s="4446" t="s">
        <v>3</v>
      </c>
      <c r="O11" s="4491" t="b">
        <f>IF(OR(N11="Compliant",N11="FE with work-a-round",N11="Functionally Equivalent"),TRUE,FALSE)</f>
        <v>0</v>
      </c>
      <c r="P11" s="3803"/>
      <c r="Q11" s="4772" t="s">
        <v>3</v>
      </c>
      <c r="R11" s="4776" t="b">
        <f>IF(OR(Q11="Compliant",Q11="FE with work-a-round",Q11="Functionally Equivalent"),TRUE,FALSE)</f>
        <v>0</v>
      </c>
      <c r="S11" s="1551"/>
      <c r="T11" s="1551"/>
      <c r="U11" s="3803"/>
      <c r="V11" s="4446" t="s">
        <v>3</v>
      </c>
      <c r="W11" s="4437" t="b">
        <f>IF(OR(V11="Compliant",V11="FE with work-a-round",V11="Functionally Equivalent",V11="Not Required/Applicable"),TRUE,FALSE)</f>
        <v>0</v>
      </c>
      <c r="X11" s="1551"/>
      <c r="Y11" s="1551"/>
      <c r="Z11" s="1550"/>
    </row>
    <row r="12" spans="1:27" s="2" customFormat="1" ht="15.5" x14ac:dyDescent="0.3">
      <c r="A12" s="620"/>
      <c r="B12" s="1504"/>
      <c r="C12" s="2301" t="s">
        <v>540</v>
      </c>
      <c r="D12" s="699" t="s">
        <v>3</v>
      </c>
      <c r="E12" s="594" t="b">
        <f>IF(D12="Compliant",TRUE,FALSE)</f>
        <v>0</v>
      </c>
      <c r="F12" s="361"/>
      <c r="G12" s="44" t="str">
        <f>IF(I12&lt;&gt;"", "Not Blank", "")</f>
        <v/>
      </c>
      <c r="H12" s="361"/>
      <c r="I12" s="361"/>
      <c r="J12" s="44" t="str">
        <f>IF(L12&lt;&gt;"", "Not Blank", "")</f>
        <v/>
      </c>
      <c r="K12" s="361"/>
      <c r="L12" s="361"/>
      <c r="M12" s="361"/>
      <c r="N12" s="4447"/>
      <c r="O12" s="4492"/>
      <c r="P12" s="1218"/>
      <c r="Q12" s="4773"/>
      <c r="R12" s="4777"/>
      <c r="S12" s="471"/>
      <c r="T12" s="471"/>
      <c r="U12" s="1218"/>
      <c r="V12" s="4447"/>
      <c r="W12" s="4438"/>
      <c r="X12" s="471"/>
      <c r="Y12" s="471"/>
      <c r="Z12" s="1406"/>
    </row>
    <row r="13" spans="1:27" s="2" customFormat="1" ht="26.5" thickBot="1" x14ac:dyDescent="0.35">
      <c r="A13" s="620"/>
      <c r="B13" s="1505"/>
      <c r="C13" s="2302" t="s">
        <v>541</v>
      </c>
      <c r="D13" s="700" t="s">
        <v>3</v>
      </c>
      <c r="E13" s="595" t="b">
        <f>IF(D13="Compliant",TRUE,FALSE)</f>
        <v>0</v>
      </c>
      <c r="F13" s="258"/>
      <c r="G13" s="124" t="str">
        <f>IF(I13&lt;&gt;"", "Not Blank", "")</f>
        <v/>
      </c>
      <c r="H13" s="258"/>
      <c r="I13" s="258"/>
      <c r="J13" s="124" t="str">
        <f>IF(L13&lt;&gt;"", "Not Blank", "")</f>
        <v/>
      </c>
      <c r="K13" s="258"/>
      <c r="L13" s="258"/>
      <c r="M13" s="258"/>
      <c r="N13" s="4448"/>
      <c r="O13" s="4493"/>
      <c r="P13" s="1225"/>
      <c r="Q13" s="4774"/>
      <c r="R13" s="4778"/>
      <c r="S13" s="1224"/>
      <c r="T13" s="1224"/>
      <c r="U13" s="1225"/>
      <c r="V13" s="4448"/>
      <c r="W13" s="4439"/>
      <c r="X13" s="1224"/>
      <c r="Y13" s="1224"/>
      <c r="Z13" s="1411"/>
    </row>
    <row r="14" spans="1:27" s="3640" customFormat="1" ht="15" thickTop="1" x14ac:dyDescent="0.3">
      <c r="A14" s="3636"/>
      <c r="B14" s="3636"/>
      <c r="C14" s="3636"/>
      <c r="D14" s="3636"/>
      <c r="E14" s="3636"/>
      <c r="F14" s="3636"/>
      <c r="G14" s="3634"/>
      <c r="H14" s="3636"/>
      <c r="I14" s="3636"/>
      <c r="J14" s="3634"/>
      <c r="K14" s="3636"/>
      <c r="L14" s="3636"/>
      <c r="M14" s="3636"/>
      <c r="N14" s="3636"/>
      <c r="O14" s="3636"/>
      <c r="P14" s="3636"/>
      <c r="Q14" s="3639"/>
      <c r="R14" s="3641"/>
      <c r="S14" s="3639"/>
      <c r="T14" s="3639"/>
      <c r="U14" s="3639"/>
      <c r="V14" s="3639"/>
      <c r="W14" s="3639"/>
      <c r="X14" s="3639"/>
      <c r="Y14" s="3639"/>
      <c r="Z14" s="3639"/>
      <c r="AA14" s="3639"/>
    </row>
    <row r="15" spans="1:27" s="3695" customFormat="1" ht="18.5" x14ac:dyDescent="0.3">
      <c r="A15" s="3636"/>
      <c r="B15" s="4636" t="s">
        <v>1196</v>
      </c>
      <c r="C15" s="4636"/>
      <c r="D15" s="4636"/>
      <c r="E15" s="3804"/>
      <c r="F15" s="3804"/>
      <c r="G15" s="3805"/>
      <c r="H15" s="3804"/>
      <c r="I15" s="3804"/>
      <c r="J15" s="3805"/>
      <c r="K15" s="3804"/>
      <c r="L15" s="3804"/>
      <c r="M15" s="3804"/>
      <c r="N15" s="3804"/>
      <c r="O15" s="3804"/>
      <c r="P15" s="3804"/>
      <c r="Q15" s="3806"/>
      <c r="R15" s="3807"/>
      <c r="S15" s="3806"/>
      <c r="T15" s="3806"/>
      <c r="U15" s="3806"/>
      <c r="V15" s="3806"/>
      <c r="W15" s="3806"/>
      <c r="X15" s="3806"/>
      <c r="Y15" s="3806"/>
      <c r="Z15" s="3806"/>
      <c r="AA15" s="3639"/>
    </row>
    <row r="16" spans="1:27" s="3640" customFormat="1" ht="15" thickBot="1" x14ac:dyDescent="0.35">
      <c r="A16" s="3634"/>
      <c r="B16" s="3638"/>
      <c r="C16" s="3808"/>
      <c r="D16" s="3637"/>
      <c r="E16" s="3638"/>
      <c r="F16" s="3637"/>
      <c r="G16" s="3638"/>
      <c r="H16" s="3637"/>
      <c r="I16" s="3638"/>
      <c r="J16" s="3638"/>
      <c r="K16" s="3638"/>
      <c r="L16" s="3638"/>
      <c r="M16" s="3638"/>
      <c r="N16" s="3637"/>
      <c r="O16" s="3637"/>
      <c r="P16" s="3637"/>
      <c r="Q16" s="3642"/>
      <c r="R16" s="3714"/>
      <c r="S16" s="3642"/>
      <c r="T16" s="3642"/>
      <c r="U16" s="3642"/>
      <c r="V16" s="3642"/>
      <c r="W16" s="3642"/>
      <c r="X16" s="3642"/>
      <c r="Y16" s="3642"/>
      <c r="Z16" s="3642"/>
      <c r="AA16" s="3639"/>
    </row>
    <row r="17" spans="1:27" s="2" customFormat="1" ht="29.5" thickTop="1" x14ac:dyDescent="0.3">
      <c r="A17" s="28"/>
      <c r="B17" s="1982" t="s">
        <v>1649</v>
      </c>
      <c r="C17" s="1983" t="s">
        <v>1648</v>
      </c>
      <c r="D17" s="318"/>
      <c r="E17" s="338" t="b">
        <f>IF(D17="Applicable",TRUE,FALSE)</f>
        <v>0</v>
      </c>
      <c r="F17" s="390"/>
      <c r="G17" s="42" t="str">
        <f>IF(I17&lt;&gt;"", "Not Blank", "")</f>
        <v/>
      </c>
      <c r="H17" s="390"/>
      <c r="I17" s="390"/>
      <c r="J17" s="42"/>
      <c r="K17" s="390"/>
      <c r="L17" s="390"/>
      <c r="M17" s="455"/>
      <c r="N17" s="318"/>
      <c r="O17" s="307" t="b">
        <f>IF(N17="Applicable",TRUE,FALSE)</f>
        <v>0</v>
      </c>
      <c r="P17" s="2636"/>
      <c r="Q17" s="318"/>
      <c r="R17" s="307" t="b">
        <f>IF(Q17="Applicable",TRUE,FALSE)</f>
        <v>0</v>
      </c>
      <c r="S17" s="1540"/>
      <c r="T17" s="1540"/>
      <c r="U17" s="2636"/>
      <c r="V17" s="318"/>
      <c r="W17" s="3595" t="b">
        <f>IF(V17="Applicable",TRUE,FALSE)</f>
        <v>0</v>
      </c>
      <c r="X17" s="1551"/>
      <c r="Y17" s="1551"/>
      <c r="Z17" s="1550"/>
      <c r="AA17" s="53"/>
    </row>
    <row r="18" spans="1:27" s="2" customFormat="1" ht="58" x14ac:dyDescent="0.3">
      <c r="A18" s="28"/>
      <c r="B18" s="1802" t="s">
        <v>1650</v>
      </c>
      <c r="C18" s="1984" t="s">
        <v>1651</v>
      </c>
      <c r="D18" s="1737"/>
      <c r="E18" s="716" t="b">
        <f>IF(D18="Applicable",TRUE,FALSE)</f>
        <v>0</v>
      </c>
      <c r="F18" s="361"/>
      <c r="G18" s="44" t="str">
        <f>IF(I18&lt;&gt;"", "Not Blank", "")</f>
        <v/>
      </c>
      <c r="H18" s="361"/>
      <c r="I18" s="361"/>
      <c r="J18" s="44"/>
      <c r="K18" s="361"/>
      <c r="L18" s="361"/>
      <c r="M18" s="419"/>
      <c r="N18" s="1737"/>
      <c r="O18" s="574" t="b">
        <f>IF(N18="Applicable",TRUE,FALSE)</f>
        <v>0</v>
      </c>
      <c r="P18" s="589"/>
      <c r="Q18" s="1737"/>
      <c r="R18" s="574" t="b">
        <f>IF(Q18="Applicable",TRUE,FALSE)</f>
        <v>0</v>
      </c>
      <c r="S18" s="261"/>
      <c r="T18" s="261"/>
      <c r="U18" s="589"/>
      <c r="V18" s="1737"/>
      <c r="W18" s="3590" t="b">
        <f>IF(V18="Applicable",TRUE,FALSE)</f>
        <v>0</v>
      </c>
      <c r="X18" s="471"/>
      <c r="Y18" s="471"/>
      <c r="Z18" s="1406"/>
      <c r="AA18" s="53"/>
    </row>
    <row r="19" spans="1:27" s="2" customFormat="1" ht="43.5" x14ac:dyDescent="0.3">
      <c r="A19" s="28"/>
      <c r="B19" s="1802" t="s">
        <v>1652</v>
      </c>
      <c r="C19" s="1984" t="s">
        <v>1653</v>
      </c>
      <c r="D19" s="1736"/>
      <c r="E19" s="717" t="b">
        <f>IF(D19="Applicable",TRUE,FALSE)</f>
        <v>0</v>
      </c>
      <c r="F19" s="361"/>
      <c r="G19" s="44" t="str">
        <f>IF(I19&lt;&gt;"", "Not Blank", "")</f>
        <v/>
      </c>
      <c r="H19" s="361"/>
      <c r="I19" s="361"/>
      <c r="J19" s="44"/>
      <c r="K19" s="361"/>
      <c r="L19" s="361"/>
      <c r="M19" s="419"/>
      <c r="N19" s="1737"/>
      <c r="O19" s="574" t="b">
        <f>IF(N19="Applicable",TRUE,FALSE)</f>
        <v>0</v>
      </c>
      <c r="P19" s="589"/>
      <c r="Q19" s="1737"/>
      <c r="R19" s="574" t="b">
        <f>IF(Q19="Applicable",TRUE,FALSE)</f>
        <v>0</v>
      </c>
      <c r="S19" s="261"/>
      <c r="T19" s="261"/>
      <c r="U19" s="589"/>
      <c r="V19" s="1737"/>
      <c r="W19" s="3590" t="b">
        <f>IF(V19="Applicable",TRUE,FALSE)</f>
        <v>0</v>
      </c>
      <c r="X19" s="471"/>
      <c r="Y19" s="471"/>
      <c r="Z19" s="1406"/>
      <c r="AA19" s="53"/>
    </row>
    <row r="20" spans="1:27" s="2" customFormat="1" ht="58.5" thickBot="1" x14ac:dyDescent="0.35">
      <c r="A20" s="28"/>
      <c r="B20" s="1803" t="s">
        <v>1654</v>
      </c>
      <c r="C20" s="1975" t="s">
        <v>1655</v>
      </c>
      <c r="D20" s="1954"/>
      <c r="E20" s="923" t="b">
        <f>IF(D20="Applicable",TRUE,FALSE)</f>
        <v>0</v>
      </c>
      <c r="F20" s="595"/>
      <c r="G20" s="124" t="str">
        <f>IF(I20&lt;&gt;"", "Not Blank", "")</f>
        <v/>
      </c>
      <c r="H20" s="258"/>
      <c r="I20" s="258"/>
      <c r="J20" s="124"/>
      <c r="K20" s="258"/>
      <c r="L20" s="258"/>
      <c r="M20" s="421"/>
      <c r="N20" s="1954"/>
      <c r="O20" s="922" t="b">
        <f>IF(N20="Applicable",TRUE,FALSE)</f>
        <v>0</v>
      </c>
      <c r="P20" s="1164"/>
      <c r="Q20" s="1954"/>
      <c r="R20" s="922" t="b">
        <f>IF(Q20="Applicable",TRUE,FALSE)</f>
        <v>0</v>
      </c>
      <c r="S20" s="1555"/>
      <c r="T20" s="1555"/>
      <c r="U20" s="1556"/>
      <c r="V20" s="1954"/>
      <c r="W20" s="3596" t="b">
        <f>IF(V20="Applicable",TRUE,FALSE)</f>
        <v>0</v>
      </c>
      <c r="X20" s="1224"/>
      <c r="Y20" s="1224"/>
      <c r="Z20" s="1411"/>
      <c r="AA20" s="53"/>
    </row>
    <row r="21" spans="1:27" s="3640" customFormat="1" ht="15" thickTop="1" x14ac:dyDescent="0.3">
      <c r="A21" s="3634"/>
      <c r="B21" s="3634"/>
      <c r="C21" s="3661"/>
      <c r="D21" s="3636"/>
      <c r="E21" s="3636"/>
      <c r="F21" s="3636"/>
      <c r="G21" s="3634"/>
      <c r="H21" s="3636"/>
      <c r="I21" s="3636"/>
      <c r="J21" s="3634"/>
      <c r="K21" s="3636"/>
      <c r="L21" s="3636"/>
      <c r="M21" s="3636"/>
      <c r="N21" s="3636"/>
      <c r="O21" s="3636"/>
      <c r="P21" s="3636"/>
      <c r="Q21" s="3639"/>
      <c r="R21" s="3641"/>
      <c r="S21" s="3639"/>
      <c r="T21" s="3639"/>
      <c r="U21" s="3639"/>
      <c r="V21" s="3639"/>
      <c r="W21" s="3639"/>
      <c r="X21" s="3639"/>
      <c r="Y21" s="3639"/>
      <c r="Z21" s="3639"/>
      <c r="AA21" s="3639"/>
    </row>
    <row r="22" spans="1:27" s="3640" customFormat="1" ht="18.5" x14ac:dyDescent="0.3">
      <c r="A22" s="3636"/>
      <c r="B22" s="4636" t="s">
        <v>1197</v>
      </c>
      <c r="C22" s="4636"/>
      <c r="D22" s="4636"/>
      <c r="E22" s="3804"/>
      <c r="F22" s="3804"/>
      <c r="G22" s="3805"/>
      <c r="H22" s="3804"/>
      <c r="I22" s="3804"/>
      <c r="J22" s="3805"/>
      <c r="K22" s="3804"/>
      <c r="L22" s="3804"/>
      <c r="M22" s="3804"/>
      <c r="N22" s="3806"/>
      <c r="O22" s="3806"/>
      <c r="P22" s="3804"/>
      <c r="Q22" s="3806"/>
      <c r="R22" s="3807"/>
      <c r="S22" s="3806"/>
      <c r="T22" s="3806"/>
      <c r="U22" s="3806"/>
      <c r="V22" s="3806"/>
      <c r="W22" s="3806"/>
      <c r="X22" s="3806"/>
      <c r="Y22" s="3806"/>
      <c r="Z22" s="3806"/>
      <c r="AA22" s="3639"/>
    </row>
    <row r="23" spans="1:27" s="3640" customFormat="1" ht="15" thickBot="1" x14ac:dyDescent="0.35">
      <c r="A23" s="3634"/>
      <c r="B23" s="3634"/>
      <c r="C23" s="3661"/>
      <c r="D23" s="3636"/>
      <c r="E23" s="3636"/>
      <c r="F23" s="3636"/>
      <c r="G23" s="3634"/>
      <c r="H23" s="3636"/>
      <c r="I23" s="3636"/>
      <c r="J23" s="3634"/>
      <c r="K23" s="3636"/>
      <c r="L23" s="3636"/>
      <c r="M23" s="3636"/>
      <c r="N23" s="3636"/>
      <c r="O23" s="3636"/>
      <c r="P23" s="3636"/>
      <c r="Q23" s="3639"/>
      <c r="R23" s="3641"/>
      <c r="S23" s="3639"/>
      <c r="T23" s="3639"/>
      <c r="U23" s="3639"/>
      <c r="V23" s="3639"/>
      <c r="W23" s="3639"/>
      <c r="X23" s="3639"/>
      <c r="Y23" s="3639"/>
      <c r="Z23" s="3639"/>
      <c r="AA23" s="3639"/>
    </row>
    <row r="24" spans="1:27" s="2" customFormat="1" ht="58.5" thickTop="1" x14ac:dyDescent="0.3">
      <c r="A24" s="2" t="s">
        <v>612</v>
      </c>
      <c r="B24" s="1985"/>
      <c r="C24" s="1514" t="s">
        <v>1951</v>
      </c>
      <c r="D24" s="318"/>
      <c r="E24" s="338" t="b">
        <f>IF(D24="Applicable",TRUE,FALSE)</f>
        <v>0</v>
      </c>
      <c r="F24" s="616"/>
      <c r="G24" s="111"/>
      <c r="H24" s="616"/>
      <c r="I24" s="111"/>
      <c r="J24" s="111"/>
      <c r="K24" s="111"/>
      <c r="L24" s="616"/>
      <c r="M24" s="616"/>
      <c r="N24" s="318"/>
      <c r="O24" s="338" t="b">
        <f>IF(N24="Applicable",TRUE,FALSE)</f>
        <v>0</v>
      </c>
      <c r="P24" s="186"/>
      <c r="Q24" s="318"/>
      <c r="R24" s="338" t="b">
        <f>IF(Q24="Applicable",TRUE,FALSE)</f>
        <v>0</v>
      </c>
      <c r="S24" s="186"/>
      <c r="T24" s="186"/>
      <c r="U24" s="186"/>
      <c r="V24" s="318"/>
      <c r="W24" s="3605" t="b">
        <f>IF(V24="Applicable",TRUE,FALSE)</f>
        <v>0</v>
      </c>
      <c r="X24" s="406"/>
      <c r="Y24" s="1433"/>
      <c r="Z24" s="1434"/>
      <c r="AA24" s="80"/>
    </row>
    <row r="25" spans="1:27" s="2" customFormat="1" ht="58" x14ac:dyDescent="0.3">
      <c r="A25" s="57" t="s">
        <v>613</v>
      </c>
      <c r="B25" s="1986"/>
      <c r="C25" s="1517" t="s">
        <v>1952</v>
      </c>
      <c r="D25" s="1737"/>
      <c r="E25" s="716" t="b">
        <f>IF(D25="Applicable",TRUE,FALSE)</f>
        <v>0</v>
      </c>
      <c r="F25" s="361"/>
      <c r="G25" s="44"/>
      <c r="H25" s="361"/>
      <c r="I25" s="44"/>
      <c r="J25" s="44"/>
      <c r="K25" s="44"/>
      <c r="L25" s="361"/>
      <c r="M25" s="361"/>
      <c r="N25" s="1737"/>
      <c r="O25" s="716" t="b">
        <f>IF(N25="Applicable",TRUE,FALSE)</f>
        <v>0</v>
      </c>
      <c r="P25" s="261"/>
      <c r="Q25" s="1737"/>
      <c r="R25" s="716" t="b">
        <f>IF(Q25="Applicable",TRUE,FALSE)</f>
        <v>0</v>
      </c>
      <c r="S25" s="261"/>
      <c r="T25" s="261"/>
      <c r="U25" s="261"/>
      <c r="V25" s="1737"/>
      <c r="W25" s="3606" t="b">
        <f>IF(V25="Applicable",TRUE,FALSE)</f>
        <v>0</v>
      </c>
      <c r="X25" s="471"/>
      <c r="Y25" s="1431"/>
      <c r="Z25" s="1432"/>
      <c r="AA25" s="80"/>
    </row>
    <row r="26" spans="1:27" s="2" customFormat="1" ht="44" thickBot="1" x14ac:dyDescent="0.35">
      <c r="A26" s="57" t="s">
        <v>614</v>
      </c>
      <c r="B26" s="1987"/>
      <c r="C26" s="1926" t="s">
        <v>480</v>
      </c>
      <c r="D26" s="1954"/>
      <c r="E26" s="921" t="b">
        <f>IF(D26="Applicable",TRUE,FALSE)</f>
        <v>0</v>
      </c>
      <c r="F26" s="258"/>
      <c r="G26" s="124"/>
      <c r="H26" s="258"/>
      <c r="I26" s="124"/>
      <c r="J26" s="124"/>
      <c r="K26" s="124"/>
      <c r="L26" s="258"/>
      <c r="M26" s="258"/>
      <c r="N26" s="1954"/>
      <c r="O26" s="921" t="b">
        <f>IF(N26="Applicable",TRUE,FALSE)</f>
        <v>0</v>
      </c>
      <c r="P26" s="1555"/>
      <c r="Q26" s="1954"/>
      <c r="R26" s="921" t="b">
        <f>IF(Q26="Applicable",TRUE,FALSE)</f>
        <v>0</v>
      </c>
      <c r="S26" s="1555"/>
      <c r="T26" s="1555"/>
      <c r="U26" s="1555"/>
      <c r="V26" s="1954"/>
      <c r="W26" s="3607" t="b">
        <f>IF(V26="Applicable",TRUE,FALSE)</f>
        <v>0</v>
      </c>
      <c r="X26" s="1224"/>
      <c r="Y26" s="1224"/>
      <c r="Z26" s="1411"/>
      <c r="AA26" s="53"/>
    </row>
    <row r="27" spans="1:27" s="3640" customFormat="1" ht="15" thickTop="1" x14ac:dyDescent="0.3">
      <c r="A27" s="3636"/>
      <c r="B27" s="3636"/>
      <c r="C27" s="3634"/>
      <c r="D27" s="3636"/>
      <c r="E27" s="3636"/>
      <c r="F27" s="3636"/>
      <c r="G27" s="3634"/>
      <c r="H27" s="3636"/>
      <c r="I27" s="3634"/>
      <c r="J27" s="3634"/>
      <c r="K27" s="3634"/>
      <c r="L27" s="3636"/>
      <c r="M27" s="3636"/>
      <c r="N27" s="3636"/>
      <c r="O27" s="3636"/>
      <c r="P27" s="3636"/>
      <c r="Q27" s="3639"/>
      <c r="R27" s="3641"/>
      <c r="S27" s="3639"/>
      <c r="T27" s="3639"/>
      <c r="U27" s="3639"/>
      <c r="V27" s="3639"/>
      <c r="W27" s="3639"/>
      <c r="X27" s="3639"/>
      <c r="Y27" s="3639"/>
      <c r="Z27" s="3639"/>
      <c r="AA27" s="3639"/>
    </row>
    <row r="28" spans="1:27" s="3694" customFormat="1" ht="18.5" x14ac:dyDescent="0.3">
      <c r="A28" s="4635" t="s">
        <v>477</v>
      </c>
      <c r="B28" s="4636"/>
      <c r="C28" s="4636"/>
      <c r="D28" s="3809"/>
      <c r="E28" s="3810"/>
      <c r="F28" s="3810"/>
      <c r="G28" s="3811"/>
      <c r="H28" s="3810"/>
      <c r="I28" s="3812"/>
      <c r="J28" s="3813"/>
      <c r="K28" s="3813"/>
      <c r="L28" s="3814"/>
      <c r="M28" s="3782"/>
      <c r="N28" s="3815"/>
      <c r="O28" s="3815"/>
      <c r="P28" s="3815"/>
      <c r="Q28" s="3815"/>
      <c r="R28" s="3816"/>
      <c r="S28" s="3815"/>
      <c r="T28" s="3815"/>
      <c r="U28" s="3815"/>
      <c r="V28" s="3815"/>
      <c r="W28" s="3815"/>
      <c r="X28" s="3815"/>
      <c r="Y28" s="3815"/>
      <c r="Z28" s="3815"/>
    </row>
    <row r="29" spans="1:27" s="3640" customFormat="1" ht="15" thickBot="1" x14ac:dyDescent="0.35">
      <c r="A29" s="3636"/>
      <c r="B29" s="3636"/>
      <c r="C29" s="3636"/>
      <c r="D29" s="3636"/>
      <c r="E29" s="3636"/>
      <c r="F29" s="3636"/>
      <c r="G29" s="3634"/>
      <c r="H29" s="3636"/>
      <c r="I29" s="3636"/>
      <c r="J29" s="3634"/>
      <c r="K29" s="3636"/>
      <c r="L29" s="3636"/>
      <c r="M29" s="3636"/>
      <c r="Q29" s="3634"/>
      <c r="R29" s="3662"/>
      <c r="S29" s="3639"/>
      <c r="T29" s="3639"/>
      <c r="U29" s="3639"/>
      <c r="V29" s="3639"/>
      <c r="W29" s="3639"/>
      <c r="X29" s="3639"/>
      <c r="Y29" s="3660"/>
      <c r="Z29" s="3660"/>
      <c r="AA29" s="3660"/>
    </row>
    <row r="30" spans="1:27" s="2" customFormat="1" ht="59" thickTop="1" thickBot="1" x14ac:dyDescent="0.35">
      <c r="A30" s="57"/>
      <c r="B30" s="2288" t="s">
        <v>824</v>
      </c>
      <c r="C30" s="1809" t="s">
        <v>475</v>
      </c>
      <c r="D30" s="1925" t="s">
        <v>1233</v>
      </c>
      <c r="E30" s="231" t="b">
        <f>OR(E24,E43)</f>
        <v>0</v>
      </c>
      <c r="F30" s="133"/>
      <c r="G30" s="133"/>
      <c r="H30" s="2289"/>
      <c r="I30" s="396"/>
      <c r="J30" s="685"/>
      <c r="K30" s="2289"/>
      <c r="L30" s="396"/>
      <c r="M30" s="2428"/>
      <c r="N30" s="2290" t="s">
        <v>1233</v>
      </c>
      <c r="O30" s="2291" t="b">
        <f>O43</f>
        <v>0</v>
      </c>
      <c r="P30" s="2499"/>
      <c r="Q30" s="2292" t="s">
        <v>1233</v>
      </c>
      <c r="R30" s="729" t="b">
        <f>R43</f>
        <v>0</v>
      </c>
      <c r="S30" s="406"/>
      <c r="T30" s="406"/>
      <c r="U30" s="1211"/>
      <c r="V30" s="1873" t="s">
        <v>1233</v>
      </c>
      <c r="W30" s="524" t="b">
        <f>W43</f>
        <v>0</v>
      </c>
      <c r="X30" s="1433"/>
      <c r="Y30" s="1433"/>
      <c r="Z30" s="1434"/>
    </row>
    <row r="31" spans="1:27" s="2" customFormat="1" ht="44.5" thickTop="1" thickBot="1" x14ac:dyDescent="0.35">
      <c r="A31" s="610"/>
      <c r="B31" s="2239" t="s">
        <v>825</v>
      </c>
      <c r="C31" s="2275" t="s">
        <v>474</v>
      </c>
      <c r="D31" s="2264" t="s">
        <v>1233</v>
      </c>
      <c r="E31" s="41" t="b">
        <f>OR(E24,E73)</f>
        <v>0</v>
      </c>
      <c r="F31" s="42"/>
      <c r="G31" s="42"/>
      <c r="H31" s="2286"/>
      <c r="I31" s="396"/>
      <c r="J31" s="685"/>
      <c r="K31" s="2289"/>
      <c r="L31" s="2129"/>
      <c r="M31" s="2428"/>
      <c r="N31" s="1914" t="s">
        <v>1233</v>
      </c>
      <c r="O31" s="102" t="b">
        <f>O73</f>
        <v>0</v>
      </c>
      <c r="P31" s="2445"/>
      <c r="Q31" s="2292" t="s">
        <v>1233</v>
      </c>
      <c r="R31" s="730" t="b">
        <f>R73</f>
        <v>0</v>
      </c>
      <c r="S31" s="471"/>
      <c r="T31" s="471"/>
      <c r="U31" s="1218"/>
      <c r="V31" s="1874" t="s">
        <v>1233</v>
      </c>
      <c r="W31" s="162" t="b">
        <f>W73</f>
        <v>0</v>
      </c>
      <c r="X31" s="1431"/>
      <c r="Y31" s="1431"/>
      <c r="Z31" s="1432"/>
    </row>
    <row r="32" spans="1:27" ht="59" thickTop="1" thickBot="1" x14ac:dyDescent="0.35">
      <c r="A32" s="57"/>
      <c r="B32" s="2288" t="s">
        <v>826</v>
      </c>
      <c r="C32" s="1697" t="s">
        <v>822</v>
      </c>
      <c r="D32" s="1925" t="s">
        <v>1233</v>
      </c>
      <c r="E32" s="161" t="b">
        <f>E81</f>
        <v>0</v>
      </c>
      <c r="F32" s="258"/>
      <c r="G32" s="124"/>
      <c r="H32" s="258"/>
      <c r="I32" s="408"/>
      <c r="J32" s="160"/>
      <c r="K32" s="408"/>
      <c r="L32" s="408"/>
      <c r="M32" s="408"/>
      <c r="N32" s="2293" t="s">
        <v>1233</v>
      </c>
      <c r="O32" s="2295" t="b">
        <f>O81</f>
        <v>0</v>
      </c>
      <c r="P32" s="1437"/>
      <c r="Q32" s="2296" t="s">
        <v>1233</v>
      </c>
      <c r="R32" s="730" t="b">
        <f>R81</f>
        <v>0</v>
      </c>
      <c r="S32" s="471"/>
      <c r="T32" s="471"/>
      <c r="U32" s="1218"/>
      <c r="V32" s="1874" t="s">
        <v>1233</v>
      </c>
      <c r="W32" s="162" t="b">
        <f>W81</f>
        <v>0</v>
      </c>
      <c r="X32" s="1443"/>
      <c r="Y32" s="1443"/>
      <c r="Z32" s="2698"/>
    </row>
    <row r="33" spans="1:101" s="364" customFormat="1" ht="44.5" thickTop="1" thickBot="1" x14ac:dyDescent="0.35">
      <c r="A33" s="57"/>
      <c r="B33" s="2288" t="s">
        <v>827</v>
      </c>
      <c r="C33" s="2147" t="s">
        <v>823</v>
      </c>
      <c r="D33" s="2205" t="s">
        <v>1233</v>
      </c>
      <c r="E33" s="706" t="b">
        <f>E115</f>
        <v>0</v>
      </c>
      <c r="F33" s="408"/>
      <c r="G33" s="160"/>
      <c r="H33" s="408"/>
      <c r="I33" s="408"/>
      <c r="J33" s="160"/>
      <c r="K33" s="408"/>
      <c r="L33" s="408"/>
      <c r="M33" s="408"/>
      <c r="N33" s="2293" t="s">
        <v>1233</v>
      </c>
      <c r="O33" s="2294" t="b">
        <f>O115</f>
        <v>0</v>
      </c>
      <c r="P33" s="2497"/>
      <c r="Q33" s="2293" t="s">
        <v>1233</v>
      </c>
      <c r="R33" s="731" t="b">
        <f>R115</f>
        <v>0</v>
      </c>
      <c r="S33" s="1224"/>
      <c r="T33" s="1224"/>
      <c r="U33" s="1225"/>
      <c r="V33" s="1875" t="s">
        <v>1233</v>
      </c>
      <c r="W33" s="518" t="b">
        <f>W115</f>
        <v>0</v>
      </c>
      <c r="X33" s="1435"/>
      <c r="Y33" s="1435"/>
      <c r="Z33" s="1436"/>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row>
    <row r="34" spans="1:101" s="3640" customFormat="1" ht="15" thickTop="1" x14ac:dyDescent="0.3">
      <c r="A34" s="3636"/>
      <c r="B34" s="3634"/>
      <c r="C34" s="3634"/>
      <c r="D34" s="3639"/>
      <c r="E34" s="3634"/>
      <c r="F34" s="3636"/>
      <c r="G34" s="3634"/>
      <c r="H34" s="3636"/>
      <c r="I34" s="3636"/>
      <c r="J34" s="3634"/>
      <c r="K34" s="3636"/>
      <c r="L34" s="3636"/>
      <c r="M34" s="3636"/>
      <c r="N34" s="3636"/>
      <c r="O34" s="3636"/>
      <c r="P34" s="3639"/>
      <c r="Q34" s="3639"/>
      <c r="R34" s="3641"/>
      <c r="S34" s="3639"/>
      <c r="T34" s="3639"/>
      <c r="U34" s="3639"/>
      <c r="V34" s="3660"/>
      <c r="W34" s="3660"/>
      <c r="X34" s="3660"/>
      <c r="Y34" s="3660"/>
      <c r="Z34" s="3660"/>
    </row>
    <row r="35" spans="1:101" s="3640" customFormat="1" ht="18.5" x14ac:dyDescent="0.3">
      <c r="A35" s="4781" t="s">
        <v>1198</v>
      </c>
      <c r="B35" s="4781"/>
      <c r="C35" s="4781"/>
      <c r="D35" s="3817"/>
      <c r="E35" s="3817"/>
      <c r="F35" s="3817"/>
      <c r="G35" s="3818"/>
      <c r="H35" s="3817"/>
      <c r="I35" s="3817"/>
      <c r="J35" s="3818"/>
      <c r="K35" s="3817"/>
      <c r="L35" s="3817"/>
      <c r="M35" s="3817"/>
      <c r="N35" s="3804"/>
      <c r="O35" s="3804"/>
      <c r="P35" s="3806"/>
      <c r="Q35" s="3806"/>
      <c r="R35" s="3807"/>
      <c r="S35" s="3806"/>
      <c r="T35" s="3806"/>
      <c r="U35" s="3806"/>
      <c r="V35" s="3656"/>
      <c r="W35" s="3656"/>
      <c r="X35" s="3656"/>
      <c r="Y35" s="3656"/>
      <c r="Z35" s="3656"/>
    </row>
    <row r="36" spans="1:101" s="3640" customFormat="1" ht="15" thickBot="1" x14ac:dyDescent="0.35">
      <c r="A36" s="3694"/>
      <c r="B36" s="3745"/>
      <c r="C36" s="3635"/>
      <c r="D36" s="3694"/>
      <c r="G36" s="3633"/>
      <c r="J36" s="3745"/>
      <c r="N36" s="3636"/>
      <c r="O36" s="3636"/>
      <c r="P36" s="3639"/>
      <c r="Q36" s="3639"/>
      <c r="R36" s="3641"/>
      <c r="S36" s="3639"/>
      <c r="T36" s="3639"/>
      <c r="U36" s="3639"/>
      <c r="V36" s="3660"/>
      <c r="W36" s="3660"/>
      <c r="X36" s="3660"/>
      <c r="Y36" s="3660"/>
      <c r="Z36" s="3660"/>
    </row>
    <row r="37" spans="1:101" s="2" customFormat="1" ht="44" thickTop="1" x14ac:dyDescent="0.3">
      <c r="A37" s="610" t="s">
        <v>1941</v>
      </c>
      <c r="B37" s="1495"/>
      <c r="C37" s="1708" t="s">
        <v>1982</v>
      </c>
      <c r="D37" s="318"/>
      <c r="E37" s="338" t="b">
        <f>IF(D37="Applicable",TRUE,FALSE)</f>
        <v>0</v>
      </c>
      <c r="F37" s="111">
        <f>COUNTIF(E37,TRUE)</f>
        <v>0</v>
      </c>
      <c r="G37" s="111" t="str">
        <f>IF(I37&lt;&gt;"", "Not Blank", "")</f>
        <v/>
      </c>
      <c r="H37" s="360"/>
      <c r="I37" s="1396"/>
      <c r="J37" s="1753" t="str">
        <f>IF(L37&lt;&gt;"", "Not Blank", "")</f>
        <v/>
      </c>
      <c r="K37" s="1396"/>
      <c r="L37" s="1396"/>
      <c r="M37" s="1533"/>
      <c r="N37" s="318"/>
      <c r="O37" s="338" t="b">
        <f>IF(N37="Applicable",TRUE,FALSE)</f>
        <v>0</v>
      </c>
      <c r="P37" s="459"/>
      <c r="Q37" s="318"/>
      <c r="R37" s="338" t="b">
        <f>IF(Q37="Applicable",TRUE,FALSE)</f>
        <v>0</v>
      </c>
      <c r="S37" s="186"/>
      <c r="T37" s="186"/>
      <c r="U37" s="459"/>
      <c r="V37" s="318"/>
      <c r="W37" s="338" t="b">
        <f>IF(V37="Applicable",TRUE,FALSE)</f>
        <v>0</v>
      </c>
      <c r="X37" s="1433"/>
      <c r="Y37" s="1433"/>
      <c r="Z37" s="1434"/>
    </row>
    <row r="38" spans="1:101" s="2" customFormat="1" ht="29" x14ac:dyDescent="0.3">
      <c r="A38" s="610" t="s">
        <v>1942</v>
      </c>
      <c r="B38" s="1504"/>
      <c r="C38" s="1717" t="s">
        <v>1983</v>
      </c>
      <c r="D38" s="1737"/>
      <c r="E38" s="716" t="b">
        <f>IF(D38="Applicable",TRUE,FALSE)</f>
        <v>0</v>
      </c>
      <c r="F38" s="44">
        <f>COUNTIF(E38,TRUE)</f>
        <v>0</v>
      </c>
      <c r="G38" s="324" t="str">
        <f>IF(I38&lt;&gt;"", "Not Blank", "")</f>
        <v/>
      </c>
      <c r="H38" s="47"/>
      <c r="I38" s="1404"/>
      <c r="J38" s="1754" t="str">
        <f>IF(L38&lt;&gt;"", "Not Blank", "")</f>
        <v/>
      </c>
      <c r="K38" s="1404"/>
      <c r="L38" s="1404"/>
      <c r="M38" s="1535"/>
      <c r="N38" s="1737"/>
      <c r="O38" s="716" t="b">
        <f>IF(N38="Applicable",TRUE,FALSE)</f>
        <v>0</v>
      </c>
      <c r="P38" s="589"/>
      <c r="Q38" s="1737"/>
      <c r="R38" s="716" t="b">
        <f>IF(Q38="Applicable",TRUE,FALSE)</f>
        <v>0</v>
      </c>
      <c r="S38" s="261"/>
      <c r="T38" s="261"/>
      <c r="U38" s="589"/>
      <c r="V38" s="1737"/>
      <c r="W38" s="716" t="b">
        <f>IF(V38="Applicable",TRUE,FALSE)</f>
        <v>0</v>
      </c>
      <c r="X38" s="1431"/>
      <c r="Y38" s="1431"/>
      <c r="Z38" s="1432"/>
    </row>
    <row r="39" spans="1:101" s="2" customFormat="1" ht="44" thickBot="1" x14ac:dyDescent="0.35">
      <c r="A39" s="610" t="s">
        <v>1943</v>
      </c>
      <c r="B39" s="1505"/>
      <c r="C39" s="1800" t="s">
        <v>1984</v>
      </c>
      <c r="D39" s="700" t="s">
        <v>3</v>
      </c>
      <c r="E39" s="161" t="b">
        <f>IF(D39="Compliant",TRUE,FALSE)</f>
        <v>0</v>
      </c>
      <c r="F39" s="124">
        <f>COUNTIF(E39,TRUE)</f>
        <v>0</v>
      </c>
      <c r="G39" s="558" t="str">
        <f>IF(I39&lt;&gt;"", "Not Blank", "")</f>
        <v/>
      </c>
      <c r="H39" s="159"/>
      <c r="I39" s="1224"/>
      <c r="J39" s="1555" t="str">
        <f>IF(L39&lt;&gt;"", "Not Blank", "")</f>
        <v/>
      </c>
      <c r="K39" s="1224"/>
      <c r="L39" s="1224"/>
      <c r="M39" s="1225"/>
      <c r="N39" s="1017" t="s">
        <v>3</v>
      </c>
      <c r="O39" s="851" t="b">
        <f>IF(OR(N39="Compliant",N39="FE with work-a-round",N39="Functionally Equivalent"),TRUE,FALSE)</f>
        <v>0</v>
      </c>
      <c r="P39" s="1164"/>
      <c r="Q39" s="1017" t="s">
        <v>3</v>
      </c>
      <c r="R39" s="901" t="b">
        <f>IF(OR(Q39="Compliant",Q39="FE with work-a-round",Q39="Functionally Equivalent"),TRUE,FALSE)</f>
        <v>0</v>
      </c>
      <c r="S39" s="1555"/>
      <c r="T39" s="1555"/>
      <c r="U39" s="1164"/>
      <c r="V39" s="1017" t="s">
        <v>3</v>
      </c>
      <c r="W39" s="660" t="b">
        <f>IF(OR(V39="Compliant",V39="FE with work-a-round",V39="Functionally Equivalent",V39="Not Required/Applicable"),TRUE,FALSE)</f>
        <v>0</v>
      </c>
      <c r="X39" s="1435"/>
      <c r="Y39" s="1435"/>
      <c r="Z39" s="1436"/>
    </row>
    <row r="40" spans="1:101" s="3640" customFormat="1" ht="15" thickTop="1" x14ac:dyDescent="0.3">
      <c r="A40" s="3636"/>
      <c r="C40" s="3634"/>
      <c r="E40" s="3634"/>
      <c r="F40" s="3634"/>
      <c r="G40" s="3634"/>
      <c r="H40" s="3636"/>
      <c r="I40" s="3639"/>
      <c r="J40" s="3635"/>
      <c r="K40" s="3639"/>
      <c r="L40" s="3639"/>
      <c r="M40" s="3639"/>
      <c r="N40" s="3636"/>
      <c r="O40" s="3636"/>
      <c r="P40" s="3639"/>
      <c r="Q40" s="3639"/>
      <c r="R40" s="3641"/>
      <c r="S40" s="3639"/>
      <c r="T40" s="3639"/>
      <c r="U40" s="3639"/>
      <c r="V40" s="3660"/>
      <c r="W40" s="3660"/>
      <c r="X40" s="3660"/>
      <c r="Y40" s="3660"/>
      <c r="Z40" s="3660"/>
    </row>
    <row r="41" spans="1:101" s="3640" customFormat="1" ht="18.5" x14ac:dyDescent="0.3">
      <c r="A41" s="4781" t="s">
        <v>1199</v>
      </c>
      <c r="B41" s="4781"/>
      <c r="C41" s="4781"/>
      <c r="D41" s="3817"/>
      <c r="E41" s="3817"/>
      <c r="F41" s="3817"/>
      <c r="G41" s="3818"/>
      <c r="H41" s="3817"/>
      <c r="I41" s="3817"/>
      <c r="J41" s="3818"/>
      <c r="K41" s="3817"/>
      <c r="L41" s="3817"/>
      <c r="M41" s="3817"/>
      <c r="N41" s="3804"/>
      <c r="O41" s="3804"/>
      <c r="P41" s="3806"/>
      <c r="Q41" s="3806"/>
      <c r="R41" s="3807"/>
      <c r="S41" s="3806"/>
      <c r="T41" s="3806"/>
      <c r="U41" s="3806"/>
      <c r="V41" s="3656"/>
      <c r="W41" s="3656"/>
      <c r="X41" s="3656"/>
      <c r="Y41" s="3656"/>
      <c r="Z41" s="3656"/>
    </row>
    <row r="42" spans="1:101" s="3640" customFormat="1" ht="15" thickBot="1" x14ac:dyDescent="0.35">
      <c r="A42" s="3694"/>
      <c r="B42" s="3745"/>
      <c r="C42" s="3745"/>
      <c r="D42" s="3694"/>
      <c r="E42" s="3694"/>
      <c r="F42" s="3694"/>
      <c r="G42" s="3633"/>
      <c r="H42" s="3694"/>
      <c r="I42" s="3694"/>
      <c r="J42" s="3745"/>
      <c r="K42" s="3694"/>
      <c r="L42" s="3694"/>
      <c r="M42" s="3694"/>
      <c r="N42" s="3636"/>
      <c r="O42" s="3636"/>
      <c r="P42" s="3639"/>
      <c r="Q42" s="3639"/>
      <c r="R42" s="3641"/>
      <c r="S42" s="3639"/>
      <c r="T42" s="3639"/>
      <c r="U42" s="3639"/>
      <c r="V42" s="3660"/>
      <c r="W42" s="3660"/>
      <c r="X42" s="3660"/>
      <c r="Y42" s="3660"/>
      <c r="Z42" s="3660"/>
    </row>
    <row r="43" spans="1:101" s="365" customFormat="1" ht="30" thickTop="1" thickBot="1" x14ac:dyDescent="0.35">
      <c r="A43" s="621"/>
      <c r="B43" s="1509" t="s">
        <v>482</v>
      </c>
      <c r="C43" s="1946" t="s">
        <v>1670</v>
      </c>
      <c r="D43" s="2207" t="s">
        <v>565</v>
      </c>
      <c r="E43" s="2212" t="b">
        <f>IF(OR(E44=TRUE,E45=TRUE,E46=TRUE,E46=TRUE,E47=TRUE),TRUE)</f>
        <v>0</v>
      </c>
      <c r="F43" s="2208">
        <f>COUNTIFS(E44:E47,"TRUE")</f>
        <v>0</v>
      </c>
      <c r="G43" s="2208">
        <f>COUNTIFS(E44:E47,TRUE,G44:G47,"Not Blank")</f>
        <v>0</v>
      </c>
      <c r="H43" s="2208">
        <f>COUNTIFS(E44:E47,FALSE,G44:G47,"Not Blank")</f>
        <v>0</v>
      </c>
      <c r="I43" s="2208" t="str">
        <f xml:space="preserve">
IF(F43&gt;1,"More than 1 not required - Check Yellow Lines",
IF(G43&lt;F43,"Valid Entry required below - Check Amber Line/s",
IF(AND(E43=FALSE,G43=0,H43=0),"Nothing Entered below Yet",
IF(G43&lt;F43,"Valid Entry required below - Check Amber Line/s",
IF(AND(G43=0,H43&gt;0),"**Non-Valid Entry/ies below - Check Yellow Line/s",
IF(AND(G43&gt;0,H43&gt;0),"**Valid and Non-Valid Entries made below - Check Yellow Line/s",
IF(AND(E43=FALSE,F43&lt;1),"Not all requirements addressed below - Check Pink Line/s",
IF(AND(E43=FALSE,G43&lt;1,G43&gt;0,H43=0),"More entries to come",
IF(AND(E43,TRUE,G43=1,H43=0),"Valid Entries made below"
)))))))))</f>
        <v>Nothing Entered below Yet</v>
      </c>
      <c r="J43" s="2208">
        <f>COUNTIFS(E44:E47,TRUE,J44:J47,"Not Blank")</f>
        <v>0</v>
      </c>
      <c r="K43" s="2208">
        <f>COUNTIFS(E44:E47,FALSE,J44:J47,"Not Blank")</f>
        <v>0</v>
      </c>
      <c r="L43" s="2208" t="str">
        <f xml:space="preserve">
IF(J43&gt;1,"More than one not required - Check Yellow Lines",
IF(J43&lt;F43,"Valid Entry required below - Check Amber Line/s",
IF(AND(E43=FALSE,J43=0,K43=0),"Nothing Entered below Yet",
IF(AND(J43=0,K43&gt;0),"**Non-Valid Entry/ies below - Check Yellow Line/s",
IF(AND(J43&gt;0,K43&gt;0),"**Valid and Non-Valid Entries made below - Check Yellow Line/s",
IF(AND(E43=FALSE,J43&lt;1),"Not all requirements addressed below - Check Pink Line/s",
IF(AND(E43=FALSE,J43&lt;1,J43&gt;0,K43=0),"More entries to come",
IF(AND(E43,TRUE,J43=1,K43=0),"Valid Entries made below"
))))))))</f>
        <v>Nothing Entered below Yet</v>
      </c>
      <c r="M43" s="2213"/>
      <c r="N43" s="4786" t="s">
        <v>3</v>
      </c>
      <c r="O43" s="4787" t="b">
        <f>IF(OR(N43="Compliant",N43="FE with work-a-round",N43="Functionally Equivalent"),TRUE,FALSE)</f>
        <v>0</v>
      </c>
      <c r="P43" s="3907"/>
      <c r="Q43" s="2281" t="s">
        <v>565</v>
      </c>
      <c r="R43" s="749" t="b">
        <f>IF(OR(R44=TRUE,R45=TRUE,R46=TRUE,R46=TRUE,R47=TRUE),TRUE)</f>
        <v>0</v>
      </c>
      <c r="S43" s="186"/>
      <c r="T43" s="186"/>
      <c r="U43" s="459"/>
      <c r="V43" s="4791" t="s">
        <v>3</v>
      </c>
      <c r="W43" s="4799" t="b">
        <f>IF(OR(V43="Compliant",V43="FE with work-a-round",V43="Functionally Equivalent",V43="Not Required/Applicable"),TRUE,FALSE)</f>
        <v>0</v>
      </c>
      <c r="X43" s="186"/>
      <c r="Y43" s="186"/>
      <c r="Z43" s="306"/>
    </row>
    <row r="44" spans="1:101" s="2" customFormat="1" ht="44.5" thickTop="1" thickBot="1" x14ac:dyDescent="0.35">
      <c r="A44" s="610" t="s">
        <v>481</v>
      </c>
      <c r="B44" s="1504"/>
      <c r="C44" s="2167" t="s">
        <v>1851</v>
      </c>
      <c r="D44" s="2096" t="s">
        <v>3</v>
      </c>
      <c r="E44" s="41" t="b">
        <f>IF(D44="Compliant",TRUE,FALSE)</f>
        <v>0</v>
      </c>
      <c r="F44" s="42"/>
      <c r="G44" s="42" t="str">
        <f>IF(I44&lt;&gt;"", "Not Blank", "")</f>
        <v/>
      </c>
      <c r="H44" s="42"/>
      <c r="I44" s="42"/>
      <c r="J44" s="42" t="str">
        <f t="shared" ref="J44:J61" si="0">IF(L44&lt;&gt;"", "Not Blank", "")</f>
        <v/>
      </c>
      <c r="K44" s="42"/>
      <c r="L44" s="42"/>
      <c r="M44" s="144"/>
      <c r="N44" s="4786"/>
      <c r="O44" s="4744"/>
      <c r="P44" s="1540"/>
      <c r="Q44" s="1863" t="s">
        <v>3</v>
      </c>
      <c r="R44" s="840" t="b">
        <f>IF(OR(Q44="Compliant",Q44="FE with work-a-round",Q44="Functionally Equivalent"),TRUE,FALSE)</f>
        <v>0</v>
      </c>
      <c r="S44" s="261"/>
      <c r="T44" s="261"/>
      <c r="U44" s="589"/>
      <c r="V44" s="4791"/>
      <c r="W44" s="4799"/>
      <c r="X44" s="1431"/>
      <c r="Y44" s="1431"/>
      <c r="Z44" s="1432"/>
    </row>
    <row r="45" spans="1:101" s="2" customFormat="1" ht="30" thickTop="1" thickBot="1" x14ac:dyDescent="0.35">
      <c r="A45" s="610"/>
      <c r="B45" s="1504"/>
      <c r="C45" s="1717" t="s">
        <v>517</v>
      </c>
      <c r="D45" s="699" t="s">
        <v>3</v>
      </c>
      <c r="E45" s="67" t="b">
        <f>IF(D45="Compliant",TRUE,FALSE)</f>
        <v>0</v>
      </c>
      <c r="F45" s="44"/>
      <c r="G45" s="44" t="str">
        <f>IF(I45&lt;&gt;"", "Not Blank", "")</f>
        <v/>
      </c>
      <c r="H45" s="44"/>
      <c r="I45" s="44"/>
      <c r="J45" s="44" t="str">
        <f t="shared" si="0"/>
        <v/>
      </c>
      <c r="K45" s="44"/>
      <c r="L45" s="44"/>
      <c r="M45" s="68"/>
      <c r="N45" s="4786"/>
      <c r="O45" s="4744"/>
      <c r="P45" s="471"/>
      <c r="Q45" s="1060" t="s">
        <v>3</v>
      </c>
      <c r="R45" s="898" t="b">
        <f>IF(OR(Q45="Compliant",Q45="FE with work-a-round",Q45="Functionally Equivalent"),TRUE,FALSE)</f>
        <v>0</v>
      </c>
      <c r="S45" s="471"/>
      <c r="T45" s="471"/>
      <c r="U45" s="1218"/>
      <c r="V45" s="4791"/>
      <c r="W45" s="4799"/>
      <c r="X45" s="1431"/>
      <c r="Y45" s="1431"/>
      <c r="Z45" s="1432"/>
    </row>
    <row r="46" spans="1:101" s="2" customFormat="1" ht="44.5" thickTop="1" thickBot="1" x14ac:dyDescent="0.35">
      <c r="A46" s="610"/>
      <c r="B46" s="1504"/>
      <c r="C46" s="1717" t="s">
        <v>518</v>
      </c>
      <c r="D46" s="699" t="s">
        <v>3</v>
      </c>
      <c r="E46" s="67" t="b">
        <f>IF(D46="Compliant",TRUE,FALSE)</f>
        <v>0</v>
      </c>
      <c r="F46" s="44"/>
      <c r="G46" s="44" t="str">
        <f>IF(I46&lt;&gt;"", "Not Blank", "")</f>
        <v/>
      </c>
      <c r="H46" s="44"/>
      <c r="I46" s="44"/>
      <c r="J46" s="44" t="str">
        <f t="shared" si="0"/>
        <v/>
      </c>
      <c r="K46" s="44"/>
      <c r="L46" s="44"/>
      <c r="M46" s="68"/>
      <c r="N46" s="4786"/>
      <c r="O46" s="4744"/>
      <c r="P46" s="471"/>
      <c r="Q46" s="1060" t="s">
        <v>3</v>
      </c>
      <c r="R46" s="898" t="b">
        <f>IF(OR(Q46="Compliant",Q46="FE with work-a-round",Q46="Functionally Equivalent"),TRUE,FALSE)</f>
        <v>0</v>
      </c>
      <c r="S46" s="471"/>
      <c r="T46" s="471"/>
      <c r="U46" s="1218"/>
      <c r="V46" s="4791"/>
      <c r="W46" s="4799"/>
      <c r="X46" s="1431"/>
      <c r="Y46" s="1431"/>
      <c r="Z46" s="1432"/>
    </row>
    <row r="47" spans="1:101" s="2" customFormat="1" ht="73.5" thickTop="1" thickBot="1" x14ac:dyDescent="0.35">
      <c r="A47" s="610"/>
      <c r="B47" s="1504"/>
      <c r="C47" s="1807" t="s">
        <v>519</v>
      </c>
      <c r="D47" s="700" t="s">
        <v>3</v>
      </c>
      <c r="E47" s="78" t="b">
        <f>IF(D47="Compliant",TRUE,FALSE)</f>
        <v>0</v>
      </c>
      <c r="F47" s="79"/>
      <c r="G47" s="79" t="str">
        <f>IF(I47&lt;&gt;"", "Not Blank", "")</f>
        <v/>
      </c>
      <c r="H47" s="79"/>
      <c r="I47" s="79"/>
      <c r="J47" s="79" t="str">
        <f t="shared" si="0"/>
        <v/>
      </c>
      <c r="K47" s="79"/>
      <c r="L47" s="79"/>
      <c r="M47" s="143"/>
      <c r="N47" s="4786"/>
      <c r="O47" s="4788"/>
      <c r="P47" s="1425"/>
      <c r="Q47" s="1017" t="s">
        <v>3</v>
      </c>
      <c r="R47" s="899" t="b">
        <f>IF(OR(Q47="Compliant",Q47="FE with work-a-round",Q47="Functionally Equivalent"),TRUE,FALSE)</f>
        <v>0</v>
      </c>
      <c r="S47" s="1425"/>
      <c r="T47" s="1425"/>
      <c r="U47" s="3054"/>
      <c r="V47" s="4791"/>
      <c r="W47" s="4799"/>
      <c r="X47" s="1426"/>
      <c r="Y47" s="1426"/>
      <c r="Z47" s="1427"/>
    </row>
    <row r="48" spans="1:101" s="2" customFormat="1" ht="44.5" thickTop="1" thickBot="1" x14ac:dyDescent="0.35">
      <c r="A48" s="610"/>
      <c r="B48" s="1509" t="s">
        <v>483</v>
      </c>
      <c r="C48" s="2175" t="s">
        <v>488</v>
      </c>
      <c r="D48" s="1947" t="s">
        <v>565</v>
      </c>
      <c r="E48" s="1929" t="b">
        <f>IF(OR(E49=TRUE,E50=TRUE,E51=TRUE,E52=TRUE),TRUE,FALSE)</f>
        <v>0</v>
      </c>
      <c r="F48" s="1514">
        <f>COUNTIFS(E49:E52,"TRUE")</f>
        <v>0</v>
      </c>
      <c r="G48" s="1514">
        <f>COUNTIFS(E49:E52,TRUE,G49:G52,"Not Blank")</f>
        <v>0</v>
      </c>
      <c r="H48" s="1514">
        <f>COUNTIFS(E49:E52,FALSE,G49:G52,"Not Blank")</f>
        <v>0</v>
      </c>
      <c r="I48" s="2208" t="str">
        <f xml:space="preserve">
IF(F48&gt;1,"More than 1 not required - Check Yellow Lines",
IF(G48&lt;F48,"Valid Entry required below - Check Amber Line/s",
IF(AND(E48=FALSE,G48=0,H48=0),"Nothing Entered below Yet",
IF(G48&lt;F48,"Valid Entry required below - Check Amber Line/s",
IF(AND(G48=0,H48&gt;0),"**Non-Valid Entry/ies below - Check Yellow Line/s",
IF(AND(G48&gt;0,H48&gt;0),"**Valid and Non-Valid Entries made below - Check Yellow Line/s",
IF(AND(E48=FALSE,F48&lt;1),"Not all requirements addressed below - Check Pink Line/s",
IF(AND(E48=FALSE,G48&lt;1,G48&gt;0,H48=0),"More entries to come",
IF(AND(E48,TRUE,G48=1,H48=0),"Valid Entries made below"
)))))))))</f>
        <v>Nothing Entered below Yet</v>
      </c>
      <c r="J48" s="1677">
        <f>COUNTIFS(E49:E52,TRUE,J49:J52,"Not Blank")</f>
        <v>0</v>
      </c>
      <c r="K48" s="1677">
        <f>COUNTIFS(E49:E52,FALSE,J49:J52,"Not Blank")</f>
        <v>0</v>
      </c>
      <c r="L48" s="2208" t="str">
        <f xml:space="preserve">
IF(J48&gt;1,"More than one not required - Check Yellow Lines",
IF(J48&lt;F48,"Valid Entry required below - Check Amber Line/s",
IF(AND(E48=FALSE,J48=0,K48=0),"Nothing Entered below Yet",
IF(AND(J48=0,K48&gt;0),"**Non-Valid Entry/ies below - Check Yellow Line/s",
IF(AND(J48&gt;0,K48&gt;0),"**Valid and Non-Valid Entries made below - Check Yellow Line/s",
IF(AND(E48=FALSE,J48&lt;1),"Not all requirements addressed below - Check Pink Line/s",
IF(AND(E48=FALSE,J48&lt;1,J48&gt;0,K48=0),"More entries to come",
IF(AND(E48,TRUE,J48=1,K48=0),"Valid Entries made below"
))))))))</f>
        <v>Nothing Entered below Yet</v>
      </c>
      <c r="M48" s="2285"/>
      <c r="N48" s="4786" t="s">
        <v>3</v>
      </c>
      <c r="O48" s="4784" t="b">
        <f>IF(OR(N48="Compliant",N48="FE with work-a-round",N48="Functionally Equivalent"),TRUE,FALSE)</f>
        <v>0</v>
      </c>
      <c r="P48" s="3906"/>
      <c r="Q48" s="2281" t="s">
        <v>565</v>
      </c>
      <c r="R48" s="220" t="b">
        <f>IF(OR(R49=TRUE,R50=TRUE,R51=TRUE,R52=TRUE),TRUE,FALSE)</f>
        <v>0</v>
      </c>
      <c r="S48" s="406"/>
      <c r="T48" s="406"/>
      <c r="U48" s="1211"/>
      <c r="V48" s="4791" t="s">
        <v>3</v>
      </c>
      <c r="W48" s="4799" t="b">
        <f>IF(OR(V48="Compliant",V48="FE with work-a-round",V48="Functionally Equivalent",V48="Not Required/Applicable"),TRUE,FALSE)</f>
        <v>0</v>
      </c>
      <c r="X48" s="1433"/>
      <c r="Y48" s="1433"/>
      <c r="Z48" s="1434"/>
    </row>
    <row r="49" spans="1:101" s="2" customFormat="1" ht="30" thickTop="1" thickBot="1" x14ac:dyDescent="0.35">
      <c r="A49" s="610"/>
      <c r="B49" s="1504"/>
      <c r="C49" s="1806" t="s">
        <v>484</v>
      </c>
      <c r="D49" s="2219" t="s">
        <v>3</v>
      </c>
      <c r="E49" s="67" t="b">
        <f>IF(D49="Compliant",TRUE,FALSE)</f>
        <v>0</v>
      </c>
      <c r="F49" s="44"/>
      <c r="G49" s="44" t="str">
        <f>IF(I49&lt;&gt;"", "Not Blank", "")</f>
        <v/>
      </c>
      <c r="H49" s="44"/>
      <c r="I49" s="42"/>
      <c r="J49" s="44" t="str">
        <f t="shared" si="0"/>
        <v/>
      </c>
      <c r="K49" s="44"/>
      <c r="L49" s="42"/>
      <c r="M49" s="144"/>
      <c r="N49" s="4786"/>
      <c r="O49" s="4707"/>
      <c r="P49" s="1551"/>
      <c r="Q49" s="1863" t="s">
        <v>3</v>
      </c>
      <c r="R49" s="900" t="b">
        <f>IF(OR(Q49="Compliant",Q49="FE with work-a-round",Q49="Functionally Equivalent"),TRUE,FALSE)</f>
        <v>0</v>
      </c>
      <c r="S49" s="471"/>
      <c r="T49" s="471"/>
      <c r="U49" s="1218"/>
      <c r="V49" s="4791"/>
      <c r="W49" s="4799"/>
      <c r="X49" s="1431"/>
      <c r="Y49" s="1431"/>
      <c r="Z49" s="1432"/>
    </row>
    <row r="50" spans="1:101" s="2" customFormat="1" ht="30" thickTop="1" thickBot="1" x14ac:dyDescent="0.35">
      <c r="A50" s="610"/>
      <c r="B50" s="1504"/>
      <c r="C50" s="1717" t="s">
        <v>485</v>
      </c>
      <c r="D50" s="699" t="s">
        <v>3</v>
      </c>
      <c r="E50" s="67" t="b">
        <f>IF(D50="Compliant",TRUE,FALSE)</f>
        <v>0</v>
      </c>
      <c r="F50" s="44"/>
      <c r="G50" s="44" t="str">
        <f>IF(I50&lt;&gt;"", "Not Blank", "")</f>
        <v/>
      </c>
      <c r="H50" s="44"/>
      <c r="I50" s="44"/>
      <c r="J50" s="44" t="str">
        <f t="shared" si="0"/>
        <v/>
      </c>
      <c r="K50" s="44"/>
      <c r="L50" s="44"/>
      <c r="M50" s="68"/>
      <c r="N50" s="4786"/>
      <c r="O50" s="4707"/>
      <c r="P50" s="471"/>
      <c r="Q50" s="1060" t="s">
        <v>3</v>
      </c>
      <c r="R50" s="900" t="b">
        <f>IF(OR(Q50="Compliant",Q50="FE with work-a-round",Q50="Functionally Equivalent"),TRUE,FALSE)</f>
        <v>0</v>
      </c>
      <c r="S50" s="471"/>
      <c r="T50" s="471"/>
      <c r="U50" s="1218"/>
      <c r="V50" s="4791"/>
      <c r="W50" s="4799"/>
      <c r="X50" s="1431"/>
      <c r="Y50" s="1431"/>
      <c r="Z50" s="1432"/>
    </row>
    <row r="51" spans="1:101" s="2" customFormat="1" ht="44.4" customHeight="1" thickTop="1" thickBot="1" x14ac:dyDescent="0.35">
      <c r="A51" s="610"/>
      <c r="B51" s="1504"/>
      <c r="C51" s="1717" t="s">
        <v>486</v>
      </c>
      <c r="D51" s="699" t="s">
        <v>3</v>
      </c>
      <c r="E51" s="67" t="b">
        <f>IF(D51="Compliant",TRUE,FALSE)</f>
        <v>0</v>
      </c>
      <c r="F51" s="44"/>
      <c r="G51" s="44" t="str">
        <f>IF(I51&lt;&gt;"", "Not Blank", "")</f>
        <v/>
      </c>
      <c r="H51" s="44"/>
      <c r="I51" s="44"/>
      <c r="J51" s="44" t="str">
        <f t="shared" si="0"/>
        <v/>
      </c>
      <c r="K51" s="44"/>
      <c r="L51" s="44"/>
      <c r="M51" s="68"/>
      <c r="N51" s="4786"/>
      <c r="O51" s="4707"/>
      <c r="P51" s="471"/>
      <c r="Q51" s="1060" t="s">
        <v>3</v>
      </c>
      <c r="R51" s="900" t="b">
        <f>IF(OR(Q51="Compliant",Q51="FE with work-a-round",Q51="Functionally Equivalent"),TRUE,FALSE)</f>
        <v>0</v>
      </c>
      <c r="S51" s="471"/>
      <c r="T51" s="471"/>
      <c r="U51" s="1218"/>
      <c r="V51" s="4791"/>
      <c r="W51" s="4799"/>
      <c r="X51" s="1431"/>
      <c r="Y51" s="1431"/>
      <c r="Z51" s="1432"/>
    </row>
    <row r="52" spans="1:101" s="2" customFormat="1" ht="88" thickTop="1" thickBot="1" x14ac:dyDescent="0.35">
      <c r="A52" s="610"/>
      <c r="B52" s="1504"/>
      <c r="C52" s="1807" t="s">
        <v>487</v>
      </c>
      <c r="D52" s="700" t="s">
        <v>3</v>
      </c>
      <c r="E52" s="78" t="b">
        <f>IF(D52="Compliant",TRUE,FALSE)</f>
        <v>0</v>
      </c>
      <c r="F52" s="79"/>
      <c r="G52" s="79" t="str">
        <f>IF(I52&lt;&gt;"", "Not Blank", "")</f>
        <v/>
      </c>
      <c r="H52" s="79"/>
      <c r="I52" s="79"/>
      <c r="J52" s="79" t="str">
        <f t="shared" si="0"/>
        <v/>
      </c>
      <c r="K52" s="79"/>
      <c r="L52" s="79"/>
      <c r="M52" s="143"/>
      <c r="N52" s="4786"/>
      <c r="O52" s="4785"/>
      <c r="P52" s="1425"/>
      <c r="Q52" s="1017" t="s">
        <v>3</v>
      </c>
      <c r="R52" s="900" t="b">
        <f>IF(OR(Q52="Compliant",Q52="FE with work-a-round",Q52="Functionally Equivalent"),TRUE,FALSE)</f>
        <v>0</v>
      </c>
      <c r="S52" s="1425"/>
      <c r="T52" s="1425"/>
      <c r="U52" s="3054"/>
      <c r="V52" s="4791"/>
      <c r="W52" s="4799"/>
      <c r="X52" s="1426"/>
      <c r="Y52" s="1426"/>
      <c r="Z52" s="1427"/>
    </row>
    <row r="53" spans="1:101" s="2" customFormat="1" ht="30" thickTop="1" thickBot="1" x14ac:dyDescent="0.35">
      <c r="A53" s="610"/>
      <c r="B53" s="1509" t="s">
        <v>617</v>
      </c>
      <c r="C53" s="1734" t="s">
        <v>1852</v>
      </c>
      <c r="D53" s="1947" t="s">
        <v>565</v>
      </c>
      <c r="E53" s="1929" t="b">
        <f>IF(OR(E54=TRUE,E55=TRUE,E56=TRUE),TRUE,FALSE)</f>
        <v>0</v>
      </c>
      <c r="F53" s="1514">
        <f>COUNTIFS(E54:E56,"TRUE")</f>
        <v>0</v>
      </c>
      <c r="G53" s="1514">
        <f>COUNTIFS(E54:E56,TRUE,G54:G56,"Not Blank")</f>
        <v>0</v>
      </c>
      <c r="H53" s="1514">
        <f>COUNTIFS(E54:E56,FALSE,G54:G56,"Not Blank")</f>
        <v>0</v>
      </c>
      <c r="I53" s="2280" t="str">
        <f xml:space="preserve">
IF(F53&gt;1,"More than 1 not required - Check Yellow Lines",
IF(G53&lt;F53,"Valid Entry required below - Check Amber Line/s",
IF(AND(E53=FALSE,G53=0,H53=0),"Nothing Entered below Yet",
IF(G53&lt;F53,"Valid Entry required below - Check Amber Line/s",
IF(AND(G53=0,H53&gt;0),"**Non-Valid Entry/ies below - Check Yellow Line/s",
IF(AND(G53&gt;0,H53&gt;0),"**Valid and Non-Valid Entries made below - Check Yellow Line/s",
IF(AND(E53=FALSE,F53&lt;1),"Not all requirements addressed below - Check Pink Line/s",
IF(AND(E53=FALSE,G53&lt;1,G53&gt;0,H53=0),"More entries to come",
IF(AND(E53,TRUE,G53=1,H53=0),"Valid Entries made below"
)))))))))</f>
        <v>Nothing Entered below Yet</v>
      </c>
      <c r="J53" s="2155">
        <f>COUNTIFS(E54:E57,TRUE,J54:J57,"Not Blank")</f>
        <v>0</v>
      </c>
      <c r="K53" s="2155">
        <f>COUNTIFS(E54:E57,FALSE,J54:J57,"Not Blank")</f>
        <v>0</v>
      </c>
      <c r="L53" s="2155" t="str">
        <f xml:space="preserve">
IF(J53&gt;1,"More than one not required - Check Yellow Lines",
IF(J53&lt;F53,"Valid Entry required below - Check Amber Line/s",
IF(AND(E53=FALSE,J53=0,K53=0),"Nothing Entered below Yet",
IF(AND(J53=0,K53&gt;0),"**Non-Valid Entry/ies below - Check Yellow Line/s",
IF(AND(J53&gt;0,K53&gt;0),"**Valid and Non-Valid Entries made below - Check Yellow Line/s",
IF(AND(E53=FALSE,J53&lt;1),"Not all requirements addressed below - Check Pink Line/s",
IF(AND(E53=FALSE,J53&lt;1,J53&gt;0,K53=0),"More entries to come",
IF(AND(E53,TRUE,J53=1,K53=0),"Valid Entries made below"
))))))))</f>
        <v>Nothing Entered below Yet</v>
      </c>
      <c r="M53" s="2285"/>
      <c r="N53" s="4786" t="s">
        <v>3</v>
      </c>
      <c r="O53" s="4784" t="b">
        <f>IF(OR(N53="Compliant",N53="FE with work-a-round",N53="Functionally Equivalent"),TRUE,FALSE)</f>
        <v>0</v>
      </c>
      <c r="P53" s="3906"/>
      <c r="Q53" s="2281" t="s">
        <v>565</v>
      </c>
      <c r="R53" s="735" t="b">
        <f>IF(OR(R54=TRUE,R55=TRUE,R56=TRUE),TRUE,FALSE)</f>
        <v>0</v>
      </c>
      <c r="S53" s="406"/>
      <c r="T53" s="406"/>
      <c r="U53" s="1211"/>
      <c r="V53" s="4791" t="s">
        <v>3</v>
      </c>
      <c r="W53" s="4799" t="b">
        <f>IF(OR(V53="Compliant",V53="FE with work-a-round",V53="Functionally Equivalent",V53="Not Required/Applicable"),TRUE,FALSE)</f>
        <v>0</v>
      </c>
      <c r="X53" s="1433"/>
      <c r="Y53" s="1433"/>
      <c r="Z53" s="1434"/>
    </row>
    <row r="54" spans="1:101" s="2" customFormat="1" ht="30" thickTop="1" thickBot="1" x14ac:dyDescent="0.35">
      <c r="A54" s="610"/>
      <c r="B54" s="1504"/>
      <c r="C54" s="2167" t="s">
        <v>489</v>
      </c>
      <c r="D54" s="2219" t="s">
        <v>3</v>
      </c>
      <c r="E54" s="67" t="b">
        <f>IF(D54="Compliant",TRUE,FALSE)</f>
        <v>0</v>
      </c>
      <c r="F54" s="44"/>
      <c r="G54" s="44" t="str">
        <f>IF(I54&lt;&gt;"", "Not Blank", "")</f>
        <v/>
      </c>
      <c r="H54" s="44"/>
      <c r="I54" s="42"/>
      <c r="J54" s="42" t="str">
        <f t="shared" si="0"/>
        <v/>
      </c>
      <c r="K54" s="42"/>
      <c r="L54" s="2283"/>
      <c r="M54" s="2284"/>
      <c r="N54" s="4786"/>
      <c r="O54" s="4707"/>
      <c r="P54" s="1551"/>
      <c r="Q54" s="1863" t="s">
        <v>3</v>
      </c>
      <c r="R54" s="900" t="b">
        <f>IF(OR(Q54="Compliant",Q54="FE with work-a-round",Q54="Functionally Equivalent"),TRUE,FALSE)</f>
        <v>0</v>
      </c>
      <c r="S54" s="471"/>
      <c r="T54" s="471"/>
      <c r="U54" s="1218"/>
      <c r="V54" s="4791"/>
      <c r="W54" s="4799"/>
      <c r="X54" s="1431"/>
      <c r="Y54" s="1431"/>
      <c r="Z54" s="1432"/>
    </row>
    <row r="55" spans="1:101" s="2" customFormat="1" ht="73.5" thickTop="1" thickBot="1" x14ac:dyDescent="0.35">
      <c r="A55" s="610"/>
      <c r="B55" s="1504"/>
      <c r="C55" s="1717" t="s">
        <v>490</v>
      </c>
      <c r="D55" s="699" t="s">
        <v>3</v>
      </c>
      <c r="E55" s="67" t="b">
        <f>IF(D55="Compliant",TRUE,FALSE)</f>
        <v>0</v>
      </c>
      <c r="F55" s="44"/>
      <c r="G55" s="44" t="str">
        <f>IF(I55&lt;&gt;"", "Not Blank", "")</f>
        <v/>
      </c>
      <c r="H55" s="44"/>
      <c r="I55" s="44"/>
      <c r="J55" s="44" t="str">
        <f t="shared" si="0"/>
        <v/>
      </c>
      <c r="K55" s="44"/>
      <c r="L55" s="44"/>
      <c r="M55" s="68"/>
      <c r="N55" s="4786"/>
      <c r="O55" s="4707"/>
      <c r="P55" s="471"/>
      <c r="Q55" s="1060" t="s">
        <v>3</v>
      </c>
      <c r="R55" s="900" t="b">
        <f>IF(OR(Q55="Compliant",Q55="FE with work-a-round",Q55="Functionally Equivalent"),TRUE,FALSE)</f>
        <v>0</v>
      </c>
      <c r="S55" s="471"/>
      <c r="T55" s="471"/>
      <c r="U55" s="1218"/>
      <c r="V55" s="4791"/>
      <c r="W55" s="4799"/>
      <c r="X55" s="1431"/>
      <c r="Y55" s="1431"/>
      <c r="Z55" s="1432"/>
    </row>
    <row r="56" spans="1:101" s="2" customFormat="1" ht="59" thickTop="1" thickBot="1" x14ac:dyDescent="0.35">
      <c r="A56" s="610"/>
      <c r="B56" s="1504"/>
      <c r="C56" s="1807" t="s">
        <v>491</v>
      </c>
      <c r="D56" s="700" t="s">
        <v>3</v>
      </c>
      <c r="E56" s="78" t="b">
        <f>IF(D56="Compliant",TRUE,FALSE)</f>
        <v>0</v>
      </c>
      <c r="F56" s="79"/>
      <c r="G56" s="79" t="str">
        <f>IF(I56&lt;&gt;"", "Not Blank", "")</f>
        <v/>
      </c>
      <c r="H56" s="79"/>
      <c r="I56" s="79"/>
      <c r="J56" s="79" t="str">
        <f t="shared" si="0"/>
        <v/>
      </c>
      <c r="K56" s="79"/>
      <c r="L56" s="79"/>
      <c r="M56" s="143"/>
      <c r="N56" s="4786"/>
      <c r="O56" s="4785"/>
      <c r="P56" s="1425"/>
      <c r="Q56" s="1017" t="s">
        <v>3</v>
      </c>
      <c r="R56" s="900" t="b">
        <f>IF(OR(Q56="Compliant",Q56="FE with work-a-round",Q56="Functionally Equivalent"),TRUE,FALSE)</f>
        <v>0</v>
      </c>
      <c r="S56" s="1425"/>
      <c r="T56" s="1425"/>
      <c r="U56" s="3054"/>
      <c r="V56" s="4791"/>
      <c r="W56" s="4799"/>
      <c r="X56" s="1426"/>
      <c r="Y56" s="1426"/>
      <c r="Z56" s="1427"/>
    </row>
    <row r="57" spans="1:101" s="364" customFormat="1" ht="30" thickTop="1" thickBot="1" x14ac:dyDescent="0.35">
      <c r="A57" s="610"/>
      <c r="B57" s="1509" t="s">
        <v>492</v>
      </c>
      <c r="C57" s="2175" t="s">
        <v>493</v>
      </c>
      <c r="D57" s="2207" t="s">
        <v>565</v>
      </c>
      <c r="E57" s="1929" t="b">
        <f>IF(OR(E58=TRUE,E59=TRUE,E60=TRUE),TRUE,FALSE)</f>
        <v>0</v>
      </c>
      <c r="F57" s="1514">
        <f>COUNTIFS(E58:E60,"TRUE")</f>
        <v>0</v>
      </c>
      <c r="G57" s="1514">
        <f>COUNTIFS(E58:E60,TRUE,G58:G60,"Not Blank")</f>
        <v>0</v>
      </c>
      <c r="H57" s="1514">
        <f>COUNTIFS(E58:E60,FALSE,G58:G60,"Not Blank")</f>
        <v>0</v>
      </c>
      <c r="I57" s="2280" t="str">
        <f xml:space="preserve">
IF(F57&gt;1,"More than 1 not required - Check Yellow Lines",
IF(G57&lt;F57,"Valid Entry required below - Check Amber Line/s",
IF(AND(E57=FALSE,G57=0,H57=0),"Nothing Entered below Yet",
IF(G57&lt;F57,"Valid Entry required below - Check Amber Line/s",
IF(AND(G57=0,H57&gt;0),"**Non-Valid Entry/ies below - Check Yellow Line/s",
IF(AND(G57&gt;0,H57&gt;0),"**Valid and Non-Valid Entries made below - Check Yellow Line/s",
IF(AND(E57=FALSE,F57&lt;1),"Not all requirements addressed below - Check Pink Line/s",
IF(AND(E57=FALSE,G57&lt;1,G57&gt;0,H57=0),"More entries to come",
IF(AND(E57,TRUE,G57=1,H57=0),"Valid Entries made below"
)))))))))</f>
        <v>Nothing Entered below Yet</v>
      </c>
      <c r="J57" s="1514">
        <f>COUNTIFS(E58:E61,TRUE,J58:J61,"Not Blank")</f>
        <v>0</v>
      </c>
      <c r="K57" s="1514">
        <f>COUNTIFS(E58:E61,FALSE,J58:J61,"Not Blank")</f>
        <v>0</v>
      </c>
      <c r="L57" s="1727" t="str">
        <f xml:space="preserve">
IF(J57&gt;1,"More than one not required - Check Yellow Lines",
IF(J57&lt;F57,"Valid Entry required below - Check Amber Line/s",
IF(AND(E57=FALSE,J57=0,K57=0),"Nothing Entered below Yet",
IF(AND(J57=0,K57&gt;0),"**Non-Valid Entry/ies below - Check Yellow Line/s",
IF(AND(J57&gt;0,K57&gt;0),"**Valid and Non-Valid Entries made below - Check Yellow Line/s",
IF(AND(E57=FALSE,J57&lt;1),"Not all requirements addressed below - Check Pink Line/s",
IF(AND(E57=FALSE,J57&lt;1,J57&gt;0,K57=0),"More entries to come",
IF(AND(E57,TRUE,J57=1,K57=0),"Valid Entries made below"
))))))))</f>
        <v>Nothing Entered below Yet</v>
      </c>
      <c r="M57" s="861"/>
      <c r="N57" s="4786" t="s">
        <v>3</v>
      </c>
      <c r="O57" s="4784" t="b">
        <f>IF(OR(N57="Compliant",N57="FE with work-a-round",N57="Functionally Equivalent"),TRUE,FALSE)</f>
        <v>0</v>
      </c>
      <c r="P57" s="2390"/>
      <c r="Q57" s="2281" t="s">
        <v>565</v>
      </c>
      <c r="R57" s="735" t="b">
        <f>IF(OR(R58=TRUE,R59=TRUE,R60=TRUE),TRUE,FALSE)</f>
        <v>0</v>
      </c>
      <c r="S57" s="406"/>
      <c r="T57" s="406"/>
      <c r="U57" s="1211"/>
      <c r="V57" s="4791" t="s">
        <v>3</v>
      </c>
      <c r="W57" s="4799" t="b">
        <f>IF(OR(V57="Compliant",V57="FE with work-a-round",V57="Functionally Equivalent",V57="Not Required/Applicable"),TRUE,FALSE)</f>
        <v>0</v>
      </c>
      <c r="X57" s="1433"/>
      <c r="Y57" s="1433"/>
      <c r="Z57" s="1434"/>
      <c r="AA57" s="1957"/>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row>
    <row r="58" spans="1:101" s="27" customFormat="1" ht="30" thickTop="1" thickBot="1" x14ac:dyDescent="0.35">
      <c r="A58" s="610"/>
      <c r="B58" s="1504"/>
      <c r="C58" s="1806" t="s">
        <v>494</v>
      </c>
      <c r="D58" s="2096" t="s">
        <v>3</v>
      </c>
      <c r="E58" s="67" t="b">
        <f>IF(D58="Compliant",TRUE,FALSE)</f>
        <v>0</v>
      </c>
      <c r="F58" s="44"/>
      <c r="G58" s="44" t="str">
        <f>IF(I58&lt;&gt;"", "Not Blank", "")</f>
        <v/>
      </c>
      <c r="H58" s="44"/>
      <c r="I58" s="42"/>
      <c r="J58" s="44" t="str">
        <f t="shared" si="0"/>
        <v/>
      </c>
      <c r="K58" s="44"/>
      <c r="L58" s="2164"/>
      <c r="M58" s="2209"/>
      <c r="N58" s="4786"/>
      <c r="O58" s="4707"/>
      <c r="P58" s="42"/>
      <c r="Q58" s="1863" t="s">
        <v>3</v>
      </c>
      <c r="R58" s="900" t="b">
        <f>IF(OR(Q58="Compliant",Q58="FE with work-a-round",Q58="Functionally Equivalent"),TRUE,FALSE)</f>
        <v>0</v>
      </c>
      <c r="S58" s="44"/>
      <c r="T58" s="44"/>
      <c r="U58" s="68"/>
      <c r="V58" s="4791"/>
      <c r="W58" s="4799"/>
      <c r="X58" s="44"/>
      <c r="Y58" s="44"/>
      <c r="Z58" s="122"/>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101" s="27" customFormat="1" ht="73.5" thickTop="1" thickBot="1" x14ac:dyDescent="0.35">
      <c r="A59" s="610"/>
      <c r="B59" s="1504"/>
      <c r="C59" s="1717" t="s">
        <v>495</v>
      </c>
      <c r="D59" s="699" t="s">
        <v>3</v>
      </c>
      <c r="E59" s="67" t="b">
        <f>IF(D59="Compliant",TRUE,FALSE)</f>
        <v>0</v>
      </c>
      <c r="F59" s="44"/>
      <c r="G59" s="44" t="str">
        <f>IF(I59&lt;&gt;"", "Not Blank", "")</f>
        <v/>
      </c>
      <c r="H59" s="44"/>
      <c r="I59" s="44"/>
      <c r="J59" s="44" t="str">
        <f t="shared" si="0"/>
        <v/>
      </c>
      <c r="K59" s="44"/>
      <c r="L59" s="44"/>
      <c r="M59" s="68"/>
      <c r="N59" s="4786"/>
      <c r="O59" s="4707"/>
      <c r="P59" s="44"/>
      <c r="Q59" s="1060" t="s">
        <v>3</v>
      </c>
      <c r="R59" s="900" t="b">
        <f>IF(OR(Q59="Compliant",Q59="FE with work-a-round",Q59="Functionally Equivalent"),TRUE,FALSE)</f>
        <v>0</v>
      </c>
      <c r="S59" s="44"/>
      <c r="T59" s="44"/>
      <c r="U59" s="68"/>
      <c r="V59" s="4791"/>
      <c r="W59" s="4799"/>
      <c r="X59" s="44"/>
      <c r="Y59" s="44"/>
      <c r="Z59" s="122"/>
      <c r="AA59" s="65"/>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40"/>
    </row>
    <row r="60" spans="1:101" s="27" customFormat="1" ht="59" thickTop="1" thickBot="1" x14ac:dyDescent="0.35">
      <c r="A60" s="610"/>
      <c r="B60" s="1504"/>
      <c r="C60" s="1807" t="s">
        <v>496</v>
      </c>
      <c r="D60" s="700" t="s">
        <v>3</v>
      </c>
      <c r="E60" s="78" t="b">
        <f>IF(D60="Compliant",TRUE,FALSE)</f>
        <v>0</v>
      </c>
      <c r="F60" s="79"/>
      <c r="G60" s="79" t="str">
        <f>IF(I60&lt;&gt;"", "Not Blank", "")</f>
        <v/>
      </c>
      <c r="H60" s="79"/>
      <c r="I60" s="79"/>
      <c r="J60" s="79" t="str">
        <f t="shared" si="0"/>
        <v/>
      </c>
      <c r="K60" s="79"/>
      <c r="L60" s="79"/>
      <c r="M60" s="143"/>
      <c r="N60" s="4786"/>
      <c r="O60" s="4785"/>
      <c r="P60" s="79"/>
      <c r="Q60" s="1060" t="s">
        <v>3</v>
      </c>
      <c r="R60" s="900" t="b">
        <f>IF(OR(Q60="Compliant",Q60="FE with work-a-round",Q60="Functionally Equivalent"),TRUE,FALSE)</f>
        <v>0</v>
      </c>
      <c r="S60" s="79"/>
      <c r="T60" s="79"/>
      <c r="U60" s="143"/>
      <c r="V60" s="4791"/>
      <c r="W60" s="4799"/>
      <c r="X60" s="79"/>
      <c r="Y60" s="79"/>
      <c r="Z60" s="127"/>
      <c r="AA60" s="65"/>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40"/>
    </row>
    <row r="61" spans="1:101" s="27" customFormat="1" ht="73.5" thickTop="1" thickBot="1" x14ac:dyDescent="0.35">
      <c r="A61" s="610"/>
      <c r="B61" s="1509" t="s">
        <v>467</v>
      </c>
      <c r="C61" s="1809" t="s">
        <v>616</v>
      </c>
      <c r="D61" s="1923" t="s">
        <v>1671</v>
      </c>
      <c r="E61" s="231" t="b">
        <f>E162</f>
        <v>0</v>
      </c>
      <c r="F61" s="133"/>
      <c r="G61" s="133" t="str">
        <f>IF(I61&lt;&gt;"", "Not Blank", "")</f>
        <v/>
      </c>
      <c r="H61" s="133"/>
      <c r="I61" s="133"/>
      <c r="J61" s="133" t="str">
        <f t="shared" si="0"/>
        <v/>
      </c>
      <c r="K61" s="133"/>
      <c r="L61" s="133"/>
      <c r="M61" s="579"/>
      <c r="N61" s="1955" t="s">
        <v>3</v>
      </c>
      <c r="O61" s="850" t="b">
        <f>IF(OR(N61="Compliant",N61="FE with work-a-round",N61="Functionally Equivalent"),TRUE,FALSE)</f>
        <v>0</v>
      </c>
      <c r="P61" s="1555"/>
      <c r="Q61" s="1017" t="s">
        <v>3</v>
      </c>
      <c r="R61" s="901" t="b">
        <f>R162</f>
        <v>0</v>
      </c>
      <c r="S61" s="1555"/>
      <c r="T61" s="1555"/>
      <c r="U61" s="1556"/>
      <c r="V61" s="1188" t="s">
        <v>3</v>
      </c>
      <c r="W61" s="274" t="b">
        <f>IF(OR(V61="Compliant",V61="FE with work-a-round",V61="Functionally Equivalent",V61="Not Required/Applicable"),TRUE,FALSE)</f>
        <v>0</v>
      </c>
      <c r="X61" s="133"/>
      <c r="Y61" s="133"/>
      <c r="Z61" s="134"/>
      <c r="AA61" s="65"/>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40"/>
    </row>
    <row r="62" spans="1:101" s="3668" customFormat="1" ht="15" thickTop="1" x14ac:dyDescent="0.3">
      <c r="A62" s="3819"/>
      <c r="B62" s="3634"/>
      <c r="C62" s="3634"/>
      <c r="D62" s="3634"/>
      <c r="E62" s="3634"/>
      <c r="F62" s="3634"/>
      <c r="G62" s="3634"/>
      <c r="H62" s="3634"/>
      <c r="I62" s="3634"/>
      <c r="J62" s="3634"/>
      <c r="K62" s="3634"/>
      <c r="L62" s="3634"/>
      <c r="M62" s="3634"/>
      <c r="N62" s="3634"/>
      <c r="O62" s="3634"/>
      <c r="P62" s="3634"/>
      <c r="Q62" s="3634"/>
      <c r="R62" s="3643"/>
      <c r="S62" s="3634"/>
      <c r="T62" s="3634"/>
      <c r="U62" s="3634"/>
      <c r="V62" s="3634"/>
      <c r="W62" s="3634"/>
      <c r="X62" s="3634"/>
      <c r="Y62" s="3634"/>
      <c r="Z62" s="3634"/>
      <c r="AA62" s="3634"/>
      <c r="AB62" s="3634"/>
      <c r="AC62" s="3634"/>
      <c r="AD62" s="3634"/>
      <c r="AE62" s="3634"/>
      <c r="AF62" s="3634"/>
      <c r="AG62" s="3634"/>
      <c r="AH62" s="3634"/>
      <c r="AI62" s="3634"/>
      <c r="AJ62" s="3634"/>
      <c r="AK62" s="3634"/>
      <c r="AL62" s="3634"/>
      <c r="AM62" s="3634"/>
      <c r="AN62" s="3634"/>
      <c r="AO62" s="3634"/>
      <c r="AP62" s="3634"/>
      <c r="AQ62" s="3634"/>
      <c r="AR62" s="3634"/>
      <c r="AS62" s="3634"/>
      <c r="AT62" s="3634"/>
      <c r="AU62" s="3634"/>
      <c r="AV62" s="3634"/>
      <c r="AW62" s="3634"/>
      <c r="AX62" s="3634"/>
      <c r="AY62" s="3634"/>
      <c r="AZ62" s="3634"/>
      <c r="BA62" s="3634"/>
      <c r="BB62" s="3634"/>
      <c r="BC62" s="3634"/>
      <c r="BD62" s="3634"/>
      <c r="BE62" s="3634"/>
      <c r="BF62" s="3634"/>
      <c r="BG62" s="3634"/>
      <c r="BH62" s="3634"/>
      <c r="BI62" s="3634"/>
      <c r="BJ62" s="3634"/>
      <c r="BK62" s="3634"/>
      <c r="BL62" s="3634"/>
      <c r="BM62" s="3634"/>
      <c r="BN62" s="3634"/>
      <c r="BO62" s="3634"/>
      <c r="BP62" s="3634"/>
      <c r="BQ62" s="3634"/>
      <c r="BR62" s="3634"/>
      <c r="BS62" s="3634"/>
      <c r="BT62" s="3634"/>
      <c r="BU62" s="3634"/>
      <c r="BV62" s="3634"/>
      <c r="BW62" s="3634"/>
      <c r="BX62" s="3634"/>
      <c r="BY62" s="3634"/>
      <c r="BZ62" s="3634"/>
      <c r="CA62" s="3634"/>
      <c r="CB62" s="3634"/>
      <c r="CC62" s="3634"/>
      <c r="CD62" s="3634"/>
      <c r="CE62" s="3634"/>
      <c r="CF62" s="3634"/>
    </row>
    <row r="63" spans="1:101" s="3805" customFormat="1" ht="18.5" x14ac:dyDescent="0.3">
      <c r="A63" s="4781" t="s">
        <v>1200</v>
      </c>
      <c r="B63" s="4781"/>
      <c r="C63" s="4781"/>
      <c r="D63" s="4781"/>
      <c r="E63" s="4781"/>
      <c r="F63" s="4781"/>
      <c r="G63" s="4781"/>
      <c r="H63" s="4781"/>
      <c r="I63" s="4781"/>
      <c r="J63" s="4781"/>
      <c r="K63" s="4781"/>
      <c r="L63" s="4781"/>
      <c r="M63" s="3817"/>
      <c r="R63" s="3820"/>
      <c r="V63" s="3806"/>
      <c r="W63" s="3806"/>
      <c r="AA63" s="3634"/>
      <c r="AB63" s="3634"/>
      <c r="AC63" s="3634"/>
      <c r="AD63" s="3634"/>
      <c r="AE63" s="3634"/>
      <c r="AF63" s="3634"/>
      <c r="AG63" s="3634"/>
      <c r="AH63" s="3634"/>
      <c r="AI63" s="3634"/>
      <c r="AJ63" s="3634"/>
      <c r="AK63" s="3634"/>
      <c r="AL63" s="3634"/>
      <c r="AM63" s="3634"/>
      <c r="AN63" s="3634"/>
      <c r="AO63" s="3634"/>
      <c r="AP63" s="3634"/>
      <c r="AQ63" s="3634"/>
      <c r="AR63" s="3634"/>
      <c r="AS63" s="3634"/>
      <c r="AT63" s="3634"/>
      <c r="AU63" s="3634"/>
      <c r="AV63" s="3634"/>
      <c r="AW63" s="3634"/>
      <c r="AX63" s="3634"/>
      <c r="AY63" s="3634"/>
      <c r="AZ63" s="3634"/>
      <c r="BA63" s="3634"/>
      <c r="BB63" s="3634"/>
      <c r="BC63" s="3634"/>
      <c r="BD63" s="3634"/>
      <c r="BE63" s="3634"/>
      <c r="BF63" s="3634"/>
      <c r="BG63" s="3634"/>
      <c r="BH63" s="3634"/>
      <c r="BI63" s="3634"/>
      <c r="BJ63" s="3634"/>
      <c r="BK63" s="3634"/>
      <c r="BL63" s="3634"/>
      <c r="BM63" s="3634"/>
      <c r="BN63" s="3634"/>
      <c r="BO63" s="3634"/>
      <c r="BP63" s="3634"/>
      <c r="BQ63" s="3634"/>
      <c r="BR63" s="3634"/>
      <c r="BS63" s="3634"/>
      <c r="BT63" s="3634"/>
      <c r="BU63" s="3634"/>
      <c r="BV63" s="3634"/>
      <c r="BW63" s="3634"/>
      <c r="BX63" s="3634"/>
      <c r="BY63" s="3634"/>
      <c r="BZ63" s="3634"/>
      <c r="CA63" s="3634"/>
      <c r="CB63" s="3634"/>
      <c r="CC63" s="3634"/>
      <c r="CD63" s="3634"/>
      <c r="CE63" s="3634"/>
      <c r="CF63" s="3634"/>
      <c r="CG63" s="3634"/>
      <c r="CH63" s="3634"/>
      <c r="CI63" s="3634"/>
      <c r="CJ63" s="3634"/>
      <c r="CK63" s="3634"/>
      <c r="CL63" s="3634"/>
      <c r="CM63" s="3634"/>
      <c r="CN63" s="3634"/>
      <c r="CO63" s="3634"/>
      <c r="CP63" s="3634"/>
      <c r="CQ63" s="3634"/>
      <c r="CR63" s="3634"/>
      <c r="CS63" s="3634"/>
      <c r="CT63" s="3634"/>
      <c r="CU63" s="3634"/>
      <c r="CV63" s="3634"/>
      <c r="CW63" s="3634"/>
    </row>
    <row r="64" spans="1:101" s="3678" customFormat="1" ht="15" thickBot="1" x14ac:dyDescent="0.35">
      <c r="A64" s="3819"/>
      <c r="B64" s="3634"/>
      <c r="C64" s="3634"/>
      <c r="D64" s="3634"/>
      <c r="E64" s="3634"/>
      <c r="F64" s="3634"/>
      <c r="G64" s="3634"/>
      <c r="H64" s="3634"/>
      <c r="I64" s="3634"/>
      <c r="J64" s="3634"/>
      <c r="K64" s="3634"/>
      <c r="L64" s="3634"/>
      <c r="M64" s="3634"/>
      <c r="N64" s="3636"/>
      <c r="O64" s="3636"/>
      <c r="P64" s="3634"/>
      <c r="Q64" s="3634"/>
      <c r="R64" s="3643"/>
      <c r="S64" s="3634"/>
      <c r="T64" s="3634"/>
      <c r="U64" s="3634"/>
      <c r="V64" s="3639"/>
      <c r="W64" s="3639"/>
      <c r="X64" s="3634"/>
      <c r="Y64" s="3634"/>
      <c r="Z64" s="3634"/>
      <c r="AA64" s="3634"/>
      <c r="AB64" s="3634"/>
      <c r="AC64" s="3634"/>
      <c r="AD64" s="3634"/>
      <c r="AE64" s="3634"/>
      <c r="AF64" s="3634"/>
      <c r="AG64" s="3634"/>
      <c r="AH64" s="3634"/>
      <c r="AI64" s="3634"/>
      <c r="AJ64" s="3634"/>
      <c r="AK64" s="3634"/>
      <c r="AL64" s="3634"/>
      <c r="AM64" s="3634"/>
      <c r="AN64" s="3634"/>
      <c r="AO64" s="3634"/>
      <c r="AP64" s="3634"/>
      <c r="AQ64" s="3634"/>
      <c r="AR64" s="3634"/>
      <c r="AS64" s="3634"/>
      <c r="AT64" s="3634"/>
      <c r="AU64" s="3634"/>
      <c r="AV64" s="3634"/>
      <c r="AW64" s="3634"/>
      <c r="AX64" s="3634"/>
      <c r="AY64" s="3634"/>
      <c r="AZ64" s="3634"/>
      <c r="BA64" s="3634"/>
      <c r="BB64" s="3634"/>
      <c r="BC64" s="3634"/>
      <c r="BD64" s="3634"/>
      <c r="BE64" s="3634"/>
      <c r="BF64" s="3634"/>
      <c r="BG64" s="3634"/>
      <c r="BH64" s="3634"/>
      <c r="BI64" s="3634"/>
      <c r="BJ64" s="3634"/>
      <c r="BK64" s="3634"/>
      <c r="BL64" s="3634"/>
      <c r="BM64" s="3634"/>
      <c r="BN64" s="3634"/>
      <c r="BO64" s="3634"/>
      <c r="BP64" s="3634"/>
      <c r="BQ64" s="3634"/>
      <c r="BR64" s="3634"/>
      <c r="BS64" s="3634"/>
      <c r="BT64" s="3634"/>
      <c r="BU64" s="3634"/>
      <c r="BV64" s="3634"/>
      <c r="BW64" s="3634"/>
      <c r="BX64" s="3634"/>
      <c r="BY64" s="3634"/>
      <c r="BZ64" s="3634"/>
      <c r="CA64" s="3634"/>
      <c r="CB64" s="3634"/>
      <c r="CC64" s="3634"/>
      <c r="CD64" s="3634"/>
      <c r="CE64" s="3634"/>
      <c r="CF64" s="3634"/>
    </row>
    <row r="65" spans="1:101" s="27" customFormat="1" ht="44.5" thickTop="1" thickBot="1" x14ac:dyDescent="0.35">
      <c r="A65" s="610">
        <v>5</v>
      </c>
      <c r="B65" s="1509" t="s">
        <v>618</v>
      </c>
      <c r="C65" s="1734" t="s">
        <v>1790</v>
      </c>
      <c r="D65" s="1925" t="s">
        <v>565</v>
      </c>
      <c r="E65" s="1940" t="b">
        <f>IF(AND(E69=TRUE,E67=TRUE,E68=TRUE),TRUE)</f>
        <v>0</v>
      </c>
      <c r="F65" s="1514">
        <f>COUNTIF(E67:E69,TRUE)</f>
        <v>0</v>
      </c>
      <c r="G65" s="1514">
        <f>COUNTIFS(E67:E69,TRUE,G67:G69,"Not Blank")</f>
        <v>0</v>
      </c>
      <c r="H65" s="1514">
        <f>COUNTIFS(E67:E69,FALSE,G67:G69,"Not Blank")</f>
        <v>0</v>
      </c>
      <c r="I65" s="1497" t="str">
        <f xml:space="preserve">
IF(F65&gt;4,"Too Many Entries - Check Red Lines",
IF(G65&lt;F65,"Valid Entry required below - Check Amber Line/s",
IF(AND(E65=FALSE,G65=0,H65=0),"Nothing Entered below Yet",
IF(G65&lt;F65,"Valid Entry required below - Check Amber Line/s",
IF(AND(G65=0,H65&gt;0),"**Non-Valid Entry/ies below - Check Yellow Line/s",
IF(AND(G65&gt;0,H65&gt;0),"**Valid and Non-Valid Entries made below - Check Yellow Line/s",
IF(AND(E65=FALSE,F65&lt;4),"Not all requirements addressed below - Check Pink Line/s",
IF(AND(E65=FALSE,G65&lt;4,G65&gt;0,H65=0),"More entries to come",
IF(AND(E65,TRUE,G65=4,H65=0),"Valid Entries made below"
)))))))))</f>
        <v>Nothing Entered below Yet</v>
      </c>
      <c r="J65" s="1514">
        <f>COUNTIFS(E67:E69,TRUE,J67:J69,"Not Blank")</f>
        <v>0</v>
      </c>
      <c r="K65" s="1514">
        <f>COUNTIFS(E67:E69,FALSE,J67:J69,"Not Blank")</f>
        <v>0</v>
      </c>
      <c r="L65" s="1727" t="str">
        <f xml:space="preserve">
IF(J65&gt;4,"Too Many Entries - Check Red Lines",
IF(J65&lt;F65,"Valid Entry required below - Check Amber Line/s",
IF(AND(E65=FALSE,J65=0,K65=0),"Nothing Entered below Yet",
IF(AND(J65=0,K65&gt;0),"**Non-Valid Entry/ies below - Check Yellow Line/s",
IF(AND(J65&gt;0,K65&gt;0),"**Valid and Non-Valid Entries made below - Check Yellow Line/s",
IF(AND(E65=FALSE,J65&lt;4),"Not all requirements addressed below - Check Pink Line/s",
IF(AND(E65=FALSE,J65&lt;4,J65&gt;0,K65=0),"More entries to come",
IF(AND(E65,TRUE,J65=4,K65=0),"Valid Entries made below"
))))))))</f>
        <v>Nothing Entered below Yet</v>
      </c>
      <c r="M65" s="134"/>
      <c r="N65" s="4719" t="s">
        <v>3</v>
      </c>
      <c r="O65" s="4784" t="b">
        <f>IF(OR(N65="Compliant",N65="FE with work-a-round",N65="Functionally Equivalent"),TRUE,FALSE)</f>
        <v>0</v>
      </c>
      <c r="P65" s="134"/>
      <c r="Q65" s="1871" t="s">
        <v>565</v>
      </c>
      <c r="R65" s="735" t="b">
        <f>IF(AND(R69=TRUE,R67=TRUE,R68=TRUE),TRUE)</f>
        <v>0</v>
      </c>
      <c r="S65" s="111"/>
      <c r="T65" s="111"/>
      <c r="U65" s="211"/>
      <c r="V65" s="4446" t="s">
        <v>3</v>
      </c>
      <c r="W65" s="4765" t="b">
        <f>IF(OR(V65="Compliant",V65="FE with work-a-round",V65="Functionally Equivalent",V65="Not Required/Applicable"),TRUE,FALSE)</f>
        <v>0</v>
      </c>
      <c r="X65" s="111"/>
      <c r="Y65" s="111"/>
      <c r="Z65" s="120"/>
      <c r="AA65" s="65"/>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40"/>
    </row>
    <row r="66" spans="1:101" s="27" customFormat="1" ht="29.5" thickTop="1" x14ac:dyDescent="0.3">
      <c r="A66" s="610"/>
      <c r="B66" s="1504" t="s">
        <v>1672</v>
      </c>
      <c r="C66" s="1722" t="s">
        <v>1673</v>
      </c>
      <c r="D66" s="2010" t="s">
        <v>565</v>
      </c>
      <c r="E66" s="1940" t="b">
        <f>IF(AND(E67=TRUE,E68=TRUE,E69=TRUE),TRUE,FALSE)</f>
        <v>0</v>
      </c>
      <c r="F66" s="1517">
        <f>COUNTIF(E67:E68,TRUE)</f>
        <v>0</v>
      </c>
      <c r="G66" s="1517" cm="1">
        <f t="array" ref="G66">COUNTIFS(E67:E68,T2RUE,G67:G68,"Not Blank")*2</f>
        <v>0</v>
      </c>
      <c r="H66" s="1517">
        <f>COUNTIFS(E67:E68,FALSE,G67:G68,"Not Blank")*2</f>
        <v>0</v>
      </c>
      <c r="I66" s="2155" t="str">
        <f xml:space="preserve">
IF(F66&gt;2,"Too Many Entries - Check Red Lines",
IF(G66&lt;F66,"Valid Entry required below - Check Amber Line/s",
IF(AND(E66=FALSE,G66=0,H66=0),"Nothing Entered below Yet",
IF(G66&lt;F66,"Valid Entry required below - Check Amber Line/s",
IF(AND(G66=0,H66&gt;0),"**Non-Valid Entry/ies below - Check Yellow Line/s",
IF(AND(G66&gt;0,H66&gt;0),"**Valid and Non-Valid Entries made below - Check Yellow Line/s",
IF(AND(E66=FALSE,F66&lt;2),"Not all requirements addressed below - Check Pink Line/s",
IF(AND(E66=FALSE,G66&lt;2,G66&gt;0,H66=0),"More entries to come",
IF(AND(E66,TRUE,G66=2,H66=0),"Valid Entries made below"
)))))))))</f>
        <v>Nothing Entered below Yet</v>
      </c>
      <c r="J66" s="1517">
        <f>COUNTIFS(E67:E68,TRUE,J67:J68,"Not Blank")</f>
        <v>0</v>
      </c>
      <c r="K66" s="1517">
        <f>COUNTIFS(E67:E68,FALSE,J67:J68,"Not Blank")</f>
        <v>0</v>
      </c>
      <c r="L66" s="1727" t="str">
        <f xml:space="preserve">
IF(J66&gt;2,"Too Many Entries - Check Red Lines",
IF(J66&lt;F66,"Valid Entry required below - Check Amber Line/s",
IF(AND(E66=FALSE,J66=0,K66=0),"Nothing Entered below Yet",
IF(AND(J66=0,K66&gt;0),"**Non-Valid Entry/ies below - Check Yellow Line/s",
IF(AND(J66&gt;0,K66&gt;0),"**Valid and Non-Valid Entries made below - Check Yellow Line/s",
IF(AND(E66=FALSE,J66&lt;2),"Not all requirements addressed below - Check Pink Line/s",
IF(AND(E66=FALSE,J66&lt;2,J66&gt;0,K66=0),"More entries to come",
IF(AND(E66,TRUE,J66=2,K66=0),"Valid Entries made below"
))))))))</f>
        <v>Nothing Entered below Yet</v>
      </c>
      <c r="M66" s="987"/>
      <c r="N66" s="4447"/>
      <c r="O66" s="4707"/>
      <c r="P66" s="2176"/>
      <c r="Q66" s="1871" t="s">
        <v>565</v>
      </c>
      <c r="R66" s="840" t="b">
        <f>IF(AND(R67=TRUE,R68=TRUE,R69=TRUE),TRUE,FALSE)</f>
        <v>0</v>
      </c>
      <c r="S66" s="44"/>
      <c r="T66" s="44"/>
      <c r="U66" s="68"/>
      <c r="V66" s="4447"/>
      <c r="W66" s="4766"/>
      <c r="X66" s="44"/>
      <c r="Y66" s="44"/>
      <c r="Z66" s="122"/>
      <c r="AA66" s="65"/>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40"/>
    </row>
    <row r="67" spans="1:101" s="27" customFormat="1" ht="29" x14ac:dyDescent="0.3">
      <c r="A67" s="610"/>
      <c r="B67" s="1504"/>
      <c r="C67" s="2167" t="s">
        <v>1522</v>
      </c>
      <c r="D67" s="2180" t="s">
        <v>3</v>
      </c>
      <c r="E67" s="67" t="b">
        <f>IF(D67="Compliant",TRUE,FALSE)</f>
        <v>0</v>
      </c>
      <c r="F67" s="44"/>
      <c r="G67" s="44" t="str">
        <f>IF(I67&lt;&gt;"", "Not Blank", "")</f>
        <v/>
      </c>
      <c r="H67" s="44"/>
      <c r="I67" s="42"/>
      <c r="J67" s="44"/>
      <c r="K67" s="44"/>
      <c r="L67" s="2164"/>
      <c r="M67" s="2177"/>
      <c r="N67" s="4447"/>
      <c r="O67" s="4707"/>
      <c r="P67" s="42"/>
      <c r="Q67" s="2214" t="s">
        <v>3</v>
      </c>
      <c r="R67" s="898" t="b">
        <f>IF(OR(Q67="Compliant",Q67="FE with work-a-round",Q67="Functionally Equivalent"),TRUE,FALSE)</f>
        <v>0</v>
      </c>
      <c r="S67" s="44"/>
      <c r="T67" s="44"/>
      <c r="U67" s="68"/>
      <c r="V67" s="4447"/>
      <c r="W67" s="4766"/>
      <c r="X67" s="44"/>
      <c r="Y67" s="44"/>
      <c r="Z67" s="122"/>
      <c r="AA67" s="65"/>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40"/>
    </row>
    <row r="68" spans="1:101" s="27" customFormat="1" ht="29.5" thickBot="1" x14ac:dyDescent="0.35">
      <c r="A68" s="610"/>
      <c r="B68" s="1504"/>
      <c r="C68" s="1717" t="s">
        <v>619</v>
      </c>
      <c r="D68" s="690" t="s">
        <v>3</v>
      </c>
      <c r="E68" s="67" t="b">
        <f>IF(D68="Compliant",TRUE,FALSE)</f>
        <v>0</v>
      </c>
      <c r="F68" s="44"/>
      <c r="G68" s="44" t="str">
        <f>IF(I68&lt;&gt;"", "Not Blank", "")</f>
        <v/>
      </c>
      <c r="H68" s="44"/>
      <c r="I68" s="44"/>
      <c r="J68" s="44"/>
      <c r="K68" s="44"/>
      <c r="L68" s="44"/>
      <c r="M68" s="68"/>
      <c r="N68" s="4447"/>
      <c r="O68" s="4707"/>
      <c r="P68" s="44"/>
      <c r="Q68" s="1060" t="s">
        <v>3</v>
      </c>
      <c r="R68" s="899" t="b">
        <f>IF(OR(Q68="Compliant",Q68="FE with work-a-round",Q68="Functionally Equivalent"),TRUE,FALSE)</f>
        <v>0</v>
      </c>
      <c r="S68" s="44"/>
      <c r="T68" s="44"/>
      <c r="U68" s="68"/>
      <c r="V68" s="4447"/>
      <c r="W68" s="4766"/>
      <c r="X68" s="44"/>
      <c r="Y68" s="44"/>
      <c r="Z68" s="122"/>
      <c r="AA68" s="65"/>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101" s="27" customFormat="1" ht="102.5" thickTop="1" thickBot="1" x14ac:dyDescent="0.35">
      <c r="A69" s="610"/>
      <c r="B69" s="1504"/>
      <c r="C69" s="1800" t="s">
        <v>620</v>
      </c>
      <c r="D69" s="691" t="s">
        <v>3</v>
      </c>
      <c r="E69" s="161" t="b">
        <f>IF(D69="Compliant",TRUE,FALSE)</f>
        <v>0</v>
      </c>
      <c r="F69" s="124"/>
      <c r="G69" s="124" t="str">
        <f>IF(I69&lt;&gt;"", "Not Blank", "")</f>
        <v/>
      </c>
      <c r="H69" s="124"/>
      <c r="I69" s="124"/>
      <c r="J69" s="124"/>
      <c r="K69" s="124"/>
      <c r="L69" s="124"/>
      <c r="M69" s="246"/>
      <c r="N69" s="4448"/>
      <c r="O69" s="4708"/>
      <c r="P69" s="124"/>
      <c r="Q69" s="1017" t="s">
        <v>3</v>
      </c>
      <c r="R69" s="453" t="b">
        <f>IF(OR(Q69="Compliant",Q69="FE with work-a-round",Q69="Functionally Equivalent"),TRUE,FALSE)</f>
        <v>0</v>
      </c>
      <c r="S69" s="124"/>
      <c r="T69" s="124"/>
      <c r="U69" s="246"/>
      <c r="V69" s="4448"/>
      <c r="W69" s="4767"/>
      <c r="X69" s="124"/>
      <c r="Y69" s="124"/>
      <c r="Z69" s="125"/>
      <c r="AA69" s="65"/>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101" s="3826" customFormat="1" ht="15" thickTop="1" x14ac:dyDescent="0.3">
      <c r="A70" s="3821"/>
      <c r="B70" s="3822"/>
      <c r="C70" s="3821"/>
      <c r="D70" s="3821"/>
      <c r="E70" s="3821"/>
      <c r="F70" s="3821"/>
      <c r="G70" s="3823"/>
      <c r="H70" s="3824"/>
      <c r="I70" s="3825"/>
      <c r="N70" s="3827"/>
      <c r="O70" s="3827"/>
      <c r="R70" s="3827"/>
      <c r="V70" s="3828"/>
      <c r="W70" s="3828"/>
    </row>
    <row r="71" spans="1:101" s="3839" customFormat="1" ht="18.5" x14ac:dyDescent="0.3">
      <c r="A71" s="4782" t="s">
        <v>1137</v>
      </c>
      <c r="B71" s="4783"/>
      <c r="C71" s="4783"/>
      <c r="D71" s="4783"/>
      <c r="E71" s="4783"/>
      <c r="F71" s="4783"/>
      <c r="G71" s="4783"/>
      <c r="H71" s="4783"/>
      <c r="I71" s="4783"/>
      <c r="J71" s="4783"/>
      <c r="K71" s="4783"/>
      <c r="L71" s="4783"/>
      <c r="M71" s="4783"/>
      <c r="N71" s="4783"/>
      <c r="O71" s="3829"/>
      <c r="P71" s="3830"/>
      <c r="Q71" s="3830"/>
      <c r="R71" s="3831"/>
      <c r="S71" s="3832"/>
      <c r="T71" s="3833"/>
      <c r="U71" s="3833"/>
      <c r="V71" s="3834"/>
      <c r="W71" s="3834"/>
      <c r="X71" s="3835"/>
      <c r="Y71" s="3836"/>
      <c r="Z71" s="3837"/>
      <c r="AA71" s="3838"/>
      <c r="AB71" s="3838"/>
      <c r="AC71" s="3838"/>
      <c r="AD71" s="3838"/>
      <c r="AE71" s="3838"/>
      <c r="AF71" s="3838"/>
      <c r="AG71" s="3838"/>
      <c r="AH71" s="3838"/>
      <c r="AI71" s="3838"/>
      <c r="AJ71" s="3838"/>
      <c r="AK71" s="3838"/>
      <c r="AL71" s="3838"/>
      <c r="AM71" s="3838"/>
      <c r="AN71" s="3838"/>
      <c r="AO71" s="3838"/>
      <c r="AP71" s="3838"/>
      <c r="AQ71" s="3838"/>
      <c r="AR71" s="3838"/>
      <c r="AS71" s="3838"/>
      <c r="AT71" s="3838"/>
      <c r="AU71" s="3838"/>
      <c r="AV71" s="3838"/>
      <c r="AW71" s="3838"/>
      <c r="AX71" s="3838"/>
      <c r="AY71" s="3838"/>
      <c r="AZ71" s="3838"/>
      <c r="BA71" s="3838"/>
      <c r="BB71" s="3838"/>
      <c r="BC71" s="3838"/>
      <c r="BD71" s="3838"/>
      <c r="BE71" s="3838"/>
      <c r="BF71" s="3838"/>
      <c r="BG71" s="3838"/>
      <c r="BH71" s="3838"/>
      <c r="BI71" s="3838"/>
      <c r="BJ71" s="3838"/>
      <c r="BK71" s="3838"/>
      <c r="BL71" s="3838"/>
      <c r="BM71" s="3838"/>
      <c r="BN71" s="3838"/>
      <c r="BO71" s="3838"/>
      <c r="BP71" s="3838"/>
      <c r="BQ71" s="3838"/>
      <c r="BR71" s="3838"/>
      <c r="BS71" s="3838"/>
      <c r="BT71" s="3838"/>
      <c r="BU71" s="3838"/>
      <c r="BV71" s="3838"/>
      <c r="BW71" s="3838"/>
      <c r="BX71" s="3838"/>
      <c r="BY71" s="3838"/>
      <c r="BZ71" s="3838"/>
      <c r="CA71" s="3838"/>
      <c r="CB71" s="3838"/>
      <c r="CC71" s="3838"/>
      <c r="CD71" s="3838"/>
      <c r="CE71" s="3838"/>
      <c r="CF71" s="3838"/>
      <c r="CG71" s="3838"/>
      <c r="CH71" s="3838"/>
      <c r="CI71" s="3838"/>
      <c r="CJ71" s="3838"/>
      <c r="CK71" s="3838"/>
      <c r="CL71" s="3838"/>
      <c r="CM71" s="3838"/>
      <c r="CN71" s="3838"/>
      <c r="CO71" s="3838"/>
      <c r="CP71" s="3838"/>
      <c r="CQ71" s="3838"/>
      <c r="CR71" s="3838"/>
      <c r="CS71" s="3838"/>
      <c r="CT71" s="3838"/>
      <c r="CU71" s="3838"/>
      <c r="CV71" s="3838"/>
      <c r="CW71" s="3838"/>
    </row>
    <row r="72" spans="1:101" s="3838" customFormat="1" ht="15" thickBot="1" x14ac:dyDescent="0.35">
      <c r="A72" s="3821"/>
      <c r="B72" s="3840"/>
      <c r="C72" s="3826"/>
      <c r="D72" s="3826"/>
      <c r="E72" s="3821"/>
      <c r="F72" s="3821"/>
      <c r="G72" s="3841"/>
      <c r="H72" s="3821"/>
      <c r="I72" s="3826"/>
      <c r="J72" s="3827"/>
      <c r="K72" s="3827"/>
      <c r="L72" s="3826"/>
      <c r="M72" s="3826"/>
      <c r="N72" s="3842"/>
      <c r="O72" s="3842"/>
      <c r="P72" s="3843"/>
      <c r="Q72" s="3843"/>
      <c r="R72" s="3842"/>
      <c r="S72" s="3843"/>
      <c r="T72" s="3843"/>
      <c r="U72" s="3843"/>
      <c r="V72" s="3844"/>
      <c r="W72" s="3844"/>
      <c r="X72" s="3844"/>
      <c r="Y72" s="3844"/>
      <c r="Z72" s="3844"/>
    </row>
    <row r="73" spans="1:101" s="369" customFormat="1" ht="32.15" customHeight="1" thickTop="1" thickBot="1" x14ac:dyDescent="0.35">
      <c r="A73" s="198"/>
      <c r="B73" s="1907" t="s">
        <v>474</v>
      </c>
      <c r="C73" s="2276" t="s">
        <v>670</v>
      </c>
      <c r="D73" s="1988" t="s">
        <v>1195</v>
      </c>
      <c r="E73" s="1989" t="b" cm="1">
        <f t="array" ref="E73">IF(AND(E74=TRUE,E75:E77=TRUE),TRUE,FALSE)</f>
        <v>0</v>
      </c>
      <c r="F73" s="1990">
        <f>COUNTIF(E74:E77,TRUE)</f>
        <v>0</v>
      </c>
      <c r="G73" s="1991">
        <f>COUNTIFS(E74:E77,TRUE,G74:G77,"Not Blank")</f>
        <v>0</v>
      </c>
      <c r="H73" s="1990">
        <f>COUNTIFS(E74:E77,FALSE,G74:G77,"Not Blank")</f>
        <v>0</v>
      </c>
      <c r="I73" s="2278" t="str">
        <f xml:space="preserve">
IF(F73&gt;4,"Too Many Entries - Check Red Lines",
IF(G73&lt;F73,"Valid Entry required below - Check Amber Line/s",
IF(AND(E73=FALSE,G73=0,H73=0),"Nothing Entered below Yet",
IF(G73&lt;F73,"Valid Entry required below - Check Amber Line/s",
IF(AND(G73=0,H73&gt;0),"**Non-Valid Entry/ies below - Check Yellow Line/s",
IF(AND(G73&gt;0,H73&gt;0),"**Valid and Non-Valid Entries made below - Check Yellow Line/s",
IF(AND(E73=FALSE,F73&lt;4),"Not all requirements addressed below - Check Pink Line/s",
IF(AND(E73=FALSE,G73&lt;4,G73&gt;0,H73=0),"More entries to come",
IF(AND(E73,TRUE,G73=4,H73=0),"Valid Entries made below"
)))))))))</f>
        <v>Nothing Entered below Yet</v>
      </c>
      <c r="J73" s="1993">
        <f>COUNTIFS(E74:E77,TRUE,J74:J77,"Not Blank")</f>
        <v>0</v>
      </c>
      <c r="K73" s="1993">
        <f>COUNTIFS(E74:E77,FALSE,J74:J77,"Not Blank")</f>
        <v>0</v>
      </c>
      <c r="L73" s="2271" t="str">
        <f xml:space="preserve">
IF(J73&gt;4,"Too Many Entries - Check Red Lines",
IF(J73&lt;F73,"Valid Entry required below - Check Amber Line/s",
IF(AND(E73=FALSE,J73=0,K73=0),"Nothing Entered below Yet",
IF(AND(J73=0,K73&gt;0),"**Non-Valid Entry/ies below - Check Yellow Line/s",
IF(AND(J73&gt;0,K73&gt;0),"**Valid and Non-Valid Entries made below - Check Yellow Line/s",
IF(AND(E73=FALSE,J73&lt;4),"Not all requirements addressed below - Check Pink Line/s",
IF(AND(E73=FALSE,J73&lt;4,J73&gt;0,K73=0),"More entries to come",
IF(AND(E73,TRUE,J73=4,K73=0),"Valid Entries made below"
))))))))</f>
        <v>Nothing Entered below Yet</v>
      </c>
      <c r="M73" s="3905"/>
      <c r="N73" s="4446" t="s">
        <v>3</v>
      </c>
      <c r="O73" s="4586" t="b">
        <f>IF(OR(N73="Compliant",N73="FE with work-a-round",N73="Functionally Equivalent"),TRUE,FALSE)</f>
        <v>0</v>
      </c>
      <c r="P73" s="579"/>
      <c r="Q73" s="1914" t="s">
        <v>565</v>
      </c>
      <c r="R73" s="814" t="b" cm="1">
        <f t="array" ref="R73">IF(AND(R74=TRUE,R75:R77=TRUE),TRUE,FALSE)</f>
        <v>0</v>
      </c>
      <c r="S73" s="111"/>
      <c r="T73" s="111"/>
      <c r="U73" s="211"/>
      <c r="V73" s="4446" t="s">
        <v>3</v>
      </c>
      <c r="W73" s="4765" t="b">
        <f>IF(OR(V73="Compliant",V73="FE with work-a-round",V73="Functionally Equivalent",V73="Not Required/Applicable"),TRUE,FALSE)</f>
        <v>0</v>
      </c>
      <c r="X73" s="612"/>
      <c r="Y73" s="612"/>
      <c r="Z73" s="374"/>
      <c r="AA73" s="375"/>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517"/>
    </row>
    <row r="74" spans="1:101" s="369" customFormat="1" ht="44" thickTop="1" x14ac:dyDescent="0.3">
      <c r="A74" s="198"/>
      <c r="B74" s="1908"/>
      <c r="C74" s="2277" t="s">
        <v>2268</v>
      </c>
      <c r="D74" s="1135" t="s">
        <v>3</v>
      </c>
      <c r="E74" s="1058" t="b">
        <f>IF(D74="Compliant",TRUE,FALSE)</f>
        <v>0</v>
      </c>
      <c r="F74" s="493"/>
      <c r="G74" s="494" t="str">
        <f>IF(I74&lt;&gt;"", "Not Blank", "")</f>
        <v/>
      </c>
      <c r="H74" s="495"/>
      <c r="I74" s="2815"/>
      <c r="J74" s="373" t="str">
        <f>IF(L74&lt;&gt;"", "Not Blank", "")</f>
        <v/>
      </c>
      <c r="K74" s="373"/>
      <c r="L74" s="612"/>
      <c r="M74" s="2279"/>
      <c r="N74" s="4447"/>
      <c r="O74" s="4587"/>
      <c r="P74" s="497"/>
      <c r="Q74" s="1863" t="s">
        <v>3</v>
      </c>
      <c r="R74" s="833" t="b">
        <f>IF(OR(Q74="Compliant",Q74="FE with work-a-round",Q74="Functionally Equivalent"),TRUE,FALSE)</f>
        <v>0</v>
      </c>
      <c r="S74" s="44"/>
      <c r="T74" s="44"/>
      <c r="U74" s="68"/>
      <c r="V74" s="4447"/>
      <c r="W74" s="4766"/>
      <c r="X74" s="613"/>
      <c r="Y74" s="613"/>
      <c r="Z74" s="370"/>
      <c r="AA74" s="375"/>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517"/>
    </row>
    <row r="75" spans="1:101" s="369" customFormat="1" ht="43.5" x14ac:dyDescent="0.3">
      <c r="A75" s="198"/>
      <c r="B75" s="1908"/>
      <c r="C75" s="1994" t="s">
        <v>1950</v>
      </c>
      <c r="D75" s="1060" t="s">
        <v>3</v>
      </c>
      <c r="E75" s="1058" t="b">
        <f>IF(D75="Compliant",TRUE,FALSE)</f>
        <v>0</v>
      </c>
      <c r="F75" s="493"/>
      <c r="G75" s="494" t="str">
        <f>IF(I75&lt;&gt;"", "Not Blank", "")</f>
        <v/>
      </c>
      <c r="H75" s="495"/>
      <c r="I75" s="2816"/>
      <c r="J75" s="373" t="str">
        <f>IF(L75&lt;&gt;"", "Not Blank", "")</f>
        <v/>
      </c>
      <c r="K75" s="373"/>
      <c r="L75" s="613"/>
      <c r="M75" s="843"/>
      <c r="N75" s="4447"/>
      <c r="O75" s="4587"/>
      <c r="P75" s="845"/>
      <c r="Q75" s="1060" t="s">
        <v>3</v>
      </c>
      <c r="R75" s="898" t="b">
        <f>IF(OR(Q75="Compliant",Q75="FE with work-a-round",Q75="Functionally Equivalent"),TRUE,FALSE)</f>
        <v>0</v>
      </c>
      <c r="S75" s="613"/>
      <c r="T75" s="613"/>
      <c r="U75" s="843"/>
      <c r="V75" s="4447"/>
      <c r="W75" s="4766"/>
      <c r="X75" s="613"/>
      <c r="Y75" s="613"/>
      <c r="Z75" s="370"/>
      <c r="AA75" s="375"/>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8"/>
      <c r="CD75" s="198"/>
      <c r="CE75" s="198"/>
      <c r="CF75" s="517"/>
    </row>
    <row r="76" spans="1:101" s="369" customFormat="1" ht="261" x14ac:dyDescent="0.3">
      <c r="A76" s="198"/>
      <c r="B76" s="1908"/>
      <c r="C76" s="1994" t="s">
        <v>1248</v>
      </c>
      <c r="D76" s="1060" t="s">
        <v>3</v>
      </c>
      <c r="E76" s="1058" t="b">
        <f>IF(D76="Compliant",TRUE,FALSE)</f>
        <v>0</v>
      </c>
      <c r="F76" s="493"/>
      <c r="G76" s="494" t="str">
        <f>IF(I76&lt;&gt;"", "Not Blank", "")</f>
        <v/>
      </c>
      <c r="H76" s="495"/>
      <c r="I76" s="2816"/>
      <c r="J76" s="373" t="str">
        <f>IF(L76&lt;&gt;"", "Not Blank", "")</f>
        <v/>
      </c>
      <c r="K76" s="373"/>
      <c r="L76" s="613"/>
      <c r="M76" s="843"/>
      <c r="N76" s="4447"/>
      <c r="O76" s="4587"/>
      <c r="P76" s="845"/>
      <c r="Q76" s="1060" t="s">
        <v>3</v>
      </c>
      <c r="R76" s="898" t="b">
        <f>IF(OR(Q76="Compliant",Q76="FE with work-a-round",Q76="Functionally Equivalent"),TRUE,FALSE)</f>
        <v>0</v>
      </c>
      <c r="S76" s="613"/>
      <c r="T76" s="613"/>
      <c r="U76" s="843"/>
      <c r="V76" s="4447"/>
      <c r="W76" s="4766"/>
      <c r="X76" s="613"/>
      <c r="Y76" s="613"/>
      <c r="Z76" s="370"/>
      <c r="AA76" s="375"/>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517"/>
    </row>
    <row r="77" spans="1:101" s="369" customFormat="1" ht="44" thickBot="1" x14ac:dyDescent="0.35">
      <c r="A77" s="187"/>
      <c r="B77" s="1908"/>
      <c r="C77" s="1995" t="s">
        <v>1948</v>
      </c>
      <c r="D77" s="1017" t="s">
        <v>3</v>
      </c>
      <c r="E77" s="1059" t="b">
        <f>IF(D77="Compliant",TRUE,FALSE)</f>
        <v>0</v>
      </c>
      <c r="F77" s="603"/>
      <c r="G77" s="604" t="str">
        <f>IF(I77&lt;&gt;"", "Not Blank", "")</f>
        <v/>
      </c>
      <c r="H77" s="605"/>
      <c r="I77" s="2817"/>
      <c r="J77" s="372" t="str">
        <f>IF(L77&lt;&gt;"", "Not Blank", "")</f>
        <v/>
      </c>
      <c r="K77" s="372"/>
      <c r="L77" s="614"/>
      <c r="M77" s="844"/>
      <c r="N77" s="4448"/>
      <c r="O77" s="4588"/>
      <c r="P77" s="846"/>
      <c r="Q77" s="1017" t="s">
        <v>3</v>
      </c>
      <c r="R77" s="899" t="b">
        <f>IF(OR(Q77="Compliant",Q77="FE with work-a-round",Q77="Functionally Equivalent"),TRUE,FALSE)</f>
        <v>0</v>
      </c>
      <c r="S77" s="614"/>
      <c r="T77" s="614"/>
      <c r="U77" s="844"/>
      <c r="V77" s="4448"/>
      <c r="W77" s="4767"/>
      <c r="X77" s="614"/>
      <c r="Y77" s="614"/>
      <c r="Z77" s="371"/>
      <c r="AA77" s="375"/>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517"/>
    </row>
    <row r="78" spans="1:101" s="3852" customFormat="1" ht="16" thickTop="1" x14ac:dyDescent="0.3">
      <c r="A78" s="3822"/>
      <c r="B78" s="3826"/>
      <c r="C78" s="3845"/>
      <c r="D78" s="3846"/>
      <c r="E78" s="3821"/>
      <c r="F78" s="3821"/>
      <c r="G78" s="3847"/>
      <c r="H78" s="3848"/>
      <c r="I78" s="3849"/>
      <c r="J78" s="3827"/>
      <c r="K78" s="3827"/>
      <c r="L78" s="3826"/>
      <c r="M78" s="3826"/>
      <c r="N78" s="3827"/>
      <c r="O78" s="3827"/>
      <c r="P78" s="3826"/>
      <c r="Q78" s="3826"/>
      <c r="R78" s="3827"/>
      <c r="S78" s="3826"/>
      <c r="T78" s="3826"/>
      <c r="U78" s="3826"/>
      <c r="V78" s="3850"/>
      <c r="W78" s="3850"/>
      <c r="X78" s="3826"/>
      <c r="Y78" s="3826"/>
      <c r="Z78" s="3826"/>
      <c r="AA78" s="3826"/>
      <c r="AB78" s="3826"/>
      <c r="AC78" s="3826"/>
      <c r="AD78" s="3826"/>
      <c r="AE78" s="3826"/>
      <c r="AF78" s="3826"/>
      <c r="AG78" s="3826"/>
      <c r="AH78" s="3826"/>
      <c r="AI78" s="3826"/>
      <c r="AJ78" s="3826"/>
      <c r="AK78" s="3826"/>
      <c r="AL78" s="3826"/>
      <c r="AM78" s="3826"/>
      <c r="AN78" s="3826"/>
      <c r="AO78" s="3826"/>
      <c r="AP78" s="3826"/>
      <c r="AQ78" s="3826"/>
      <c r="AR78" s="3826"/>
      <c r="AS78" s="3826"/>
      <c r="AT78" s="3826"/>
      <c r="AU78" s="3826"/>
      <c r="AV78" s="3826"/>
      <c r="AW78" s="3826"/>
      <c r="AX78" s="3826"/>
      <c r="AY78" s="3826"/>
      <c r="AZ78" s="3826"/>
      <c r="BA78" s="3826"/>
      <c r="BB78" s="3826"/>
      <c r="BC78" s="3826"/>
      <c r="BD78" s="3826"/>
      <c r="BE78" s="3826"/>
      <c r="BF78" s="3826"/>
      <c r="BG78" s="3826"/>
      <c r="BH78" s="3826"/>
      <c r="BI78" s="3826"/>
      <c r="BJ78" s="3826"/>
      <c r="BK78" s="3826"/>
      <c r="BL78" s="3826"/>
      <c r="BM78" s="3826"/>
      <c r="BN78" s="3826"/>
      <c r="BO78" s="3826"/>
      <c r="BP78" s="3826"/>
      <c r="BQ78" s="3826"/>
      <c r="BR78" s="3826"/>
      <c r="BS78" s="3826"/>
      <c r="BT78" s="3826"/>
      <c r="BU78" s="3826"/>
      <c r="BV78" s="3826"/>
      <c r="BW78" s="3826"/>
      <c r="BX78" s="3826"/>
      <c r="BY78" s="3826"/>
      <c r="BZ78" s="3826"/>
      <c r="CA78" s="3826"/>
      <c r="CB78" s="3826"/>
      <c r="CC78" s="3826"/>
      <c r="CD78" s="3826"/>
      <c r="CE78" s="3826"/>
      <c r="CF78" s="3851"/>
    </row>
    <row r="79" spans="1:101" s="3805" customFormat="1" ht="18.5" x14ac:dyDescent="0.3">
      <c r="A79" s="4780" t="s">
        <v>1201</v>
      </c>
      <c r="B79" s="4780"/>
      <c r="C79" s="4780"/>
      <c r="D79" s="3853"/>
      <c r="E79" s="3853"/>
      <c r="F79" s="3853"/>
      <c r="G79" s="3853"/>
      <c r="H79" s="3853"/>
      <c r="I79" s="3853"/>
      <c r="J79" s="3853"/>
      <c r="K79" s="3853"/>
      <c r="L79" s="3853"/>
      <c r="M79" s="3853"/>
      <c r="N79" s="3854"/>
      <c r="O79" s="3854"/>
      <c r="R79" s="3855"/>
      <c r="V79" s="3856"/>
      <c r="W79" s="3856"/>
      <c r="AA79" s="3634"/>
      <c r="AB79" s="3634"/>
      <c r="AC79" s="3634"/>
      <c r="AD79" s="3634"/>
      <c r="AE79" s="3634"/>
      <c r="AF79" s="3634"/>
      <c r="AG79" s="3634"/>
      <c r="AH79" s="3634"/>
      <c r="AI79" s="3634"/>
      <c r="AJ79" s="3634"/>
      <c r="AK79" s="3634"/>
      <c r="AL79" s="3634"/>
      <c r="AM79" s="3634"/>
      <c r="AN79" s="3634"/>
      <c r="AO79" s="3634"/>
      <c r="AP79" s="3634"/>
      <c r="AQ79" s="3634"/>
      <c r="AR79" s="3634"/>
      <c r="AS79" s="3634"/>
      <c r="AT79" s="3634"/>
      <c r="AU79" s="3634"/>
      <c r="AV79" s="3634"/>
      <c r="AW79" s="3634"/>
      <c r="AX79" s="3634"/>
      <c r="AY79" s="3634"/>
      <c r="AZ79" s="3634"/>
      <c r="BA79" s="3634"/>
      <c r="BB79" s="3634"/>
      <c r="BC79" s="3634"/>
      <c r="BD79" s="3634"/>
      <c r="BE79" s="3634"/>
      <c r="BF79" s="3634"/>
      <c r="BG79" s="3634"/>
      <c r="BH79" s="3634"/>
      <c r="BI79" s="3634"/>
      <c r="BJ79" s="3634"/>
      <c r="BK79" s="3634"/>
      <c r="BL79" s="3634"/>
      <c r="BM79" s="3634"/>
      <c r="BN79" s="3634"/>
      <c r="BO79" s="3634"/>
      <c r="BP79" s="3634"/>
      <c r="BQ79" s="3634"/>
      <c r="BR79" s="3634"/>
      <c r="BS79" s="3634"/>
      <c r="BT79" s="3634"/>
      <c r="BU79" s="3634"/>
      <c r="BV79" s="3634"/>
      <c r="BW79" s="3634"/>
      <c r="BX79" s="3634"/>
      <c r="BY79" s="3634"/>
      <c r="BZ79" s="3634"/>
      <c r="CA79" s="3634"/>
      <c r="CB79" s="3634"/>
      <c r="CC79" s="3634"/>
      <c r="CD79" s="3634"/>
      <c r="CE79" s="3634"/>
      <c r="CF79" s="3634"/>
      <c r="CG79" s="3634"/>
      <c r="CH79" s="3634"/>
      <c r="CI79" s="3634"/>
      <c r="CJ79" s="3634"/>
      <c r="CK79" s="3634"/>
      <c r="CL79" s="3634"/>
      <c r="CM79" s="3634"/>
      <c r="CN79" s="3634"/>
      <c r="CO79" s="3634"/>
      <c r="CP79" s="3634"/>
      <c r="CQ79" s="3634"/>
      <c r="CR79" s="3634"/>
      <c r="CS79" s="3634"/>
      <c r="CT79" s="3634"/>
      <c r="CU79" s="3634"/>
      <c r="CV79" s="3634"/>
      <c r="CW79" s="3634"/>
    </row>
    <row r="80" spans="1:101" s="3678" customFormat="1" ht="19" thickBot="1" x14ac:dyDescent="0.35">
      <c r="A80" s="3857"/>
      <c r="B80" s="3858"/>
      <c r="C80" s="3858"/>
      <c r="D80" s="3859"/>
      <c r="E80" s="3859"/>
      <c r="F80" s="3859"/>
      <c r="G80" s="3859"/>
      <c r="H80" s="3859"/>
      <c r="I80" s="3859"/>
      <c r="J80" s="3859"/>
      <c r="K80" s="3859"/>
      <c r="L80" s="3860"/>
      <c r="M80" s="3860"/>
      <c r="N80" s="3861"/>
      <c r="O80" s="3861"/>
      <c r="P80" s="3634"/>
      <c r="Q80" s="3634"/>
      <c r="R80" s="3862"/>
      <c r="S80" s="3634"/>
      <c r="T80" s="3634"/>
      <c r="U80" s="3634"/>
      <c r="V80" s="3863"/>
      <c r="W80" s="3863"/>
      <c r="X80" s="3634"/>
      <c r="Y80" s="3634"/>
      <c r="Z80" s="3634"/>
      <c r="AA80" s="3634"/>
      <c r="AB80" s="3634"/>
      <c r="AC80" s="3634"/>
      <c r="AD80" s="3634"/>
      <c r="AE80" s="3634"/>
      <c r="AF80" s="3634"/>
      <c r="AG80" s="3634"/>
      <c r="AH80" s="3634"/>
      <c r="AI80" s="3634"/>
      <c r="AJ80" s="3634"/>
      <c r="AK80" s="3634"/>
      <c r="AL80" s="3634"/>
      <c r="AM80" s="3634"/>
      <c r="AN80" s="3634"/>
      <c r="AO80" s="3634"/>
      <c r="AP80" s="3634"/>
      <c r="AQ80" s="3634"/>
      <c r="AR80" s="3634"/>
      <c r="AS80" s="3634"/>
      <c r="AT80" s="3634"/>
      <c r="AU80" s="3634"/>
      <c r="AV80" s="3634"/>
      <c r="AW80" s="3634"/>
      <c r="AX80" s="3634"/>
      <c r="AY80" s="3634"/>
      <c r="AZ80" s="3634"/>
      <c r="BA80" s="3634"/>
      <c r="BB80" s="3634"/>
      <c r="BC80" s="3634"/>
      <c r="BD80" s="3634"/>
      <c r="BE80" s="3634"/>
      <c r="BF80" s="3634"/>
      <c r="BG80" s="3634"/>
      <c r="BH80" s="3634"/>
      <c r="BI80" s="3634"/>
      <c r="BJ80" s="3634"/>
      <c r="BK80" s="3634"/>
      <c r="BL80" s="3634"/>
      <c r="BM80" s="3634"/>
      <c r="BN80" s="3634"/>
      <c r="BO80" s="3634"/>
      <c r="BP80" s="3634"/>
      <c r="BQ80" s="3634"/>
      <c r="BR80" s="3634"/>
      <c r="BS80" s="3634"/>
      <c r="BT80" s="3634"/>
      <c r="BU80" s="3634"/>
      <c r="BV80" s="3634"/>
      <c r="BW80" s="3634"/>
      <c r="BX80" s="3634"/>
      <c r="BY80" s="3634"/>
      <c r="BZ80" s="3634"/>
      <c r="CA80" s="3634"/>
      <c r="CB80" s="3634"/>
      <c r="CC80" s="3634"/>
      <c r="CD80" s="3634"/>
      <c r="CE80" s="3634"/>
      <c r="CF80" s="3634"/>
    </row>
    <row r="81" spans="1:101" s="528" customFormat="1" ht="47.5" thickTop="1" thickBot="1" x14ac:dyDescent="0.35">
      <c r="A81" s="665"/>
      <c r="B81" s="1996" t="s">
        <v>1358</v>
      </c>
      <c r="C81" s="1997" t="s">
        <v>497</v>
      </c>
      <c r="D81" s="1998" t="s">
        <v>565</v>
      </c>
      <c r="E81" s="1999" t="b">
        <f>IF(AND(E82,TRUE,E91,E102,TRUE),TRUE,FALSE)</f>
        <v>0</v>
      </c>
      <c r="F81" s="2000">
        <f>SUM(F83,F87)</f>
        <v>0</v>
      </c>
      <c r="G81" s="2000">
        <f>SUM(G83,G87)</f>
        <v>0</v>
      </c>
      <c r="H81" s="2000">
        <f>SUM(H83,H87)</f>
        <v>0</v>
      </c>
      <c r="I81" s="2001" t="str">
        <f xml:space="preserve">
IF(F81&gt;25,"Too Many Entries - Check Red Lines",
IF(G81&lt;F81,"Valid Entry required below - Check Amber Line/s",
IF(AND(E81=FALSE,G81=0,H81=0),"Nothing Entered below Yet",
IF(G81&lt;F81,"Valid Entry required below - Check Amber Line/s",
IF(AND(G81=0,H81&gt;0),"**Non-Valid Entry/ies below - Check Yellow Line/s",
IF(AND(G81&gt;0,H81&gt;0),"**Valid and Non-Valid Entries made below - Check Yellow Line/s",
IF(AND(E81=FALSE,F81&lt;25),"Not all requirements addressed below - Check Pink Line/s",
IF(AND(E81=FALSE,G81&lt;25,G81&gt;0,H81=0),"More entries to come",
IF(AND(E81,TRUE,G81=25,H81=0),"Valid Entries made below"
)))))))))</f>
        <v>Nothing Entered below Yet</v>
      </c>
      <c r="J81" s="2000">
        <f>SUM(J83,J87)</f>
        <v>0</v>
      </c>
      <c r="K81" s="2000">
        <f>SUM(K83,K87)</f>
        <v>0</v>
      </c>
      <c r="L81" s="2000" t="str">
        <f xml:space="preserve">
IF(J81&gt;25,"Too Many Entries - Check Red Lines",
IF(J81&lt;F81,"Valid Entry required below - Check Amber Line/s",
IF(AND(E81=FALSE,J81=0,K81=0),"Nothing Entered below Yet",
IF(AND(J81=0,K81&gt;0),"**Non-Valid Entry/ies below - Check Yellow Line/s",
IF(AND(J81&gt;0,K81&gt;0),"**Valid and Non-Valid Entries made below - Check Yellow Line/s",
IF(AND(E81=FALSE,J81&lt;25),"Not all requirements addressed below - Check Pink Line/s",
IF(AND(E81=FALSE,J81&lt;25,J81&gt;0,K81=0),"More entries to come",
IF(AND(E81,TRUE,J81=25,K81=0),"Valid Entries made below"
))))))))</f>
        <v>Nothing Entered below Yet</v>
      </c>
      <c r="M81" s="3864"/>
      <c r="N81" s="1824" t="s">
        <v>565</v>
      </c>
      <c r="O81" s="88" t="b">
        <f>IF(AND(O83=TRUE,O87=TRUE,O94=TRUE,O98=TRUE,O101=TRUE,O110=TRUE,O111,TRUE),TRUE,FALSE)</f>
        <v>0</v>
      </c>
      <c r="P81" s="462"/>
      <c r="Q81" s="1824" t="s">
        <v>565</v>
      </c>
      <c r="R81" s="734" t="b">
        <f>IF(AND(R82,TRUE,R91,R102,TRUE),TRUE,FALSE)</f>
        <v>0</v>
      </c>
      <c r="S81" s="336"/>
      <c r="T81" s="336"/>
      <c r="U81" s="640"/>
      <c r="V81" s="1824" t="s">
        <v>565</v>
      </c>
      <c r="W81" s="424" t="b">
        <f>IF(AND(W83=TRUE,W87=TRUE,W94=TRUE,W98=TRUE,W101=TRUE,W110=TRUE,W111,TRUE),TRUE,FALSE)</f>
        <v>0</v>
      </c>
      <c r="X81" s="3864"/>
      <c r="Y81" s="3864"/>
      <c r="Z81" s="3865"/>
      <c r="AA81" s="1958"/>
      <c r="AB81" s="1958"/>
      <c r="AC81" s="1958"/>
      <c r="AD81" s="1958"/>
      <c r="AE81" s="1958"/>
      <c r="AF81" s="1958"/>
      <c r="AG81" s="1958"/>
      <c r="AH81" s="1958"/>
      <c r="AI81" s="1958"/>
      <c r="AJ81" s="1958"/>
      <c r="AK81" s="1958"/>
      <c r="AL81" s="1958"/>
      <c r="AM81" s="1958"/>
      <c r="AN81" s="1958"/>
      <c r="AO81" s="1958"/>
      <c r="AP81" s="1958"/>
      <c r="AQ81" s="1958"/>
      <c r="AR81" s="1958"/>
      <c r="AS81" s="1958"/>
      <c r="AT81" s="1958"/>
      <c r="AU81" s="1958"/>
      <c r="AV81" s="1958"/>
      <c r="AW81" s="1958"/>
      <c r="AX81" s="1958"/>
      <c r="AY81" s="1958"/>
      <c r="AZ81" s="1958"/>
      <c r="BA81" s="1958"/>
      <c r="BB81" s="1958"/>
      <c r="BC81" s="1958"/>
      <c r="BD81" s="1958"/>
      <c r="BE81" s="1958"/>
      <c r="BF81" s="1958"/>
      <c r="BG81" s="1958"/>
      <c r="BH81" s="1958"/>
      <c r="BI81" s="1958"/>
      <c r="BJ81" s="1958"/>
      <c r="BK81" s="1958"/>
      <c r="BL81" s="1958"/>
      <c r="BM81" s="1958"/>
      <c r="BN81" s="1958"/>
      <c r="BO81" s="1958"/>
      <c r="BP81" s="1958"/>
      <c r="BQ81" s="1958"/>
      <c r="BR81" s="1958"/>
      <c r="BS81" s="1958"/>
      <c r="BT81" s="1958"/>
      <c r="BU81" s="1958"/>
      <c r="BV81" s="1958"/>
      <c r="BW81" s="1958"/>
      <c r="BX81" s="1958"/>
      <c r="BY81" s="1958"/>
      <c r="BZ81" s="1958"/>
      <c r="CA81" s="1958"/>
      <c r="CB81" s="1958"/>
      <c r="CC81" s="1958"/>
      <c r="CD81" s="1958"/>
      <c r="CE81" s="1958"/>
      <c r="CF81" s="1958"/>
      <c r="CG81" s="1958"/>
      <c r="CH81" s="1958"/>
      <c r="CI81" s="1958"/>
      <c r="CJ81" s="1958"/>
      <c r="CK81" s="1958"/>
      <c r="CL81" s="1958"/>
      <c r="CM81" s="1958"/>
      <c r="CN81" s="1958"/>
      <c r="CO81" s="1958"/>
      <c r="CP81" s="1958"/>
      <c r="CQ81" s="1958"/>
      <c r="CR81" s="1958"/>
      <c r="CS81" s="1958"/>
      <c r="CT81" s="1958"/>
      <c r="CU81" s="1958"/>
      <c r="CV81" s="1958"/>
      <c r="CW81" s="1958"/>
    </row>
    <row r="82" spans="1:101" s="3871" customFormat="1" ht="19.5" thickTop="1" thickBot="1" x14ac:dyDescent="0.35">
      <c r="A82" s="3866"/>
      <c r="B82" s="3866"/>
      <c r="C82" s="3866"/>
      <c r="D82" s="3828"/>
      <c r="E82" s="3828"/>
      <c r="F82" s="3828"/>
      <c r="G82" s="3828"/>
      <c r="H82" s="3828"/>
      <c r="I82" s="3828"/>
      <c r="J82" s="3828"/>
      <c r="K82" s="3828"/>
      <c r="L82" s="3828"/>
      <c r="M82" s="3828"/>
      <c r="N82" s="3867"/>
      <c r="O82" s="3867"/>
      <c r="P82" s="3826"/>
      <c r="Q82" s="3868"/>
      <c r="R82" s="3869"/>
      <c r="S82" s="3868"/>
      <c r="T82" s="3868"/>
      <c r="U82" s="3868"/>
      <c r="V82" s="3870"/>
      <c r="W82" s="3850"/>
      <c r="X82" s="3826"/>
      <c r="Y82" s="3826"/>
      <c r="Z82" s="3826"/>
      <c r="AA82" s="3826"/>
      <c r="AB82" s="3826"/>
      <c r="AC82" s="3826"/>
      <c r="AD82" s="3826"/>
      <c r="AE82" s="3826"/>
      <c r="AF82" s="3826"/>
      <c r="AG82" s="3826"/>
      <c r="AH82" s="3826"/>
      <c r="AI82" s="3826"/>
      <c r="AJ82" s="3826"/>
      <c r="AK82" s="3826"/>
      <c r="AL82" s="3826"/>
      <c r="AM82" s="3826"/>
      <c r="AN82" s="3826"/>
      <c r="AO82" s="3826"/>
      <c r="AP82" s="3826"/>
      <c r="AQ82" s="3826"/>
      <c r="AR82" s="3826"/>
      <c r="AS82" s="3826"/>
      <c r="AT82" s="3826"/>
      <c r="AU82" s="3826"/>
      <c r="AV82" s="3826"/>
      <c r="AW82" s="3826"/>
      <c r="AX82" s="3826"/>
      <c r="AY82" s="3826"/>
      <c r="AZ82" s="3826"/>
      <c r="BA82" s="3826"/>
      <c r="BB82" s="3826"/>
      <c r="BC82" s="3826"/>
      <c r="BD82" s="3826"/>
      <c r="BE82" s="3826"/>
      <c r="BF82" s="3826"/>
      <c r="BG82" s="3826"/>
      <c r="BH82" s="3826"/>
      <c r="BI82" s="3826"/>
      <c r="BJ82" s="3826"/>
      <c r="BK82" s="3826"/>
      <c r="BL82" s="3826"/>
      <c r="BM82" s="3826"/>
      <c r="BN82" s="3826"/>
      <c r="BO82" s="3826"/>
      <c r="BP82" s="3826"/>
      <c r="BQ82" s="3826"/>
      <c r="BR82" s="3826"/>
      <c r="BS82" s="3826"/>
      <c r="BT82" s="3826"/>
      <c r="BU82" s="3826"/>
      <c r="BV82" s="3826"/>
      <c r="BW82" s="3826"/>
      <c r="BX82" s="3826"/>
      <c r="BY82" s="3826"/>
      <c r="BZ82" s="3826"/>
      <c r="CA82" s="3826"/>
      <c r="CB82" s="3826"/>
      <c r="CC82" s="3826"/>
      <c r="CD82" s="3826"/>
      <c r="CE82" s="3826"/>
      <c r="CF82" s="3826"/>
    </row>
    <row r="83" spans="1:101" s="369" customFormat="1" ht="32.15" customHeight="1" thickTop="1" thickBot="1" x14ac:dyDescent="0.35">
      <c r="A83" s="534">
        <v>6</v>
      </c>
      <c r="B83" s="2002" t="s">
        <v>1684</v>
      </c>
      <c r="C83" s="2267" t="s">
        <v>1686</v>
      </c>
      <c r="D83" s="2268" t="s">
        <v>1588</v>
      </c>
      <c r="E83" s="2003" t="b">
        <f>IF(AND(E84=TRUE,E85=TRUE,E86=TRUE),TRUE,FALSE)</f>
        <v>0</v>
      </c>
      <c r="F83" s="2004">
        <f>COUNTIF(E84:E86,TRUE)</f>
        <v>0</v>
      </c>
      <c r="G83" s="2004">
        <f>COUNTIFS(E84:E86,TRUE,G84:G86,"Not Blank")</f>
        <v>0</v>
      </c>
      <c r="H83" s="2005">
        <f>COUNTIFS(E84:E86,FALSE,G84:G86,"Not Blank")</f>
        <v>0</v>
      </c>
      <c r="I83" s="2269" t="str">
        <f xml:space="preserve">
IF(F83&gt;5,"Too Many Entries - Check Red Lines",
IF(G83&lt;F83,"Valid Entry required below - Check Amber Line/s",
IF(AND(E83=FALSE,G83=0,H83=0),"Nothing Entered below Yet",
IF(G83&lt;F83,"Valid Entry required below - Check Amber Line/s",
IF(AND(G83=0,H83&gt;0),"**Non-Valid Entry/ies below - Check Yellow Line/s",
IF(AND(G83&gt;0,H83&gt;0),"**Valid and Non-Valid Entries made below - Check Yellow Line/s",
IF(AND(E83=FALSE,F83&lt;5),"Not all requirements addressed below - Check Pink Line/s",
IF(AND(E83=FALSE,G83&lt;5,G83&gt;0,H83=0),"More entries to come",
IF(AND(E83,TRUE,G83=5,H83=0),"Valid Entries made below"
)))))))))</f>
        <v>Nothing Entered below Yet</v>
      </c>
      <c r="J83" s="1992">
        <f>COUNTIFS(E84:E88,TRUE,J84:J88,"Not Blank")</f>
        <v>0</v>
      </c>
      <c r="K83" s="1992">
        <f>COUNTIFS(E84:E88,FALSE,J84:J88,"Not Blank")</f>
        <v>0</v>
      </c>
      <c r="L83" s="2271" t="str">
        <f xml:space="preserve">
IF(J83&gt;5,"Too Many Entries - Check Red Lines",
IF(J83&lt;F83,"Valid Entry required below - Check Amber Line/s",
IF(AND(E83=FALSE,J83=0,K83=0),"Nothing Entered below Yet",
IF(AND(J83=0,K83&gt;0),"**Non-Valid Entry/ies below - Check Yellow Line/s",
IF(AND(J83&gt;0,K83&gt;0),"**Valid and Non-Valid Entries made below - Check Yellow Line/s",
IF(AND(E83=FALSE,J83&lt;5),"Not all requirements addressed below - Check Pink Line/s",
IF(AND(E83=FALSE,J83&lt;5,J83&gt;0,K83=0),"More entries to come",
IF(AND(E83,TRUE,J83=5,K83=0),"Valid Entries made below"
))))))))</f>
        <v>Nothing Entered below Yet</v>
      </c>
      <c r="M83" s="374"/>
      <c r="N83" s="4772" t="s">
        <v>3</v>
      </c>
      <c r="O83" s="4789" t="b">
        <f>IF(OR(N83="Compliant",N83="FE with work-a-round",N83="Functionally Equivalent"),TRUE,FALSE)</f>
        <v>0</v>
      </c>
      <c r="P83" s="2243"/>
      <c r="Q83" s="1915" t="s">
        <v>565</v>
      </c>
      <c r="R83" s="909" t="b">
        <f>IF(AND(R84=TRUE,R85=TRUE,R86=TRUE),TRUE,FALSE)</f>
        <v>0</v>
      </c>
      <c r="S83" s="119"/>
      <c r="T83" s="111"/>
      <c r="U83" s="120"/>
      <c r="V83" s="4791" t="s">
        <v>3</v>
      </c>
      <c r="W83" s="4796" t="b">
        <f>IF(OR(V83="Compliant",V83="FE with work-a-round",V83="Functionally Equivalent",V83="Not Required/Applicable"),TRUE,FALSE)</f>
        <v>0</v>
      </c>
      <c r="X83" s="1960"/>
      <c r="Y83" s="1961"/>
      <c r="Z83" s="1962"/>
      <c r="AA83" s="375"/>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198"/>
      <c r="CB83" s="198"/>
      <c r="CC83" s="198"/>
      <c r="CD83" s="198"/>
      <c r="CE83" s="198"/>
      <c r="CF83" s="517"/>
    </row>
    <row r="84" spans="1:101" s="369" customFormat="1" ht="30" thickTop="1" thickBot="1" x14ac:dyDescent="0.35">
      <c r="A84" s="534"/>
      <c r="B84" s="540"/>
      <c r="C84" s="2266" t="s">
        <v>498</v>
      </c>
      <c r="D84" s="2241" t="s">
        <v>3</v>
      </c>
      <c r="E84" s="666" t="b">
        <f>IF(D84="Compliant",TRUE,FALSE)</f>
        <v>0</v>
      </c>
      <c r="G84" s="369" t="str">
        <f>IF(I84&lt;&gt;"", "Not Blank", "")</f>
        <v/>
      </c>
      <c r="H84" s="534"/>
      <c r="I84" s="2270"/>
      <c r="J84" s="613"/>
      <c r="K84" s="613"/>
      <c r="L84" s="2272"/>
      <c r="M84" s="370"/>
      <c r="N84" s="4773"/>
      <c r="O84" s="4790"/>
      <c r="P84" s="2273"/>
      <c r="Q84" s="2214" t="s">
        <v>3</v>
      </c>
      <c r="R84" s="983" t="b">
        <f>IF(OR(Q84="Compliant",Q84="FE with work-a-round",Q84="Functionally Equivalent"),TRUE,FALSE)</f>
        <v>0</v>
      </c>
      <c r="S84" s="1971"/>
      <c r="T84" s="613"/>
      <c r="U84" s="370"/>
      <c r="V84" s="4791"/>
      <c r="W84" s="4797"/>
      <c r="X84" s="1963"/>
      <c r="Y84" s="1964"/>
      <c r="Z84" s="1965"/>
      <c r="AA84" s="375"/>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c r="CA84" s="198"/>
      <c r="CB84" s="198"/>
      <c r="CC84" s="198"/>
      <c r="CD84" s="198"/>
      <c r="CE84" s="198"/>
      <c r="CF84" s="517"/>
    </row>
    <row r="85" spans="1:101" s="369" customFormat="1" ht="44.5" thickTop="1" thickBot="1" x14ac:dyDescent="0.35">
      <c r="A85" s="534"/>
      <c r="B85" s="540"/>
      <c r="C85" s="2006" t="s">
        <v>499</v>
      </c>
      <c r="D85" s="554" t="s">
        <v>3</v>
      </c>
      <c r="E85" s="666" t="b">
        <f>IF(D85="Compliant",TRUE,FALSE)</f>
        <v>0</v>
      </c>
      <c r="F85" s="198"/>
      <c r="G85" s="527" t="str">
        <f>IF(I85&lt;&gt;"", "Not Blank", "")</f>
        <v/>
      </c>
      <c r="H85" s="527"/>
      <c r="I85" s="1971"/>
      <c r="J85" s="613"/>
      <c r="K85" s="613"/>
      <c r="L85" s="613"/>
      <c r="M85" s="370"/>
      <c r="N85" s="4773"/>
      <c r="O85" s="4790"/>
      <c r="P85" s="1973"/>
      <c r="Q85" s="1060" t="s">
        <v>3</v>
      </c>
      <c r="R85" s="983" t="b">
        <f>IF(OR(Q85="Compliant",Q85="FE with work-a-round",Q85="Functionally Equivalent"),TRUE,FALSE)</f>
        <v>0</v>
      </c>
      <c r="S85" s="1971"/>
      <c r="T85" s="613"/>
      <c r="U85" s="370"/>
      <c r="V85" s="4791"/>
      <c r="W85" s="4797"/>
      <c r="X85" s="1963"/>
      <c r="Y85" s="1964"/>
      <c r="Z85" s="1965"/>
      <c r="AA85" s="375"/>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517"/>
    </row>
    <row r="86" spans="1:101" s="369" customFormat="1" ht="30" thickTop="1" thickBot="1" x14ac:dyDescent="0.35">
      <c r="A86" s="534"/>
      <c r="B86" s="1696"/>
      <c r="C86" s="2007" t="s">
        <v>500</v>
      </c>
      <c r="D86" s="1016" t="s">
        <v>3</v>
      </c>
      <c r="E86" s="667" t="b">
        <f>IF(D86="Compliant",TRUE,FALSE)</f>
        <v>0</v>
      </c>
      <c r="F86" s="668" t="str">
        <f>IF(H86&lt;&gt;"", "Not Blank", "")</f>
        <v/>
      </c>
      <c r="G86" s="668" t="str">
        <f>IF(I86&lt;&gt;"", "Not Blank", "")</f>
        <v/>
      </c>
      <c r="H86" s="669" t="str">
        <f>IF(J86&lt;&gt;"", "Not Blank", "")</f>
        <v/>
      </c>
      <c r="I86" s="1972"/>
      <c r="J86" s="614"/>
      <c r="K86" s="614"/>
      <c r="L86" s="614"/>
      <c r="M86" s="371"/>
      <c r="N86" s="4773"/>
      <c r="O86" s="4790"/>
      <c r="P86" s="1974"/>
      <c r="Q86" s="1017" t="s">
        <v>3</v>
      </c>
      <c r="R86" s="1970" t="b">
        <f>IF(OR(Q86="Compliant",Q86="FE with work-a-round",Q86="Functionally Equivalent"),TRUE,FALSE)</f>
        <v>0</v>
      </c>
      <c r="S86" s="1972"/>
      <c r="T86" s="614"/>
      <c r="U86" s="371"/>
      <c r="V86" s="4791"/>
      <c r="W86" s="4798"/>
      <c r="X86" s="1966"/>
      <c r="Y86" s="1967"/>
      <c r="Z86" s="1968"/>
      <c r="AA86" s="375"/>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198"/>
      <c r="BX86" s="198"/>
      <c r="BY86" s="198"/>
      <c r="BZ86" s="198"/>
      <c r="CA86" s="198"/>
      <c r="CB86" s="198"/>
      <c r="CC86" s="198"/>
      <c r="CD86" s="198"/>
      <c r="CE86" s="198"/>
      <c r="CF86" s="517"/>
    </row>
    <row r="87" spans="1:101" s="27" customFormat="1" ht="32.15" customHeight="1" thickTop="1" thickBot="1" x14ac:dyDescent="0.35">
      <c r="A87" s="58">
        <v>7</v>
      </c>
      <c r="B87" s="2008" t="s">
        <v>1685</v>
      </c>
      <c r="C87" s="1856" t="s">
        <v>875</v>
      </c>
      <c r="D87" s="1925" t="s">
        <v>565</v>
      </c>
      <c r="E87" s="2265" t="b">
        <f>IF(AND(E88=TRUE,E94=TRUE,E98=TRUE,E101=TRUE,E111=TRUE),TRUE,FALSE)</f>
        <v>0</v>
      </c>
      <c r="F87" s="2025">
        <f>COUNTIF(E88:E111,TRUE)</f>
        <v>0</v>
      </c>
      <c r="G87" s="2025">
        <f>COUNTIFS(E88:E110,TRUE,G88:G110,"Not Blank")+G111</f>
        <v>0</v>
      </c>
      <c r="H87" s="2025">
        <f>COUNTIFS(E88:E110,FALSE,G88:G110,"Not Blank")+H111</f>
        <v>0</v>
      </c>
      <c r="I87" s="2025" t="str">
        <f xml:space="preserve">
IF(F87&gt;22,"Too Many Entries - Check Red Lines",
IF(G87&lt;F87,"Valid Entry required below - Check Amber Line/s",
IF(AND(E87=FALSE,G87=0,H87=0),"Nothing Entered below Yet",
IF(G87&lt;F87,"Valid Entry required below - Check Amber Line/s",
IF(AND(G87=0,H87&gt;0),"**Non-Valid Entry/ies below - Check Yellow Line/s",
IF(AND(G87&gt;0,H87&gt;0),"**Valid and Non-Valid Entries made below - Check Yellow Line/s",
IF(AND(E87=FALSE,F87&lt;22),"Not all requirements addressed below - Check Pink Line/s",
IF(AND(E87=FALSE,G87&lt;22,G87&gt;0,H87=0),"More entries to come",
IF(AND(E87,TRUE,G87=22,H87=0),"Valid Entries made below"
)))))))))</f>
        <v>Nothing Entered below Yet</v>
      </c>
      <c r="J87" s="2009">
        <f>COUNTIFS(E88:E110,TRUE,J88:J110,"Not Blank")+J111</f>
        <v>0</v>
      </c>
      <c r="K87" s="2009">
        <f>COUNTIFS(E88:E110,FALSE,J88:J110,"Not Blank")+K111</f>
        <v>0</v>
      </c>
      <c r="L87" s="2013" t="str">
        <f xml:space="preserve">
IF(J87&gt;5,"Too Many Entries - Check Red Lines",
IF(J87&lt;F87,"Valid Entry required below - Check Amber Line/s",
IF(AND(E87=FALSE,J87=0,K87=0),"Nothing Entered below Yet",
IF(AND(J87=0,K87&gt;0),"**Non-Valid Entry/ies below - Check Yellow Line/s",
IF(AND(J87&gt;0,K87&gt;0),"**Valid and Non-Valid Entries made below - Check Yellow Line/s",
IF(AND(E87=FALSE,J87&lt;5),"Not all requirements addressed below - Check Pink Line/s",
IF(AND(E87=FALSE,J87&lt;5,J87&gt;0,K87=0),"More entries to come",
IF(AND(E87,TRUE,J87=5,K87=0),"Valid Entries made below"
))))))))</f>
        <v>Nothing Entered below Yet</v>
      </c>
      <c r="M87" s="102"/>
      <c r="N87" s="4773" t="s">
        <v>3</v>
      </c>
      <c r="O87" s="4777" t="b">
        <f>IF(OR(N87="Compliant",N87="FE with work-a-round",N87="Functionally Equivalent"),TRUE,FALSE)</f>
        <v>0</v>
      </c>
      <c r="P87" s="28"/>
      <c r="Q87" s="1914" t="s">
        <v>565</v>
      </c>
      <c r="R87" s="814" t="b">
        <f>IF(AND(R88=TRUE,R94=TRUE,R98=TRUE,R101=TRUE,R111=TRUE),TRUE,FALSE)</f>
        <v>0</v>
      </c>
      <c r="S87" s="111"/>
      <c r="T87" s="111"/>
      <c r="U87" s="211"/>
      <c r="V87" s="4791" t="s">
        <v>3</v>
      </c>
      <c r="W87" s="4794" t="b">
        <f>IF(OR(V87="Compliant",V87="FE with work-a-round",V87="Functionally Equivalent",V87="Not Required/Applicable"),TRUE,FALSE)</f>
        <v>0</v>
      </c>
      <c r="X87" s="1969"/>
      <c r="Y87" s="499"/>
      <c r="Z87" s="290"/>
      <c r="AA87" s="1959"/>
      <c r="AB87" s="104"/>
      <c r="AC87" s="104"/>
      <c r="AD87" s="104"/>
      <c r="AE87" s="104"/>
      <c r="AF87" s="104"/>
      <c r="AG87" s="104"/>
      <c r="AH87" s="104"/>
      <c r="AI87" s="104"/>
      <c r="AJ87" s="104"/>
      <c r="AK87" s="104"/>
      <c r="AL87" s="41"/>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3"/>
    </row>
    <row r="88" spans="1:101" s="27" customFormat="1" ht="30" thickTop="1" thickBot="1" x14ac:dyDescent="0.35">
      <c r="A88" s="37">
        <v>7.2</v>
      </c>
      <c r="B88" s="1504" t="s">
        <v>1677</v>
      </c>
      <c r="C88" s="2148" t="s">
        <v>501</v>
      </c>
      <c r="D88" s="2149" t="s">
        <v>565</v>
      </c>
      <c r="E88" s="1922" t="b">
        <f>IF(AND(E89=TRUE,E90=TRUE,E91=TRUE,E92=TRUE,E93=TRUE),TRUE,FALSE)</f>
        <v>0</v>
      </c>
      <c r="F88" s="1647">
        <f>COUNTIF(E89:E93,TRUE)</f>
        <v>0</v>
      </c>
      <c r="G88" s="2260">
        <f>COUNTIFS(E89:E93,TRUE,G89:G93,"Not Blank")</f>
        <v>0</v>
      </c>
      <c r="H88" s="2261">
        <f>COUNTIFS(E89:E93,FALSE,G89:G93,"Not Blank")</f>
        <v>0</v>
      </c>
      <c r="I88" s="2262" t="str">
        <f xml:space="preserve">
IF(F88&gt;5,"Too Many Entries - Check Red Lines",
IF(G88&lt;F88,"Valid Entry required below - Check Amber Line/s",
IF(AND(E88=FALSE,G88=0,H88=0),"Nothing Entered below Yet",
IF(G88&lt;F88,"Valid Entry required below - Check Amber Line/s",
IF(AND(G88=0,H88&gt;0),"**Non-Valid Entry/ies below - Check Yellow Line/s",
IF(AND(G88&gt;0,H88&gt;0),"**Valid and Non-Valid Entries made below - Check Yellow Line/s",
IF(AND(E88=FALSE,F88&lt;5),"Not all requirements addressed below - Check Pink Line/s",
IF(AND(E88=FALSE,G88&lt;5,G88&gt;0,H88=0),"More entries to come",
IF(AND(E88,TRUE,G88=5,H88=0),"Valid Entries made below"
)))))))))</f>
        <v>Nothing Entered below Yet</v>
      </c>
      <c r="J88" s="2257">
        <f>COUNTIFS(E89:E93,TRUE,J89:J93,"Not Blank")</f>
        <v>0</v>
      </c>
      <c r="K88" s="2257">
        <f>COUNTIFS(E89:E93,FALSE,J89:J93,"Not Blank")</f>
        <v>0</v>
      </c>
      <c r="L88" s="2155" t="str">
        <f xml:space="preserve">
IF(J88&gt;5,"Too Many Entries - Check Red Lines",
IF(J88&lt;F88,"Valid Entry required below - Check Amber Line/s",
IF(AND(E88=FALSE,J88=0,K88=0),"Nothing Entered below Yet",
IF(AND(J88=0,K88&gt;0),"**Non-Valid Entry/ies below - Check Yellow Line/s",
IF(AND(J88&gt;0,K88&gt;0),"**Valid and Non-Valid Entries made below - Check Yellow Line/s",
IF(AND(E88=FALSE,J88&lt;5),"Not all requirements addressed below - Check Pink Line/s",
IF(AND(E88=FALSE,J88&lt;5,J88&gt;0,K88=0),"More entries to come",
IF(AND(E88,TRUE,J88=5,K88=0),"Valid Entries made below"
))))))))</f>
        <v>Nothing Entered below Yet</v>
      </c>
      <c r="M88" s="987"/>
      <c r="N88" s="4773"/>
      <c r="O88" s="4777"/>
      <c r="P88" s="807"/>
      <c r="Q88" s="1915" t="s">
        <v>565</v>
      </c>
      <c r="R88" s="814" t="b">
        <f>IF(AND(R89=TRUE,R90=TRUE,R91=TRUE,R92=TRUE,R93=TRUE),TRUE,FALSE)</f>
        <v>0</v>
      </c>
      <c r="S88" s="67"/>
      <c r="T88" s="44"/>
      <c r="U88" s="68"/>
      <c r="V88" s="4791"/>
      <c r="W88" s="4754"/>
      <c r="X88" s="42"/>
      <c r="Y88" s="42"/>
      <c r="Z88" s="1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67"/>
      <c r="BZ88" s="44"/>
      <c r="CA88" s="44"/>
      <c r="CB88" s="44"/>
      <c r="CC88" s="44"/>
      <c r="CD88" s="44"/>
      <c r="CE88" s="44"/>
      <c r="CF88" s="45"/>
    </row>
    <row r="89" spans="1:101" s="27" customFormat="1" ht="30" thickTop="1" thickBot="1" x14ac:dyDescent="0.35">
      <c r="A89" s="37"/>
      <c r="B89" s="1504"/>
      <c r="C89" s="1806" t="s">
        <v>967</v>
      </c>
      <c r="D89" s="2241" t="s">
        <v>3</v>
      </c>
      <c r="E89" s="67" t="b">
        <f>IF(D89="Compliant",TRUE,FALSE)</f>
        <v>0</v>
      </c>
      <c r="F89" s="44"/>
      <c r="G89" s="44" t="str">
        <f>IF(I89&lt;&gt;"", "Not Blank", "")</f>
        <v/>
      </c>
      <c r="H89" s="44"/>
      <c r="I89" s="42"/>
      <c r="J89" s="42" t="str">
        <f>IF(L89&lt;&gt;"", "Not Blank", "")</f>
        <v/>
      </c>
      <c r="K89" s="42"/>
      <c r="L89" s="42"/>
      <c r="M89" s="2177"/>
      <c r="N89" s="4773"/>
      <c r="O89" s="4777"/>
      <c r="P89" s="2177"/>
      <c r="Q89" s="2214" t="s">
        <v>3</v>
      </c>
      <c r="R89" s="736" t="b">
        <f>IF(OR(Q89="Compliant",Q89="FE with work-a-round",Q89="Functionally Equivalent"),TRUE,FALSE)</f>
        <v>0</v>
      </c>
      <c r="S89" s="67"/>
      <c r="T89" s="44"/>
      <c r="U89" s="68"/>
      <c r="V89" s="4791"/>
      <c r="W89" s="4754"/>
      <c r="X89" s="44"/>
      <c r="Y89" s="44"/>
      <c r="Z89" s="122"/>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67"/>
      <c r="BZ89" s="44"/>
      <c r="CA89" s="44"/>
      <c r="CB89" s="44"/>
      <c r="CC89" s="44"/>
      <c r="CD89" s="44"/>
      <c r="CE89" s="44"/>
      <c r="CF89" s="45"/>
    </row>
    <row r="90" spans="1:101" s="27" customFormat="1" ht="30" thickTop="1" thickBot="1" x14ac:dyDescent="0.35">
      <c r="A90" s="37"/>
      <c r="B90" s="1504"/>
      <c r="C90" s="1717" t="s">
        <v>815</v>
      </c>
      <c r="D90" s="554" t="s">
        <v>3</v>
      </c>
      <c r="E90" s="67" t="b">
        <f>IF(D90="Compliant",TRUE,FALSE)</f>
        <v>0</v>
      </c>
      <c r="F90" s="44"/>
      <c r="G90" s="44" t="str">
        <f>IF(I90&lt;&gt;"", "Not Blank", "")</f>
        <v/>
      </c>
      <c r="H90" s="44"/>
      <c r="I90" s="44"/>
      <c r="J90" s="44" t="str">
        <f>IF(L90&lt;&gt;"", "Not Blank", "")</f>
        <v/>
      </c>
      <c r="K90" s="44"/>
      <c r="L90" s="44"/>
      <c r="M90" s="68"/>
      <c r="N90" s="4773"/>
      <c r="O90" s="4777"/>
      <c r="P90" s="205"/>
      <c r="Q90" s="1060" t="s">
        <v>3</v>
      </c>
      <c r="R90" s="736" t="b">
        <f>IF(OR(Q90="Compliant",Q90="FE with work-a-round",Q90="Functionally Equivalent"),TRUE,FALSE)</f>
        <v>0</v>
      </c>
      <c r="S90" s="67"/>
      <c r="T90" s="44"/>
      <c r="U90" s="68"/>
      <c r="V90" s="4791"/>
      <c r="W90" s="4754"/>
      <c r="X90" s="44"/>
      <c r="Y90" s="44"/>
      <c r="Z90" s="122"/>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67"/>
      <c r="BZ90" s="44"/>
      <c r="CA90" s="44"/>
      <c r="CB90" s="44"/>
      <c r="CC90" s="44"/>
      <c r="CD90" s="44"/>
      <c r="CE90" s="44"/>
      <c r="CF90" s="45"/>
    </row>
    <row r="91" spans="1:101" s="27" customFormat="1" ht="30" thickTop="1" thickBot="1" x14ac:dyDescent="0.35">
      <c r="A91" s="37"/>
      <c r="B91" s="1504"/>
      <c r="C91" s="1717" t="s">
        <v>816</v>
      </c>
      <c r="D91" s="554" t="s">
        <v>3</v>
      </c>
      <c r="E91" s="67" t="b">
        <f>IF(D91="Compliant",TRUE,FALSE)</f>
        <v>0</v>
      </c>
      <c r="F91" s="44"/>
      <c r="G91" s="44" t="str">
        <f>IF(I91&lt;&gt;"", "Not Blank", "")</f>
        <v/>
      </c>
      <c r="H91" s="44"/>
      <c r="I91" s="44"/>
      <c r="J91" s="44" t="str">
        <f>IF(L91&lt;&gt;"", "Not Blank", "")</f>
        <v/>
      </c>
      <c r="K91" s="44"/>
      <c r="L91" s="44"/>
      <c r="M91" s="68"/>
      <c r="N91" s="4773"/>
      <c r="O91" s="4777"/>
      <c r="P91" s="205"/>
      <c r="Q91" s="1060" t="s">
        <v>3</v>
      </c>
      <c r="R91" s="736" t="b">
        <f>IF(OR(Q91="Compliant",Q91="FE with work-a-round",Q91="Functionally Equivalent"),TRUE,FALSE)</f>
        <v>0</v>
      </c>
      <c r="S91" s="67"/>
      <c r="T91" s="44"/>
      <c r="U91" s="68"/>
      <c r="V91" s="4791"/>
      <c r="W91" s="4754"/>
      <c r="X91" s="44"/>
      <c r="Y91" s="44"/>
      <c r="Z91" s="122"/>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67"/>
      <c r="BZ91" s="44"/>
      <c r="CA91" s="44"/>
      <c r="CB91" s="44"/>
      <c r="CC91" s="44"/>
      <c r="CD91" s="44"/>
      <c r="CE91" s="44"/>
      <c r="CF91" s="45"/>
    </row>
    <row r="92" spans="1:101" s="27" customFormat="1" ht="30" thickTop="1" thickBot="1" x14ac:dyDescent="0.35">
      <c r="A92" s="37"/>
      <c r="B92" s="1504"/>
      <c r="C92" s="1717" t="s">
        <v>968</v>
      </c>
      <c r="D92" s="554" t="s">
        <v>3</v>
      </c>
      <c r="E92" s="67" t="b">
        <f>IF(D92="Compliant",TRUE,FALSE)</f>
        <v>0</v>
      </c>
      <c r="F92" s="44"/>
      <c r="G92" s="44" t="str">
        <f>IF(I92&lt;&gt;"", "Not Blank", "")</f>
        <v/>
      </c>
      <c r="H92" s="44"/>
      <c r="I92" s="44"/>
      <c r="J92" s="44" t="str">
        <f>IF(L92&lt;&gt;"", "Not Blank", "")</f>
        <v/>
      </c>
      <c r="K92" s="44"/>
      <c r="L92" s="44"/>
      <c r="M92" s="68"/>
      <c r="N92" s="4773"/>
      <c r="O92" s="4777"/>
      <c r="P92" s="205"/>
      <c r="Q92" s="1060" t="s">
        <v>3</v>
      </c>
      <c r="R92" s="736" t="b">
        <f>IF(OR(Q92="Compliant",Q92="FE with work-a-round",Q92="Functionally Equivalent"),TRUE,FALSE)</f>
        <v>0</v>
      </c>
      <c r="S92" s="67"/>
      <c r="T92" s="44"/>
      <c r="U92" s="68"/>
      <c r="V92" s="4791"/>
      <c r="W92" s="4754"/>
      <c r="X92" s="44"/>
      <c r="Y92" s="44"/>
      <c r="Z92" s="122"/>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67"/>
      <c r="BZ92" s="44"/>
      <c r="CA92" s="44"/>
      <c r="CB92" s="44"/>
      <c r="CC92" s="44"/>
      <c r="CD92" s="44"/>
      <c r="CE92" s="44"/>
      <c r="CF92" s="45"/>
    </row>
    <row r="93" spans="1:101" s="27" customFormat="1" ht="30" thickTop="1" thickBot="1" x14ac:dyDescent="0.35">
      <c r="A93" s="37"/>
      <c r="B93" s="1504"/>
      <c r="C93" s="1807" t="s">
        <v>502</v>
      </c>
      <c r="D93" s="1016" t="s">
        <v>3</v>
      </c>
      <c r="E93" s="67" t="b">
        <f>IF(D93="Compliant",TRUE,FALSE)</f>
        <v>0</v>
      </c>
      <c r="F93" s="44"/>
      <c r="G93" s="44" t="str">
        <f>IF(I93&lt;&gt;"", "Not Blank", "")</f>
        <v/>
      </c>
      <c r="H93" s="44"/>
      <c r="I93" s="124"/>
      <c r="J93" s="124" t="str">
        <f>IF(L93&lt;&gt;"", "Not Blank", "")</f>
        <v/>
      </c>
      <c r="K93" s="124"/>
      <c r="L93" s="124"/>
      <c r="M93" s="143"/>
      <c r="N93" s="4773"/>
      <c r="O93" s="4777"/>
      <c r="P93" s="205"/>
      <c r="Q93" s="1017" t="s">
        <v>3</v>
      </c>
      <c r="R93" s="813" t="b">
        <f>IF(OR(Q93="Compliant",Q93="FE with work-a-round",Q93="Functionally Equivalent"),TRUE,FALSE)</f>
        <v>0</v>
      </c>
      <c r="S93" s="67"/>
      <c r="T93" s="44"/>
      <c r="U93" s="68"/>
      <c r="V93" s="4791"/>
      <c r="W93" s="4795"/>
      <c r="X93" s="79"/>
      <c r="Y93" s="79"/>
      <c r="Z93" s="127"/>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67"/>
      <c r="BZ93" s="44"/>
      <c r="CA93" s="44"/>
      <c r="CB93" s="44"/>
      <c r="CC93" s="44"/>
      <c r="CD93" s="44"/>
      <c r="CE93" s="44"/>
      <c r="CF93" s="45"/>
    </row>
    <row r="94" spans="1:101" s="27" customFormat="1" ht="31.5" customHeight="1" thickTop="1" thickBot="1" x14ac:dyDescent="0.35">
      <c r="A94" s="37">
        <v>7.3</v>
      </c>
      <c r="B94" s="1504" t="s">
        <v>1674</v>
      </c>
      <c r="C94" s="2175" t="s">
        <v>503</v>
      </c>
      <c r="D94" s="2149" t="s">
        <v>565</v>
      </c>
      <c r="E94" s="1940" t="b">
        <f>IF(AND(E95=TRUE,E96=TRUE,E97),TRUE,FALSE)</f>
        <v>0</v>
      </c>
      <c r="F94" s="1517">
        <f>COUNTIF(E95:E97,TRUE)</f>
        <v>0</v>
      </c>
      <c r="G94" s="1905">
        <f>COUNTIFS(E95:E97,TRUE,G95:G97,"Not Blank")</f>
        <v>0</v>
      </c>
      <c r="H94" s="1941">
        <f>COUNTIFS(E95:E97,FALSE,G95:G97,"Not Blank")</f>
        <v>0</v>
      </c>
      <c r="I94" s="2155" t="str">
        <f xml:space="preserve">
IF(F94&gt;3,"Too Many Entries - Check Red Lines",
IF(G94&lt;F94,"Valid Entry required below - Check Amber Line/s",
IF(AND(E94=FALSE,G94=0,H94=0),"Nothing Entered below Yet",
IF(G94&lt;F94,"Valid Entry required below - Check Amber Line/s",
IF(AND(G94=0,H94&gt;0),"**Non-Valid Entry/ies below - Check Yellow Line/s",
IF(AND(G94&gt;0,H94&gt;0),"**Valid and Non-Valid Entries made below - Check Yellow Line/s",
IF(AND(E94=FALSE,F94&lt;3),"Not all requirements addressed below - Check Pink Line/s",
IF(AND(E94=FALSE,G94&lt;3,G94&gt;0,H94=0),"More entries to come",
IF(AND(E94,TRUE,G94=3,H94=0),"Valid Entries made below"
)))))))))</f>
        <v>Nothing Entered below Yet</v>
      </c>
      <c r="J94" s="2155">
        <f>COUNTIFS(E95:E97,TRUE,J95:J97,"Not Blank")</f>
        <v>0</v>
      </c>
      <c r="K94" s="2155">
        <f>COUNTIFS(E95:E97,FALSE,J95:J97,"Not Blank")</f>
        <v>0</v>
      </c>
      <c r="L94" s="2155" t="str">
        <f xml:space="preserve">
IF(J94&gt;3,"Too Many Entries - Check Red Lines",
IF(J94&lt;F94,"Valid Entry required below - Check Amber Line/s",
IF(AND(E94=FALSE,J94=0,K94=0),"Nothing Entered below Yet",
IF(AND(J94=0,K94&gt;0),"**Non-Valid Entry/ies below - Check Yellow Line/s",
IF(AND(J94&gt;0,K94&gt;0),"**Valid and Non-Valid Entries made below - Check Yellow Line/s",
IF(AND(E94=FALSE,J94&lt;3),"Not all requirements addressed below - Check Pink Line/s",
IF(AND(E94=FALSE,J94&lt;3,J94&gt;0,K94=0),"More entries to come",
IF(AND(E94,TRUE,J94=3,K94=0),"Valid Entries made below"
))))))))</f>
        <v>Nothing Entered below Yet</v>
      </c>
      <c r="M94" s="2176"/>
      <c r="N94" s="4773" t="s">
        <v>3</v>
      </c>
      <c r="O94" s="4777" t="b">
        <f>IF(OR(N94="Compliant",N94="FE with work-a-round",N94="Functionally Equivalent"),TRUE,FALSE)</f>
        <v>0</v>
      </c>
      <c r="P94" s="2249"/>
      <c r="Q94" s="2250" t="s">
        <v>565</v>
      </c>
      <c r="R94" s="814" t="b">
        <f>IF(AND(R95=TRUE,R96=TRUE,R97),TRUE,FALSE)</f>
        <v>0</v>
      </c>
      <c r="S94" s="111"/>
      <c r="T94" s="111"/>
      <c r="U94" s="211"/>
      <c r="V94" s="4791" t="s">
        <v>3</v>
      </c>
      <c r="W94" s="4794" t="b">
        <f>IF(OR(V94="Compliant",V94="FE with work-a-round",V94="Functionally Equivalent",V94="Not Required/Applicable"),TRUE,FALSE)</f>
        <v>0</v>
      </c>
      <c r="X94" s="111"/>
      <c r="Y94" s="111"/>
      <c r="Z94" s="120"/>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67"/>
      <c r="BZ94" s="44"/>
      <c r="CA94" s="44"/>
      <c r="CB94" s="44"/>
      <c r="CC94" s="44"/>
      <c r="CD94" s="44"/>
      <c r="CE94" s="44"/>
      <c r="CF94" s="45"/>
    </row>
    <row r="95" spans="1:101" s="27" customFormat="1" ht="30" thickTop="1" thickBot="1" x14ac:dyDescent="0.35">
      <c r="A95" s="37"/>
      <c r="B95" s="1504"/>
      <c r="C95" s="1806" t="s">
        <v>817</v>
      </c>
      <c r="D95" s="2241" t="s">
        <v>3</v>
      </c>
      <c r="E95" s="67" t="b">
        <f>IF(D95="Compliant",TRUE,FALSE)</f>
        <v>0</v>
      </c>
      <c r="F95" s="44"/>
      <c r="G95" s="44" t="str">
        <f>IF(I95&lt;&gt;"", "Not Blank", "")</f>
        <v/>
      </c>
      <c r="H95" s="44"/>
      <c r="I95" s="42"/>
      <c r="J95" s="42" t="str">
        <f>IF(L95&lt;&gt;"", "Not Blank", "")</f>
        <v/>
      </c>
      <c r="K95" s="42"/>
      <c r="L95" s="42"/>
      <c r="M95" s="144"/>
      <c r="N95" s="4773"/>
      <c r="O95" s="4777"/>
      <c r="P95" s="497"/>
      <c r="Q95" s="1863" t="s">
        <v>3</v>
      </c>
      <c r="R95" s="736" t="b">
        <f>IF(OR(Q95="Compliant",Q95="FE with work-a-round",Q95="Functionally Equivalent"),TRUE,FALSE)</f>
        <v>0</v>
      </c>
      <c r="S95" s="67"/>
      <c r="T95" s="44"/>
      <c r="U95" s="68"/>
      <c r="V95" s="4791"/>
      <c r="W95" s="4754"/>
      <c r="X95" s="44"/>
      <c r="Y95" s="44"/>
      <c r="Z95" s="122"/>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67"/>
      <c r="BZ95" s="44"/>
      <c r="CA95" s="44"/>
      <c r="CB95" s="44"/>
      <c r="CC95" s="44"/>
      <c r="CD95" s="44"/>
      <c r="CE95" s="44"/>
      <c r="CF95" s="45"/>
    </row>
    <row r="96" spans="1:101" s="27" customFormat="1" ht="30" thickTop="1" thickBot="1" x14ac:dyDescent="0.35">
      <c r="A96" s="37"/>
      <c r="B96" s="1504"/>
      <c r="C96" s="1717" t="s">
        <v>504</v>
      </c>
      <c r="D96" s="554" t="s">
        <v>3</v>
      </c>
      <c r="E96" s="67" t="b">
        <f>IF(D96="Compliant",TRUE,FALSE)</f>
        <v>0</v>
      </c>
      <c r="F96" s="44"/>
      <c r="G96" s="44" t="str">
        <f>IF(I96&lt;&gt;"", "Not Blank", "")</f>
        <v/>
      </c>
      <c r="H96" s="44"/>
      <c r="I96" s="44"/>
      <c r="J96" s="44" t="str">
        <f>IF(L96&lt;&gt;"", "Not Blank", "")</f>
        <v/>
      </c>
      <c r="K96" s="44"/>
      <c r="L96" s="44"/>
      <c r="M96" s="68"/>
      <c r="N96" s="4773"/>
      <c r="O96" s="4777"/>
      <c r="P96" s="205"/>
      <c r="Q96" s="1060" t="s">
        <v>3</v>
      </c>
      <c r="R96" s="736" t="b">
        <f>IF(OR(Q96="Compliant",Q96="FE with work-a-round",Q96="Functionally Equivalent"),TRUE,FALSE)</f>
        <v>0</v>
      </c>
      <c r="S96" s="67"/>
      <c r="T96" s="44"/>
      <c r="U96" s="68"/>
      <c r="V96" s="4791"/>
      <c r="W96" s="4754"/>
      <c r="X96" s="44"/>
      <c r="Y96" s="44"/>
      <c r="Z96" s="122"/>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67"/>
      <c r="BZ96" s="44"/>
      <c r="CA96" s="44"/>
      <c r="CB96" s="44"/>
      <c r="CC96" s="44"/>
      <c r="CD96" s="44"/>
      <c r="CE96" s="44"/>
      <c r="CF96" s="45"/>
    </row>
    <row r="97" spans="1:84" s="27" customFormat="1" ht="30" thickTop="1" thickBot="1" x14ac:dyDescent="0.35">
      <c r="A97" s="37">
        <v>7.4</v>
      </c>
      <c r="B97" s="1504"/>
      <c r="C97" s="1687" t="s">
        <v>505</v>
      </c>
      <c r="D97" s="1016" t="s">
        <v>3</v>
      </c>
      <c r="E97" s="67" t="b">
        <f>IF(D97="Compliant",TRUE,FALSE)</f>
        <v>0</v>
      </c>
      <c r="F97" s="44"/>
      <c r="G97" s="44" t="str">
        <f>IF(I97&lt;&gt;"", "Not Blank", "")</f>
        <v/>
      </c>
      <c r="H97" s="44"/>
      <c r="I97" s="124"/>
      <c r="J97" s="124" t="str">
        <f>IF(L97&lt;&gt;"", "Not Blank", "")</f>
        <v/>
      </c>
      <c r="K97" s="124"/>
      <c r="L97" s="124"/>
      <c r="M97" s="125"/>
      <c r="N97" s="4773"/>
      <c r="O97" s="4777"/>
      <c r="P97" s="205"/>
      <c r="Q97" s="1017" t="s">
        <v>3</v>
      </c>
      <c r="R97" s="813" t="b">
        <f>IF(OR(Q97="Compliant",Q97="FE with work-a-round",Q97="Functionally Equivalent"),TRUE,FALSE)</f>
        <v>0</v>
      </c>
      <c r="S97" s="67"/>
      <c r="T97" s="44"/>
      <c r="U97" s="68"/>
      <c r="V97" s="4791"/>
      <c r="W97" s="4795"/>
      <c r="X97" s="79"/>
      <c r="Y97" s="79"/>
      <c r="Z97" s="127"/>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67"/>
      <c r="BZ97" s="44"/>
      <c r="CA97" s="44"/>
      <c r="CB97" s="44"/>
      <c r="CC97" s="44"/>
      <c r="CD97" s="44"/>
      <c r="CE97" s="44"/>
      <c r="CF97" s="45"/>
    </row>
    <row r="98" spans="1:84" s="2" customFormat="1" ht="31.5" customHeight="1" thickTop="1" thickBot="1" x14ac:dyDescent="0.35">
      <c r="A98" s="37">
        <v>7.5</v>
      </c>
      <c r="B98" s="1504" t="s">
        <v>1675</v>
      </c>
      <c r="C98" s="2275" t="s">
        <v>506</v>
      </c>
      <c r="D98" s="2010" t="s">
        <v>565</v>
      </c>
      <c r="E98" s="1940" t="b">
        <f>IF(AND(E99=TRUE,E100=TRUE),TRUE,FALSE)</f>
        <v>0</v>
      </c>
      <c r="F98" s="1517">
        <f>COUNTIF(E99:E100,TRUE)</f>
        <v>0</v>
      </c>
      <c r="G98" s="1905">
        <f>COUNTIFS(E99:E100,TRUE,G99:G100,"Not Blank")</f>
        <v>0</v>
      </c>
      <c r="H98" s="1941">
        <f>COUNTIFS(E99:E100,FALSE,G99:G100,"Not Blank")</f>
        <v>0</v>
      </c>
      <c r="I98" s="2155" t="str">
        <f xml:space="preserve">
IF(F98&gt;2,"Too Many Entries - Check Red Lines",
IF(G98&lt;F98,"Valid Entry required below - Check Amber Line/s",
IF(AND(E98=FALSE,G98=0,H98=0),"Nothing Entered below Yet",
IF(G98&lt;F98,"Valid Entry required below - Check Amber Line/s",
IF(AND(G98=0,H98&gt;0),"**Non-Valid Entry/ies below - Check Yellow Line/s",
IF(AND(G98&gt;0,H98&gt;0),"**Valid and Non-Valid Entries made below - Check Yellow Line/s",
IF(AND(E98=FALSE,F98&lt;2),"Not all requirements addressed below - Check Pink Line/s",
IF(AND(E98=FALSE,G98&lt;2,G98&gt;0,H98=0),"More entries to come",
IF(AND(E98,TRUE,G98=2,H98=0),"Valid Entries made below"
)))))))))</f>
        <v>Nothing Entered below Yet</v>
      </c>
      <c r="J98" s="2155">
        <f>COUNTIFS(E99:E100,TRUE,J99:J100,"Not Blank")</f>
        <v>0</v>
      </c>
      <c r="K98" s="2155">
        <f>COUNTIFS(E99:E100,FALSE,J99:J100,"Not Blank")</f>
        <v>0</v>
      </c>
      <c r="L98" s="2155" t="str">
        <f xml:space="preserve">
IF(J98&gt;2,"Too Many Entries - Check Red Lines",
IF(J98&lt;F98,"Valid Entry required below - Check Amber Line/s",
IF(AND(E98=FALSE,J98=0,K98=0),"Nothing Entered below Yet",
IF(AND(J98=0,K98&gt;0),"**Non-Valid Entry/ies below - Check Yellow Line/s",
IF(AND(J98&gt;0,K98&gt;0),"**Valid and Non-Valid Entries made below - Check Yellow Line/s",
IF(AND(E98=FALSE,J98&lt;2),"Not all requirements addressed below - Check Pink Line/s",
IF(AND(E98=FALSE,J98&lt;2,J98&gt;0,K98=0),"More entries to come",
IF(AND(E98,TRUE,J98=2,K98=0),"Valid Entries made below"
))))))))</f>
        <v>Nothing Entered below Yet</v>
      </c>
      <c r="M98" s="2176"/>
      <c r="N98" s="4773" t="s">
        <v>3</v>
      </c>
      <c r="O98" s="4777" t="b">
        <f>IF(OR(N98="Compliant",N98="FE with work-a-round",N98="Functionally Equivalent"),TRUE,FALSE)</f>
        <v>0</v>
      </c>
      <c r="P98" s="2249"/>
      <c r="Q98" s="2250" t="s">
        <v>565</v>
      </c>
      <c r="R98" s="814" t="b">
        <f>IF(AND(R99=TRUE,R100=TRUE),TRUE,FALSE)</f>
        <v>0</v>
      </c>
      <c r="S98" s="111"/>
      <c r="T98" s="111"/>
      <c r="U98" s="211"/>
      <c r="V98" s="4791" t="s">
        <v>3</v>
      </c>
      <c r="W98" s="4794" t="b">
        <f>IF(OR(V98="Compliant",V98="FE with work-a-round",V98="Functionally Equivalent",V98="Not Required/Applicable"),TRUE,FALSE)</f>
        <v>0</v>
      </c>
      <c r="X98" s="1433"/>
      <c r="Y98" s="1433"/>
      <c r="Z98" s="1434"/>
      <c r="BY98" s="46"/>
      <c r="BZ98" s="47"/>
      <c r="CA98" s="47"/>
      <c r="CB98" s="47"/>
      <c r="CC98" s="47"/>
      <c r="CD98" s="47"/>
      <c r="CE98" s="47"/>
      <c r="CF98" s="48"/>
    </row>
    <row r="99" spans="1:84" s="2" customFormat="1" ht="30" thickTop="1" thickBot="1" x14ac:dyDescent="0.35">
      <c r="A99" s="28"/>
      <c r="B99" s="1504"/>
      <c r="C99" s="2167" t="s">
        <v>507</v>
      </c>
      <c r="D99" s="2274" t="s">
        <v>3</v>
      </c>
      <c r="E99" s="67" t="b">
        <f>IF(D99="Compliant",TRUE,FALSE)</f>
        <v>0</v>
      </c>
      <c r="F99" s="44"/>
      <c r="G99" s="324" t="str">
        <f>IF(I99&lt;&gt;"", "Not Blank", "")</f>
        <v/>
      </c>
      <c r="H99" s="50"/>
      <c r="I99" s="42"/>
      <c r="J99" s="42" t="str">
        <f>IF(L99&lt;&gt;"", "Not Blank", "")</f>
        <v/>
      </c>
      <c r="K99" s="42"/>
      <c r="L99" s="42"/>
      <c r="M99" s="144"/>
      <c r="N99" s="4773"/>
      <c r="O99" s="4777"/>
      <c r="P99" s="2775"/>
      <c r="Q99" s="1863" t="s">
        <v>3</v>
      </c>
      <c r="R99" s="3603" t="b">
        <f>IF(OR(Q99="Compliant",Q99="FE with work-a-round",Q99="Functionally Equivalent"),TRUE,FALSE)</f>
        <v>0</v>
      </c>
      <c r="S99" s="1245"/>
      <c r="T99" s="471"/>
      <c r="U99" s="1218"/>
      <c r="V99" s="4791"/>
      <c r="W99" s="4754"/>
      <c r="X99" s="1431"/>
      <c r="Y99" s="1431"/>
      <c r="Z99" s="1432"/>
      <c r="BY99" s="46"/>
      <c r="BZ99" s="47"/>
      <c r="CA99" s="47"/>
      <c r="CB99" s="47"/>
      <c r="CC99" s="47"/>
      <c r="CD99" s="47"/>
      <c r="CE99" s="47"/>
      <c r="CF99" s="48"/>
    </row>
    <row r="100" spans="1:84" ht="30" thickTop="1" thickBot="1" x14ac:dyDescent="0.35">
      <c r="A100" s="37"/>
      <c r="B100" s="1504"/>
      <c r="C100" s="1800" t="s">
        <v>818</v>
      </c>
      <c r="D100" s="567" t="s">
        <v>3</v>
      </c>
      <c r="E100" s="161" t="b">
        <f>IF(D100="Compliant",TRUE,FALSE)</f>
        <v>0</v>
      </c>
      <c r="F100" s="124"/>
      <c r="G100" s="124" t="str">
        <f>IF(I100&lt;&gt;"", "Not Blank", "")</f>
        <v/>
      </c>
      <c r="H100" s="124"/>
      <c r="I100" s="124"/>
      <c r="J100" s="44" t="str">
        <f>IF(L100&lt;&gt;"", "Not Blank", "")</f>
        <v/>
      </c>
      <c r="K100" s="44"/>
      <c r="L100" s="124"/>
      <c r="M100" s="125"/>
      <c r="N100" s="4775"/>
      <c r="O100" s="4777"/>
      <c r="P100" s="2703"/>
      <c r="Q100" s="3616" t="s">
        <v>3</v>
      </c>
      <c r="R100" s="3604" t="b">
        <f>IF(OR(Q100="Compliant",Q100="FE with work-a-round",Q100="Functionally Equivalent"),TRUE,FALSE)</f>
        <v>0</v>
      </c>
      <c r="S100" s="2709"/>
      <c r="T100" s="1443"/>
      <c r="U100" s="2697"/>
      <c r="V100" s="4791"/>
      <c r="W100" s="4795"/>
      <c r="X100" s="1442"/>
      <c r="Y100" s="1442"/>
      <c r="Z100" s="3303"/>
    </row>
    <row r="101" spans="1:84" ht="31.5" customHeight="1" thickTop="1" thickBot="1" x14ac:dyDescent="0.35">
      <c r="A101" s="37">
        <v>7.6</v>
      </c>
      <c r="B101" s="1504" t="s">
        <v>1676</v>
      </c>
      <c r="C101" s="2258" t="s">
        <v>819</v>
      </c>
      <c r="D101" s="2259" t="s">
        <v>565</v>
      </c>
      <c r="E101" s="1922" t="b">
        <f>IF(AND(E102=TRUE,E103=TRUE,E104=TRUE,E105=TRUE,E106=TRUE,E107=TRUE,E110=TRUE),TRUE,FALSE)</f>
        <v>0</v>
      </c>
      <c r="F101" s="1647">
        <f>COUNTIF(E102:E107,TRUE)+COUNTIF(E110,TRUE)</f>
        <v>0</v>
      </c>
      <c r="G101" s="2260">
        <f>COUNTIFS(E102:E107,TRUE,G102:G107,"Not Blank")+COUNTIFS(E110,TRUE,G110,"Not Blank")</f>
        <v>0</v>
      </c>
      <c r="H101" s="2261">
        <f>COUNTIFS(E102:E107,FALSE,G102:G107,"Not Blank")+COUNTIFS(E110,FALSE,G110,"Not Blank")</f>
        <v>0</v>
      </c>
      <c r="I101" s="2262" t="str">
        <f xml:space="preserve">
IF(F101&gt;7,"Too Many Entries - Check Red Lines",
IF(G101&lt;F101,"Valid Entry required below - Check Amber Line/s",
IF(AND(E101=FALSE,G101=0,H101=0),"Nothing Entered below Yet",
IF(G101&lt;F101,"Valid Entry required below - Check Amber Line/s",
IF(AND(G101=0,H101&gt;0),"**Non-Valid Entry/ies below - Check Yellow Line/s",
IF(AND(G101&gt;0,H101&gt;0),"**Valid and Non-Valid Entries made below - Check Yellow Line/s",
IF(AND(E101=FALSE,F101&lt;7),"Not all requirements addressed below - Check Pink Line/s",
IF(AND(E101=FALSE,G101&lt;7,G101&gt;0,H101=0),"More entries to come",
IF(AND(E101,TRUE,G101=7,H101=0),"Valid Entries made below"
)))))))))</f>
        <v>Nothing Entered below Yet</v>
      </c>
      <c r="J101" s="2257">
        <f>COUNTIFS(E102:E107,TRUE,J102:J107,"Not Blank")+COUNTIFS(E110,TRUE,J110,"Not Blank")</f>
        <v>0</v>
      </c>
      <c r="K101" s="2257">
        <f>COUNTIFS(E102:E107,FALSE,J102:J107,"Not Blank")+COUNTIFS(E110,FALSE,J110,"Not Blank")</f>
        <v>0</v>
      </c>
      <c r="L101" s="2262" t="str">
        <f xml:space="preserve">
IF(J101&gt;7,"Too Many Entries - Check Red Lines",
IF(J101&lt;F101,"Valid Entry required below - Check Amber Line/s",
IF(AND(E101=FALSE,J101=0,K101=0),"Nothing Entered below Yet",
IF(AND(J101=0,K101&gt;0),"**Non-Valid Entry/ies below - Check Yellow Line/s",
IF(AND(J101&gt;0,K101&gt;0),"**Valid and Non-Valid Entries made below - Check Yellow Line/s",
IF(AND(E101=FALSE,J101&lt;7),"Not all requirements addressed below - Check Pink Line/s",
IF(AND(E101=FALSE,J101&lt;7,J101&gt;0,K101=0),"More entries to come",
IF(AND(E101,TRUE,J101=7,K101=0),"Valid Entries made below"
))))))))</f>
        <v>Nothing Entered below Yet</v>
      </c>
      <c r="M101" s="2263"/>
      <c r="N101" s="4772" t="s">
        <v>3</v>
      </c>
      <c r="O101" s="4777" t="b">
        <f>IF(OR(N101="Compliant",N101="FE with work-a-round",N101="Functionally Equivalent"),TRUE,FALSE)</f>
        <v>0</v>
      </c>
      <c r="P101" s="2249"/>
      <c r="Q101" s="2250" t="s">
        <v>565</v>
      </c>
      <c r="R101" s="814" t="b">
        <f>IF(AND(R102=TRUE,R103=TRUE,R104=TRUE,R105=TRUE,R106=TRUE,R107=TRUE,R110=TRUE),TRUE,FALSE)</f>
        <v>0</v>
      </c>
      <c r="S101" s="111"/>
      <c r="T101" s="111"/>
      <c r="U101" s="211"/>
      <c r="V101" s="4791" t="s">
        <v>3</v>
      </c>
      <c r="W101" s="4794" t="b">
        <f>IF(OR(V101="Compliant",V101="FE with work-a-round",V101="Functionally Equivalent",V101="Not Required/Applicable"),TRUE,FALSE)</f>
        <v>0</v>
      </c>
      <c r="X101" s="2701"/>
      <c r="Y101" s="2701"/>
      <c r="Z101" s="2702"/>
    </row>
    <row r="102" spans="1:84" ht="30" thickTop="1" thickBot="1" x14ac:dyDescent="0.35">
      <c r="A102" s="37"/>
      <c r="B102" s="1504"/>
      <c r="C102" s="1806" t="s">
        <v>969</v>
      </c>
      <c r="D102" s="2241" t="s">
        <v>3</v>
      </c>
      <c r="E102" s="67" t="b">
        <f t="shared" ref="E102:E107" si="1">IF(D102="Compliant",TRUE,FALSE)</f>
        <v>0</v>
      </c>
      <c r="F102" s="44"/>
      <c r="G102" s="44" t="str">
        <f>IF(I102&lt;&gt;"", "Not Blank", "")</f>
        <v/>
      </c>
      <c r="H102" s="44"/>
      <c r="I102" s="42"/>
      <c r="J102" s="42" t="str">
        <f t="shared" ref="J102:J110" si="2">IF(L102&lt;&gt;"", "Not Blank", "")</f>
        <v/>
      </c>
      <c r="K102" s="42"/>
      <c r="L102" s="42"/>
      <c r="M102" s="144"/>
      <c r="N102" s="4773"/>
      <c r="O102" s="4777"/>
      <c r="P102" s="2708"/>
      <c r="Q102" s="1863" t="s">
        <v>3</v>
      </c>
      <c r="R102" s="736" t="b">
        <f t="shared" ref="R102:R107" si="3">IF(OR(Q102="Compliant",Q102="FE with work-a-round",Q102="Functionally Equivalent"),TRUE,FALSE)</f>
        <v>0</v>
      </c>
      <c r="S102" s="44"/>
      <c r="T102" s="1534"/>
      <c r="U102" s="68"/>
      <c r="V102" s="4791"/>
      <c r="W102" s="4754"/>
      <c r="X102" s="1443"/>
      <c r="Y102" s="1443"/>
      <c r="Z102" s="2698"/>
    </row>
    <row r="103" spans="1:84" ht="30" thickTop="1" thickBot="1" x14ac:dyDescent="0.35">
      <c r="A103" s="37"/>
      <c r="B103" s="1504"/>
      <c r="C103" s="1717" t="s">
        <v>820</v>
      </c>
      <c r="D103" s="554" t="s">
        <v>3</v>
      </c>
      <c r="E103" s="67" t="b">
        <f t="shared" si="1"/>
        <v>0</v>
      </c>
      <c r="F103" s="44"/>
      <c r="G103" s="44" t="str">
        <f>IF(I103&lt;&gt;"", "Not Blank", "")</f>
        <v/>
      </c>
      <c r="H103" s="44"/>
      <c r="I103" s="44"/>
      <c r="J103" s="44" t="str">
        <f t="shared" si="2"/>
        <v/>
      </c>
      <c r="K103" s="44"/>
      <c r="L103" s="44"/>
      <c r="M103" s="68"/>
      <c r="N103" s="4773"/>
      <c r="O103" s="4777"/>
      <c r="P103" s="2710"/>
      <c r="Q103" s="1060" t="s">
        <v>3</v>
      </c>
      <c r="R103" s="736" t="b">
        <f t="shared" si="3"/>
        <v>0</v>
      </c>
      <c r="S103" s="44"/>
      <c r="T103" s="1534"/>
      <c r="U103" s="68"/>
      <c r="V103" s="4791"/>
      <c r="W103" s="4754"/>
      <c r="X103" s="1443"/>
      <c r="Y103" s="1443"/>
      <c r="Z103" s="2698"/>
    </row>
    <row r="104" spans="1:84" ht="30" thickTop="1" thickBot="1" x14ac:dyDescent="0.35">
      <c r="A104" s="37"/>
      <c r="B104" s="1504"/>
      <c r="C104" s="1717" t="s">
        <v>1678</v>
      </c>
      <c r="D104" s="554" t="s">
        <v>3</v>
      </c>
      <c r="E104" s="67" t="b">
        <f t="shared" si="1"/>
        <v>0</v>
      </c>
      <c r="F104" s="44"/>
      <c r="G104" s="44" t="str">
        <f t="shared" ref="G104:G110" si="4">IF(I104&lt;&gt;"", "Not Blank", "")</f>
        <v/>
      </c>
      <c r="H104" s="44"/>
      <c r="I104" s="44"/>
      <c r="J104" s="44" t="str">
        <f t="shared" si="2"/>
        <v/>
      </c>
      <c r="K104" s="44"/>
      <c r="L104" s="44"/>
      <c r="M104" s="68"/>
      <c r="N104" s="4773"/>
      <c r="O104" s="4777"/>
      <c r="P104" s="2710"/>
      <c r="Q104" s="1060" t="s">
        <v>3</v>
      </c>
      <c r="R104" s="736" t="b">
        <f t="shared" si="3"/>
        <v>0</v>
      </c>
      <c r="S104" s="44"/>
      <c r="T104" s="1534"/>
      <c r="U104" s="68"/>
      <c r="V104" s="4791"/>
      <c r="W104" s="4754"/>
      <c r="X104" s="1443"/>
      <c r="Y104" s="1443"/>
      <c r="Z104" s="2698"/>
    </row>
    <row r="105" spans="1:84" ht="30" thickTop="1" thickBot="1" x14ac:dyDescent="0.35">
      <c r="A105" s="37"/>
      <c r="B105" s="1504"/>
      <c r="C105" s="1717" t="s">
        <v>508</v>
      </c>
      <c r="D105" s="554" t="s">
        <v>3</v>
      </c>
      <c r="E105" s="67" t="b">
        <f t="shared" si="1"/>
        <v>0</v>
      </c>
      <c r="F105" s="44"/>
      <c r="G105" s="44" t="str">
        <f t="shared" si="4"/>
        <v/>
      </c>
      <c r="H105" s="44"/>
      <c r="I105" s="44"/>
      <c r="J105" s="44" t="str">
        <f t="shared" si="2"/>
        <v/>
      </c>
      <c r="K105" s="44"/>
      <c r="L105" s="44"/>
      <c r="M105" s="68"/>
      <c r="N105" s="4773"/>
      <c r="O105" s="4777"/>
      <c r="P105" s="2710"/>
      <c r="Q105" s="1060" t="s">
        <v>3</v>
      </c>
      <c r="R105" s="736" t="b">
        <f t="shared" si="3"/>
        <v>0</v>
      </c>
      <c r="S105" s="44"/>
      <c r="T105" s="1534"/>
      <c r="U105" s="68"/>
      <c r="V105" s="4791"/>
      <c r="W105" s="4754"/>
      <c r="X105" s="1443"/>
      <c r="Y105" s="1443"/>
      <c r="Z105" s="2698"/>
    </row>
    <row r="106" spans="1:84" ht="44.5" thickTop="1" thickBot="1" x14ac:dyDescent="0.35">
      <c r="A106" s="37"/>
      <c r="B106" s="1504"/>
      <c r="C106" s="1717" t="s">
        <v>509</v>
      </c>
      <c r="D106" s="554" t="s">
        <v>3</v>
      </c>
      <c r="E106" s="67" t="b">
        <f t="shared" si="1"/>
        <v>0</v>
      </c>
      <c r="F106" s="44"/>
      <c r="G106" s="44" t="str">
        <f t="shared" si="4"/>
        <v/>
      </c>
      <c r="H106" s="44"/>
      <c r="I106" s="44"/>
      <c r="J106" s="44" t="str">
        <f t="shared" si="2"/>
        <v/>
      </c>
      <c r="K106" s="44"/>
      <c r="L106" s="44"/>
      <c r="M106" s="68"/>
      <c r="N106" s="4773"/>
      <c r="O106" s="4777"/>
      <c r="P106" s="2710"/>
      <c r="Q106" s="1060" t="s">
        <v>3</v>
      </c>
      <c r="R106" s="736" t="b">
        <f t="shared" si="3"/>
        <v>0</v>
      </c>
      <c r="S106" s="44"/>
      <c r="T106" s="1534"/>
      <c r="U106" s="68"/>
      <c r="V106" s="4791"/>
      <c r="W106" s="4754"/>
      <c r="X106" s="1443"/>
      <c r="Y106" s="1443"/>
      <c r="Z106" s="2698"/>
    </row>
    <row r="107" spans="1:84" ht="30" thickTop="1" thickBot="1" x14ac:dyDescent="0.35">
      <c r="A107" s="37"/>
      <c r="B107" s="1504"/>
      <c r="C107" s="1717" t="s">
        <v>510</v>
      </c>
      <c r="D107" s="567" t="s">
        <v>3</v>
      </c>
      <c r="E107" s="67" t="b">
        <f t="shared" si="1"/>
        <v>0</v>
      </c>
      <c r="F107" s="44"/>
      <c r="G107" s="44" t="str">
        <f t="shared" si="4"/>
        <v/>
      </c>
      <c r="H107" s="44"/>
      <c r="I107" s="79"/>
      <c r="J107" s="79" t="str">
        <f t="shared" si="2"/>
        <v/>
      </c>
      <c r="K107" s="79"/>
      <c r="L107" s="79"/>
      <c r="M107" s="143"/>
      <c r="N107" s="4774"/>
      <c r="O107" s="4779"/>
      <c r="P107" s="3904"/>
      <c r="Q107" s="1862" t="s">
        <v>3</v>
      </c>
      <c r="R107" s="833" t="b">
        <f t="shared" si="3"/>
        <v>0</v>
      </c>
      <c r="S107" s="79"/>
      <c r="T107" s="3073"/>
      <c r="U107" s="143"/>
      <c r="V107" s="4446"/>
      <c r="W107" s="4754"/>
      <c r="X107" s="1442"/>
      <c r="Y107" s="1442"/>
      <c r="Z107" s="3303"/>
    </row>
    <row r="108" spans="1:84" ht="232.5" thickTop="1" x14ac:dyDescent="0.3">
      <c r="A108" s="37"/>
      <c r="B108" s="3890"/>
      <c r="C108" s="1717" t="s">
        <v>511</v>
      </c>
      <c r="D108" s="229" t="s">
        <v>3</v>
      </c>
      <c r="E108" s="67"/>
      <c r="F108" s="44"/>
      <c r="G108" s="44"/>
      <c r="H108" s="44"/>
      <c r="I108" s="111"/>
      <c r="J108" s="111"/>
      <c r="K108" s="111"/>
      <c r="L108" s="111"/>
      <c r="M108" s="211"/>
      <c r="N108" s="3895"/>
      <c r="O108" s="3896"/>
      <c r="P108" s="3897"/>
      <c r="Q108" s="3898"/>
      <c r="R108" s="3899"/>
      <c r="S108" s="111"/>
      <c r="T108" s="1532"/>
      <c r="U108" s="211"/>
      <c r="V108" s="3872"/>
      <c r="W108" s="3873"/>
      <c r="X108" s="2701"/>
      <c r="Y108" s="2701"/>
      <c r="Z108" s="2702"/>
    </row>
    <row r="109" spans="1:84" ht="102" thickBot="1" x14ac:dyDescent="0.35">
      <c r="A109" s="37">
        <v>7.7</v>
      </c>
      <c r="B109" s="3891"/>
      <c r="C109" s="1807" t="s">
        <v>512</v>
      </c>
      <c r="D109" s="230" t="s">
        <v>3</v>
      </c>
      <c r="E109" s="78"/>
      <c r="F109" s="79"/>
      <c r="G109" s="79"/>
      <c r="H109" s="79"/>
      <c r="I109" s="79"/>
      <c r="J109" s="79"/>
      <c r="K109" s="79"/>
      <c r="L109" s="79"/>
      <c r="M109" s="143"/>
      <c r="N109" s="3900"/>
      <c r="O109" s="3800"/>
      <c r="P109" s="3901"/>
      <c r="Q109" s="3902"/>
      <c r="R109" s="3903"/>
      <c r="S109" s="79"/>
      <c r="T109" s="3073"/>
      <c r="U109" s="143"/>
      <c r="V109" s="3874"/>
      <c r="W109" s="3305"/>
      <c r="X109" s="1442"/>
      <c r="Y109" s="1442"/>
      <c r="Z109" s="3303"/>
    </row>
    <row r="110" spans="1:84" ht="44.5" thickTop="1" thickBot="1" x14ac:dyDescent="0.35">
      <c r="A110" s="37">
        <v>7.11</v>
      </c>
      <c r="B110" s="1808"/>
      <c r="C110" s="1809" t="s">
        <v>513</v>
      </c>
      <c r="D110" s="580" t="s">
        <v>3</v>
      </c>
      <c r="E110" s="231" t="b">
        <f>IF(D110="Compliant",TRUE,FALSE)</f>
        <v>0</v>
      </c>
      <c r="F110" s="133"/>
      <c r="G110" s="133" t="str">
        <f t="shared" si="4"/>
        <v/>
      </c>
      <c r="H110" s="133"/>
      <c r="I110" s="133"/>
      <c r="J110" s="133" t="str">
        <f t="shared" si="2"/>
        <v/>
      </c>
      <c r="K110" s="133"/>
      <c r="L110" s="133"/>
      <c r="M110" s="133"/>
      <c r="N110" s="1956" t="s">
        <v>3</v>
      </c>
      <c r="O110" s="1036" t="b">
        <f>IF(OR(N110="Compliant",N110="FE with work-a-round",N110="Functionally Equivalent"),TRUE,FALSE)</f>
        <v>0</v>
      </c>
      <c r="P110" s="336"/>
      <c r="Q110" s="3617" t="s">
        <v>3</v>
      </c>
      <c r="R110" s="397" t="b">
        <f>IF(OR(Q110="Compliant",Q110="FE with work-a-round",Q110="Functionally Equivalent"),TRUE,FALSE)</f>
        <v>0</v>
      </c>
      <c r="S110" s="336"/>
      <c r="T110" s="336"/>
      <c r="U110" s="337"/>
      <c r="V110" s="3617" t="s">
        <v>3</v>
      </c>
      <c r="W110" s="3597" t="b">
        <f>IF(OR(V110="Compliant",V110="FE with work-a-round",V110="Functionally Equivalent",V110="Not Required/Applicable"),TRUE,FALSE)</f>
        <v>0</v>
      </c>
      <c r="X110" s="3875"/>
      <c r="Y110" s="3875"/>
      <c r="Z110" s="2962"/>
    </row>
    <row r="111" spans="1:84" ht="44.5" thickTop="1" thickBot="1" x14ac:dyDescent="0.35">
      <c r="A111" s="37">
        <v>8</v>
      </c>
      <c r="B111" s="1808" t="s">
        <v>456</v>
      </c>
      <c r="C111" s="1809" t="s">
        <v>514</v>
      </c>
      <c r="D111" s="580" t="s">
        <v>3</v>
      </c>
      <c r="E111" s="231" t="b">
        <f>IF(D111="Compliant",TRUE,FALSE)</f>
        <v>0</v>
      </c>
      <c r="F111" s="133"/>
      <c r="G111" s="133">
        <f>IF(AND(I111&lt;&gt;"", E111=TRUE),1, 0)</f>
        <v>0</v>
      </c>
      <c r="H111" s="133">
        <f>IF(AND(I111&lt;&gt;"", E111=FALSE),1, 0)</f>
        <v>0</v>
      </c>
      <c r="I111" s="133"/>
      <c r="J111" s="133">
        <f>IF(AND(L111&lt;&gt;"", E111=TRUE),1, 0)</f>
        <v>0</v>
      </c>
      <c r="K111" s="133">
        <f>IF(AND(L111&lt;&gt;"", E111=FALSE),1, 0)</f>
        <v>0</v>
      </c>
      <c r="L111" s="133"/>
      <c r="M111" s="133"/>
      <c r="N111" s="1956" t="s">
        <v>3</v>
      </c>
      <c r="O111" s="1036" t="b">
        <f>IF(OR(N111="Compliant",N111="FE with work-a-round",N111="Functionally Equivalent"),TRUE,FALSE)</f>
        <v>0</v>
      </c>
      <c r="P111" s="336"/>
      <c r="Q111" s="3617" t="s">
        <v>3</v>
      </c>
      <c r="R111" s="397" t="b">
        <f>IF(OR(Q111="Compliant",Q111="FE with work-a-round",Q111="Functionally Equivalent"),TRUE,FALSE)</f>
        <v>0</v>
      </c>
      <c r="S111" s="336"/>
      <c r="T111" s="336"/>
      <c r="U111" s="337"/>
      <c r="V111" s="3617" t="s">
        <v>3</v>
      </c>
      <c r="W111" s="3597" t="b">
        <f>IF(OR(V111="Compliant",V111="FE with work-a-round",V111="Functionally Equivalent",V111="Not Required/Applicable"),TRUE,FALSE)</f>
        <v>0</v>
      </c>
      <c r="X111" s="3875"/>
      <c r="Y111" s="3875"/>
      <c r="Z111" s="2962"/>
    </row>
    <row r="112" spans="1:84" s="3694" customFormat="1" ht="15" thickTop="1" x14ac:dyDescent="0.3">
      <c r="A112" s="3634"/>
      <c r="B112" s="3634"/>
      <c r="C112" s="3634"/>
      <c r="D112" s="3634"/>
      <c r="E112" s="3634"/>
      <c r="F112" s="3634"/>
      <c r="G112" s="3634"/>
      <c r="H112" s="3634"/>
      <c r="I112" s="3634"/>
      <c r="J112" s="3634"/>
      <c r="K112" s="3634"/>
      <c r="L112" s="3634"/>
      <c r="M112" s="3634"/>
      <c r="N112" s="3876"/>
      <c r="O112" s="3876"/>
      <c r="P112" s="3876"/>
      <c r="Q112" s="3877"/>
      <c r="R112" s="3878"/>
      <c r="S112" s="3679"/>
      <c r="T112" s="3876"/>
      <c r="U112" s="3679"/>
      <c r="V112" s="3879"/>
      <c r="W112" s="3879"/>
      <c r="X112" s="3879"/>
    </row>
    <row r="113" spans="1:84" s="3694" customFormat="1" ht="18.5" x14ac:dyDescent="0.3">
      <c r="A113" s="4482" t="s">
        <v>1202</v>
      </c>
      <c r="B113" s="4483"/>
      <c r="C113" s="4483"/>
      <c r="D113" s="3669"/>
      <c r="E113" s="3669"/>
      <c r="F113" s="3669"/>
      <c r="G113" s="3880"/>
      <c r="H113" s="3669"/>
      <c r="I113" s="3669"/>
      <c r="J113" s="3880"/>
      <c r="K113" s="3669"/>
      <c r="L113" s="3669"/>
      <c r="M113" s="3669"/>
      <c r="N113" s="3881"/>
      <c r="O113" s="3881"/>
      <c r="P113" s="3881"/>
      <c r="Q113" s="3882"/>
      <c r="R113" s="3883"/>
      <c r="S113" s="3884"/>
      <c r="T113" s="3881"/>
      <c r="U113" s="3884"/>
      <c r="V113" s="3885"/>
      <c r="W113" s="3885"/>
      <c r="X113" s="3885"/>
      <c r="Y113" s="3815"/>
      <c r="Z113" s="3815"/>
    </row>
    <row r="114" spans="1:84" s="3694" customFormat="1" ht="15" thickBot="1" x14ac:dyDescent="0.35">
      <c r="A114" s="3634"/>
      <c r="B114" s="3634"/>
      <c r="C114" s="3634"/>
      <c r="D114" s="3634"/>
      <c r="E114" s="3636"/>
      <c r="F114" s="3636"/>
      <c r="G114" s="3633"/>
      <c r="H114" s="3663"/>
      <c r="I114" s="3634"/>
      <c r="J114" s="3643"/>
      <c r="K114" s="3643"/>
      <c r="L114" s="3634"/>
      <c r="M114" s="3634"/>
      <c r="N114" s="3886"/>
      <c r="O114" s="3886"/>
      <c r="P114" s="3886"/>
      <c r="Q114" s="3887"/>
      <c r="R114" s="3888"/>
      <c r="S114" s="3686"/>
      <c r="T114" s="3886"/>
      <c r="U114" s="3686"/>
      <c r="V114" s="3889"/>
      <c r="W114" s="3889"/>
      <c r="X114" s="3889"/>
    </row>
    <row r="115" spans="1:84" s="28" customFormat="1" ht="30" thickTop="1" thickBot="1" x14ac:dyDescent="0.35">
      <c r="A115" s="97">
        <v>11</v>
      </c>
      <c r="B115" s="1872" t="s">
        <v>769</v>
      </c>
      <c r="C115" s="1836" t="s">
        <v>565</v>
      </c>
      <c r="D115" s="1925" t="s">
        <v>565</v>
      </c>
      <c r="E115" s="1942" t="b">
        <f>IF(AND(E116=TRUE,E120=TRUE,E145=TRUE),TRUE,FALSE)</f>
        <v>0</v>
      </c>
      <c r="F115" s="1849">
        <f>SUM(F116,F120)</f>
        <v>0</v>
      </c>
      <c r="G115" s="1849">
        <f>SUM(G116,G120)</f>
        <v>0</v>
      </c>
      <c r="H115" s="1849">
        <f>SUM(H116,H120)</f>
        <v>0</v>
      </c>
      <c r="I115" s="1849" t="str">
        <f xml:space="preserve">
IF(F115&gt;41,"Too Many Entries - Check Red Lines",
IF(AND(E115=FALSE,G115=0,H115=0),"Nothing Entered below Yet",
IF(AND(G115=0,H115&gt;0),"**Non-Valid Entry/ies below - Check Yellow Line/s",
IF(G115&lt;F115,"Valid Entry required below - Check Amber box",
IF(AND(G115&gt;0,H115&gt;0),"**Valid and Non-Valid Entries made below - Check Yellow Line/s",
IF(AND(E115=FALSE,F115&lt;41),"Not all requirements addressed below - Check Pink Line/s",
IF(AND(E115=FALSE,G115&lt;41,G115&gt;0,H115=0),"More entries to come",
IF(AND(E115,TRUE,G115=41,H115=0),"Valid Entries made below"
))))))))</f>
        <v>Nothing Entered below Yet</v>
      </c>
      <c r="J115" s="1849">
        <f>SUM(J116,J120)</f>
        <v>0</v>
      </c>
      <c r="K115" s="1849">
        <f>SUM(K116,K120)</f>
        <v>0</v>
      </c>
      <c r="L115" s="1849" t="str">
        <f xml:space="preserve">
IF(J115&gt;41,"Too Many Entries - Check Red Lines",
IF(AND(E115=FALSE,J115=0,K115=0,E115=TRUE),"Nothing Required Below",
IF(J115&lt;F115,"Valid Entry required below - Check Amber Line/s",
IF(AND(E115=FALSE,J115=0,K115=0),"Nothing Entered below Yet",
IF(AND(J115=0,K115&gt;0),"**Non-Valid Entry/ies below - Check Yellow Line/s",
IF(AND(J115&gt;0,K115&gt;0),"**Valid and Non-Valid Entries made below - Check Yellow Line/s",
IF(AND(E115=FALSE,J115&lt;41),"Not all requirements addressed below - Check Pink Line/s",
IF(AND(E115=FALSE,J115&lt;41,J115&gt;0,K115=0),"More entries to come",
IF(AND(E115,TRUE,J115=41,K115=0),"Valid Entries made below"
)))))))))</f>
        <v>Nothing Entered below Yet</v>
      </c>
      <c r="M115" s="597"/>
      <c r="N115" s="1824" t="s">
        <v>565</v>
      </c>
      <c r="O115" s="132" t="b">
        <f>IF(AND(O116=TRUE,O120=TRUE),TRUE,FALSE)</f>
        <v>0</v>
      </c>
      <c r="P115" s="704"/>
      <c r="Q115" s="1871" t="s">
        <v>565</v>
      </c>
      <c r="R115" s="735" t="b">
        <f>IF(AND(R116=TRUE,R120=TRUE,R145=TRUE),TRUE,FALSE)</f>
        <v>0</v>
      </c>
      <c r="S115" s="186"/>
      <c r="T115" s="186"/>
      <c r="U115" s="459"/>
      <c r="V115" s="1823" t="s">
        <v>565</v>
      </c>
      <c r="W115" s="837" t="b">
        <f>IF(AND(W116=TRUE,W120=TRUE),TRUE,FALSE)</f>
        <v>0</v>
      </c>
      <c r="X115" s="138"/>
      <c r="Y115" s="111"/>
      <c r="Z115" s="120"/>
      <c r="AW115" s="67"/>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68"/>
    </row>
    <row r="116" spans="1:84" ht="31.5" customHeight="1" thickTop="1" thickBot="1" x14ac:dyDescent="0.35">
      <c r="A116" s="15">
        <v>7</v>
      </c>
      <c r="B116" s="1495" t="s">
        <v>1000</v>
      </c>
      <c r="C116" s="1734" t="s">
        <v>1679</v>
      </c>
      <c r="D116" s="2010" t="s">
        <v>565</v>
      </c>
      <c r="E116" s="1937" t="b">
        <f>IF(AND(E117=TRUE,E118=TRUE,E119=TRUE),TRUE,FALSE)</f>
        <v>0</v>
      </c>
      <c r="F116" s="1934">
        <f>COUNTIF(E117:E119,TRUE)</f>
        <v>0</v>
      </c>
      <c r="G116" s="2014">
        <f>COUNTIFS(E117:E119,TRUE,G117:G119,"Not Blank")</f>
        <v>0</v>
      </c>
      <c r="H116" s="1944">
        <f>COUNTIFS(E117:E119,FALSE,G117:G119,"Not Blank")</f>
        <v>0</v>
      </c>
      <c r="I116" s="2255" t="str">
        <f xml:space="preserve">
IF(F116&gt;3,"Too Many Entries - Check Red Lines",
IF(G116&lt;F116,"Valid Entry required below - Check Amber Line/s",
IF(AND(E116=FALSE,G116=0,H116=0),"Nothing Entered below Yet",
IF(G116&lt;F116,"Valid Entry required below - Check Amber Line/s",
IF(AND(G116=0,H116&gt;0),"**Non-Valid Entry/ies below - Check Yellow Line/s",
IF(AND(G116&gt;0,H116&gt;0),"**Valid and Non-Valid Entries made below - Check Yellow Line/s",
IF(AND(E116=FALSE,F116&lt;3),"Not all requirements addressed below - Check Pink Line/s",
IF(AND(E116=FALSE,G116&lt;3,G116&gt;0,H116=0),"More entries to come",
IF(AND(E116,TRUE,G116=3,H116=0),"Valid Entries made below"
)))))))))</f>
        <v>Nothing Entered below Yet</v>
      </c>
      <c r="J116" s="2256">
        <f>COUNTIFS(E117:E119,TRUE,J117:J119,"Not Blank")</f>
        <v>0</v>
      </c>
      <c r="K116" s="2256">
        <f>COUNTIFS(E117:E119,FALSE,J117:J119,"Not Blank")</f>
        <v>0</v>
      </c>
      <c r="L116" s="2255" t="str">
        <f xml:space="preserve">
IF(J116&gt;3,"Too Many Entries - Check Red Lines",
IF(J116&lt;F116,"Valid Entry required below - Check Amber Line/s",
IF(AND(E116=FALSE,J116=0,K116=0),"Nothing Entered below Yet",
IF(AND(J116=0,K116&gt;0),"**Non-Valid Entry/ies below - Check Yellow Line/s",
IF(AND(J116&gt;0,K116&gt;0),"**Valid and Non-Valid Entries made below - Check Yellow Line/s",
IF(AND(E116=FALSE,J116&lt;3),"Not all requirements addressed below - Check Pink Line/s",
IF(AND(E116=FALSE,J116&lt;3,J116&gt;0,K116=0),"More entries to come",
IF(AND(E116,TRUE,J116=3,K116=0),"Valid Entries made below"
))))))))</f>
        <v>Nothing Entered below Yet</v>
      </c>
      <c r="M116" s="2158"/>
      <c r="N116" s="4791" t="s">
        <v>3</v>
      </c>
      <c r="O116" s="4589" t="b">
        <f>IF(OR(N116="Compliant",N116="FE with work-a-round",N116="Functionally Equivalent"),TRUE,FALSE)</f>
        <v>0</v>
      </c>
      <c r="P116" s="2249"/>
      <c r="Q116" s="2250" t="s">
        <v>565</v>
      </c>
      <c r="R116" s="814" t="b">
        <f>IF(AND(R117=TRUE,R118=TRUE,R119=TRUE),TRUE,FALSE)</f>
        <v>0</v>
      </c>
      <c r="S116" s="111"/>
      <c r="T116" s="111"/>
      <c r="U116" s="211"/>
      <c r="V116" s="4773" t="s">
        <v>3</v>
      </c>
      <c r="W116" s="4793" t="b">
        <f>IF(OR(V116="Compliant",V116="FE with work-a-round",V116="Functionally Equivalent",V116="Not Required/Applicable"),TRUE,FALSE)</f>
        <v>0</v>
      </c>
      <c r="X116" s="3873"/>
      <c r="Y116" s="2701"/>
      <c r="Z116" s="2702"/>
    </row>
    <row r="117" spans="1:84" ht="30" thickTop="1" thickBot="1" x14ac:dyDescent="0.35">
      <c r="A117" s="15"/>
      <c r="B117" s="1504"/>
      <c r="C117" s="2167" t="s">
        <v>1001</v>
      </c>
      <c r="D117" s="2168" t="s">
        <v>3</v>
      </c>
      <c r="E117" s="594" t="b">
        <f>IF(D117="Compliant",TRUE,FALSE)</f>
        <v>0</v>
      </c>
      <c r="F117" s="361"/>
      <c r="G117" s="324" t="str">
        <f t="shared" ref="G117:G158" si="5">IF(I117&lt;&gt;"", "Not Blank", "")</f>
        <v/>
      </c>
      <c r="H117" s="380"/>
      <c r="I117" s="42"/>
      <c r="J117" s="391" t="str">
        <f>IF(L117&lt;&gt;"", "Not Blank", "")</f>
        <v/>
      </c>
      <c r="K117" s="391"/>
      <c r="L117" s="42"/>
      <c r="M117" s="144"/>
      <c r="N117" s="4791"/>
      <c r="O117" s="4589"/>
      <c r="P117" s="2708"/>
      <c r="Q117" s="1863" t="s">
        <v>3</v>
      </c>
      <c r="R117" s="3603" t="b">
        <f>IF(OR(Q117="Compliant",Q117="FE with work-a-round",Q117="Functionally Equivalent"),TRUE,FALSE)</f>
        <v>0</v>
      </c>
      <c r="S117" s="44"/>
      <c r="T117" s="1534"/>
      <c r="U117" s="68"/>
      <c r="V117" s="4773"/>
      <c r="W117" s="4793"/>
      <c r="X117" s="2709"/>
      <c r="Y117" s="1443"/>
      <c r="Z117" s="2698"/>
    </row>
    <row r="118" spans="1:84" ht="73.5" thickTop="1" thickBot="1" x14ac:dyDescent="0.35">
      <c r="A118" s="19" t="s">
        <v>361</v>
      </c>
      <c r="B118" s="1504"/>
      <c r="C118" s="1717" t="s">
        <v>1203</v>
      </c>
      <c r="D118" s="319" t="s">
        <v>3</v>
      </c>
      <c r="E118" s="594" t="b">
        <f>IF(D118="Compliant",TRUE,FALSE)</f>
        <v>0</v>
      </c>
      <c r="F118" s="361"/>
      <c r="G118" s="44" t="str">
        <f t="shared" si="5"/>
        <v/>
      </c>
      <c r="H118" s="361"/>
      <c r="I118" s="44"/>
      <c r="J118" s="216" t="str">
        <f t="shared" ref="J118:J158" si="6">IF(L118&lt;&gt;"", "Not Blank", "")</f>
        <v/>
      </c>
      <c r="K118" s="216"/>
      <c r="L118" s="44"/>
      <c r="M118" s="68"/>
      <c r="N118" s="4791"/>
      <c r="O118" s="4589"/>
      <c r="P118" s="2710"/>
      <c r="Q118" s="3615" t="s">
        <v>3</v>
      </c>
      <c r="R118" s="3603" t="b">
        <f>IF(OR(Q118="Compliant",Q118="FE with work-a-round",Q118="Functionally Equivalent"),TRUE,FALSE)</f>
        <v>0</v>
      </c>
      <c r="S118" s="44"/>
      <c r="T118" s="1534"/>
      <c r="U118" s="68"/>
      <c r="V118" s="4773"/>
      <c r="W118" s="4793"/>
      <c r="X118" s="2709"/>
      <c r="Y118" s="1443"/>
      <c r="Z118" s="2698"/>
    </row>
    <row r="119" spans="1:84" ht="73.5" thickTop="1" thickBot="1" x14ac:dyDescent="0.35">
      <c r="A119" s="28"/>
      <c r="B119" s="1504"/>
      <c r="C119" s="1807" t="s">
        <v>1204</v>
      </c>
      <c r="D119" s="230" t="s">
        <v>3</v>
      </c>
      <c r="E119" s="208" t="b">
        <f>IF(D119="Compliant",TRUE,FALSE)</f>
        <v>0</v>
      </c>
      <c r="F119" s="387"/>
      <c r="G119" s="868" t="str">
        <f t="shared" si="5"/>
        <v/>
      </c>
      <c r="H119" s="402"/>
      <c r="I119" s="79"/>
      <c r="J119" s="403" t="str">
        <f t="shared" si="6"/>
        <v/>
      </c>
      <c r="K119" s="403"/>
      <c r="L119" s="79"/>
      <c r="M119" s="143"/>
      <c r="N119" s="4791"/>
      <c r="O119" s="4589"/>
      <c r="P119" s="2710"/>
      <c r="Q119" s="3616" t="s">
        <v>3</v>
      </c>
      <c r="R119" s="3603" t="b">
        <f>IF(OR(Q119="Compliant",Q119="FE with work-a-round",Q119="Functionally Equivalent"),TRUE,FALSE)</f>
        <v>0</v>
      </c>
      <c r="S119" s="44"/>
      <c r="T119" s="1534"/>
      <c r="U119" s="68"/>
      <c r="V119" s="4773"/>
      <c r="W119" s="4793"/>
      <c r="X119" s="3305"/>
      <c r="Y119" s="1442"/>
      <c r="Z119" s="3303"/>
    </row>
    <row r="120" spans="1:84" s="413" customFormat="1" ht="31.5" thickTop="1" x14ac:dyDescent="0.3">
      <c r="A120" s="19"/>
      <c r="B120" s="1504" t="s">
        <v>1690</v>
      </c>
      <c r="C120" s="2254" t="s">
        <v>1186</v>
      </c>
      <c r="D120" s="2149" t="s">
        <v>565</v>
      </c>
      <c r="E120" s="1937" t="b">
        <f>IF(AND(E135=TRUE,E136=TRUE,E137=TRUE,E138=TRUE,E139=TRUE,E140=TRUE,E141=TRUE,E142=TRUE,E143=TRUE,E144=TRUE,E145=TRUE,E146=TRUE,E147=TRUE,E148=TRUE,E149=TRUE,E150=TRUE,E151=TRUE,E152=TRUE,E153=TRUE,E154=TRUE,E155=TRUE,E156=TRUE,E157=TRUE,E158=TRUE,E121=TRUE,E122=TRUE,E123=TRUE,E124=TRUE,E125=TRUE,E126=TRUE,E127=TRUE,E128=TRUE,E129=TRUE,E130=TRUE,E131=TRUE,E132=TRUE,E133=TRUE,E134=TRUE),TRUE,FALSE)</f>
        <v>0</v>
      </c>
      <c r="F120" s="1934">
        <f>COUNTIF(E121:E158,TRUE)</f>
        <v>0</v>
      </c>
      <c r="G120" s="2014">
        <f>COUNTIFS(E121:E158,TRUE,G121:G158,"Not Blank")</f>
        <v>0</v>
      </c>
      <c r="H120" s="1944">
        <f>COUNTIFS(E121:E158,TRUE,G121:G158,"Not Blank")</f>
        <v>0</v>
      </c>
      <c r="I120" s="2155" t="str">
        <f xml:space="preserve">
IF(F120&gt;38,"Too Many Entries - Check Red Lines",
IF(G120&lt;F120,"Valid Entry required below - Check Amber Line/s",
IF(AND(E120=FALSE,G120=0,H120=0),"Nothing Entered below Yet",
IF(G120&lt;F120,"Valid Entry required below - Check Amber Line/s",
IF(AND(G120=0,H120&gt;0),"**Non-Valid Entry/ies below - Check Yellow Line/s",
IF(AND(G120&gt;0,H120&gt;0),"**Valid and Non-Valid Entries made below - Check Yellow Line/s",
IF(AND(E120=FALSE,F120&lt;38),"Not all requirements addressed below - Check Pink Line/s",
IF(AND(E120=FALSE,G120&lt;38,G120&gt;0,H120=0),"More entries to come",
IF(AND(E120,TRUE,G120=38,H120=0),"Valid Entries made below"
)))))))))</f>
        <v>Nothing Entered below Yet</v>
      </c>
      <c r="J120" s="2248">
        <f>COUNTIFS(E121:E158,TRUE,J121:J158,"Not Blank")</f>
        <v>0</v>
      </c>
      <c r="K120" s="2248">
        <f>COUNTIFS(E121:E158,TRUE,J121:J158,"Not Blank")</f>
        <v>0</v>
      </c>
      <c r="L120" s="2155" t="str">
        <f xml:space="preserve">
IF(J120&gt;38,"Too Many Entries - Check Red Lines",
IF(J120&lt;F120,"Valid Entry required below - Check Amber Line/s",
IF(AND(E120=FALSE,J120=0,K120=0),"Nothing Entered below Yet",
IF(AND(J120=0,K120&gt;0),"**Non-Valid Entry/ies below - Check Yellow Line/s",
IF(AND(J120&gt;0,K120&gt;0),"**Valid and Non-Valid Entries made below - Check Yellow Line/s",
IF(AND(E120=FALSE,J120&lt;38),"Not all requirements addressed below - Check Pink Line/s",
IF(AND(E120=FALSE,J120&lt;38,J120&gt;0,K120=0),"More entries to come",
IF(AND(E120,TRUE,J120=38,K120=0),"Valid Entries made below"
))))))))</f>
        <v>Nothing Entered below Yet</v>
      </c>
      <c r="M120" s="2176"/>
      <c r="N120" s="4446" t="s">
        <v>3</v>
      </c>
      <c r="O120" s="4629" t="b">
        <f>IF(OR(N120="Compliant",N120="FE with work-a-round",N120="Functionally Equivalent"),TRUE,FALSE)</f>
        <v>0</v>
      </c>
      <c r="P120" s="2249"/>
      <c r="Q120" s="4135" t="s">
        <v>565</v>
      </c>
      <c r="R120" s="814" t="b">
        <f>IF(AND(R135=TRUE,R136=TRUE,R137=TRUE,R138=TRUE,R139=TRUE,R140=TRUE,R141=TRUE,R142=TRUE,R143=TRUE,R144=TRUE,R145=TRUE,R146=TRUE,R147=TRUE,R148=TRUE,R149=TRUE,R150=TRUE,R151=TRUE,R152=TRUE,R153=TRUE,R154=TRUE,R155=TRUE,R156=TRUE,R157=TRUE,R158=TRUE,R121=TRUE,R122=TRUE,R123=TRUE,R124=TRUE,R125=TRUE,R126=TRUE,R127=TRUE,R128=TRUE,R129=TRUE,R130=TRUE,R131=TRUE,R132=TRUE,R133=TRUE,R134=TRUE),TRUE,FALSE)</f>
        <v>0</v>
      </c>
      <c r="S120" s="111"/>
      <c r="T120" s="111"/>
      <c r="U120" s="211"/>
      <c r="V120" s="4773" t="s">
        <v>3</v>
      </c>
      <c r="W120" s="4468" t="b">
        <f>IF(OR(V120="Compliant",V120="FE with work-a-round",V120="Functionally Equivalent",V120="Not Required/Applicable"),TRUE,FALSE)</f>
        <v>0</v>
      </c>
      <c r="X120" s="1452"/>
      <c r="Y120" s="1452"/>
      <c r="Z120" s="1450"/>
    </row>
    <row r="121" spans="1:84" ht="29" x14ac:dyDescent="0.3">
      <c r="A121" s="17"/>
      <c r="B121" s="1504"/>
      <c r="C121" s="1806" t="s">
        <v>1680</v>
      </c>
      <c r="D121" s="1013" t="s">
        <v>3</v>
      </c>
      <c r="E121" s="564" t="b">
        <f t="shared" ref="E121:E158" si="7">IF(D121="Compliant",TRUE,FALSE)</f>
        <v>0</v>
      </c>
      <c r="F121" s="380"/>
      <c r="G121" s="324" t="str">
        <f t="shared" si="5"/>
        <v/>
      </c>
      <c r="H121" s="380"/>
      <c r="I121" s="2705"/>
      <c r="J121" s="391" t="str">
        <f t="shared" si="6"/>
        <v/>
      </c>
      <c r="K121" s="2706"/>
      <c r="L121" s="2610"/>
      <c r="M121" s="2707"/>
      <c r="N121" s="4447"/>
      <c r="O121" s="4630"/>
      <c r="P121" s="2708"/>
      <c r="Q121" s="1863" t="s">
        <v>3</v>
      </c>
      <c r="R121" s="737" t="b">
        <f>IF(OR(Q121="Compliant",Q121="FE with work-a-round",Q121="Functionally Equivalent"),TRUE,FALSE)</f>
        <v>0</v>
      </c>
      <c r="S121" s="44"/>
      <c r="T121" s="1534"/>
      <c r="U121" s="68"/>
      <c r="V121" s="4773"/>
      <c r="W121" s="4468"/>
      <c r="X121" s="2709"/>
      <c r="Y121" s="1443"/>
      <c r="Z121" s="2698"/>
    </row>
    <row r="122" spans="1:84" ht="43.5" x14ac:dyDescent="0.3">
      <c r="A122" s="28"/>
      <c r="B122" s="1504"/>
      <c r="C122" s="1717" t="s">
        <v>1682</v>
      </c>
      <c r="D122" s="319" t="s">
        <v>3</v>
      </c>
      <c r="E122" s="67" t="b">
        <f t="shared" si="7"/>
        <v>0</v>
      </c>
      <c r="F122" s="44"/>
      <c r="G122" s="44" t="str">
        <f t="shared" si="5"/>
        <v/>
      </c>
      <c r="H122" s="44"/>
      <c r="I122" s="44"/>
      <c r="J122" s="216" t="str">
        <f t="shared" si="6"/>
        <v/>
      </c>
      <c r="K122" s="44"/>
      <c r="L122" s="44"/>
      <c r="M122" s="68"/>
      <c r="N122" s="4447"/>
      <c r="O122" s="4630"/>
      <c r="P122" s="2710"/>
      <c r="Q122" s="1060" t="s">
        <v>3</v>
      </c>
      <c r="R122" s="737" t="b">
        <f t="shared" ref="R122:R158" si="8">IF(OR(Q122="Compliant",Q122="FE with work-a-round",Q122="Functionally Equivalent"),TRUE,FALSE)</f>
        <v>0</v>
      </c>
      <c r="S122" s="44"/>
      <c r="T122" s="1534"/>
      <c r="U122" s="68"/>
      <c r="V122" s="4773"/>
      <c r="W122" s="4468"/>
      <c r="X122" s="2709"/>
      <c r="Y122" s="1443"/>
      <c r="Z122" s="2698"/>
    </row>
    <row r="123" spans="1:84" ht="29" x14ac:dyDescent="0.3">
      <c r="A123" s="28"/>
      <c r="B123" s="1504"/>
      <c r="C123" s="1717" t="s">
        <v>1681</v>
      </c>
      <c r="D123" s="319" t="s">
        <v>3</v>
      </c>
      <c r="E123" s="67" t="b">
        <f t="shared" si="7"/>
        <v>0</v>
      </c>
      <c r="F123" s="44"/>
      <c r="G123" s="44" t="str">
        <f t="shared" si="5"/>
        <v/>
      </c>
      <c r="H123" s="44"/>
      <c r="I123" s="44"/>
      <c r="J123" s="216" t="str">
        <f t="shared" si="6"/>
        <v/>
      </c>
      <c r="K123" s="44"/>
      <c r="L123" s="44"/>
      <c r="M123" s="68"/>
      <c r="N123" s="4447"/>
      <c r="O123" s="4630"/>
      <c r="P123" s="2710"/>
      <c r="Q123" s="1060" t="s">
        <v>3</v>
      </c>
      <c r="R123" s="737" t="b">
        <f t="shared" si="8"/>
        <v>0</v>
      </c>
      <c r="S123" s="44"/>
      <c r="T123" s="1534"/>
      <c r="U123" s="68"/>
      <c r="V123" s="4773"/>
      <c r="W123" s="4468"/>
      <c r="X123" s="2709"/>
      <c r="Y123" s="1443"/>
      <c r="Z123" s="2698"/>
    </row>
    <row r="124" spans="1:84" ht="29" x14ac:dyDescent="0.3">
      <c r="A124" s="28"/>
      <c r="B124" s="1504"/>
      <c r="C124" s="1717" t="s">
        <v>93</v>
      </c>
      <c r="D124" s="319" t="s">
        <v>3</v>
      </c>
      <c r="E124" s="67" t="b">
        <f t="shared" si="7"/>
        <v>0</v>
      </c>
      <c r="F124" s="44"/>
      <c r="G124" s="44" t="str">
        <f t="shared" si="5"/>
        <v/>
      </c>
      <c r="H124" s="44"/>
      <c r="I124" s="44"/>
      <c r="J124" s="216" t="str">
        <f t="shared" si="6"/>
        <v/>
      </c>
      <c r="K124" s="44"/>
      <c r="L124" s="44"/>
      <c r="M124" s="68"/>
      <c r="N124" s="4447"/>
      <c r="O124" s="4630"/>
      <c r="P124" s="2710"/>
      <c r="Q124" s="1060" t="s">
        <v>3</v>
      </c>
      <c r="R124" s="737" t="b">
        <f t="shared" si="8"/>
        <v>0</v>
      </c>
      <c r="S124" s="44"/>
      <c r="T124" s="1534"/>
      <c r="U124" s="68"/>
      <c r="V124" s="4773"/>
      <c r="W124" s="4468"/>
      <c r="X124" s="2709"/>
      <c r="Y124" s="1443"/>
      <c r="Z124" s="2698"/>
    </row>
    <row r="125" spans="1:84" ht="58" x14ac:dyDescent="0.3">
      <c r="A125" s="28"/>
      <c r="B125" s="1504"/>
      <c r="C125" s="1717" t="s">
        <v>95</v>
      </c>
      <c r="D125" s="319" t="s">
        <v>3</v>
      </c>
      <c r="E125" s="67" t="b">
        <f t="shared" si="7"/>
        <v>0</v>
      </c>
      <c r="F125" s="44"/>
      <c r="G125" s="44" t="str">
        <f t="shared" si="5"/>
        <v/>
      </c>
      <c r="H125" s="44"/>
      <c r="I125" s="44"/>
      <c r="J125" s="216" t="str">
        <f t="shared" si="6"/>
        <v/>
      </c>
      <c r="K125" s="44"/>
      <c r="L125" s="44"/>
      <c r="M125" s="68"/>
      <c r="N125" s="4447"/>
      <c r="O125" s="4630"/>
      <c r="P125" s="2710"/>
      <c r="Q125" s="1060" t="s">
        <v>3</v>
      </c>
      <c r="R125" s="737" t="b">
        <f t="shared" si="8"/>
        <v>0</v>
      </c>
      <c r="S125" s="44"/>
      <c r="T125" s="1534"/>
      <c r="U125" s="68"/>
      <c r="V125" s="4773"/>
      <c r="W125" s="4468"/>
      <c r="X125" s="2709"/>
      <c r="Y125" s="1443"/>
      <c r="Z125" s="2698"/>
    </row>
    <row r="126" spans="1:84" ht="58" x14ac:dyDescent="0.3">
      <c r="A126" s="28"/>
      <c r="B126" s="1504"/>
      <c r="C126" s="1717" t="s">
        <v>96</v>
      </c>
      <c r="D126" s="319" t="s">
        <v>3</v>
      </c>
      <c r="E126" s="67" t="b">
        <f t="shared" si="7"/>
        <v>0</v>
      </c>
      <c r="F126" s="44"/>
      <c r="G126" s="44" t="str">
        <f t="shared" si="5"/>
        <v/>
      </c>
      <c r="H126" s="44"/>
      <c r="I126" s="44"/>
      <c r="J126" s="216" t="str">
        <f t="shared" si="6"/>
        <v/>
      </c>
      <c r="K126" s="44"/>
      <c r="L126" s="44"/>
      <c r="M126" s="68"/>
      <c r="N126" s="4447"/>
      <c r="O126" s="4630"/>
      <c r="P126" s="2710"/>
      <c r="Q126" s="1060" t="s">
        <v>3</v>
      </c>
      <c r="R126" s="737" t="b">
        <f t="shared" si="8"/>
        <v>0</v>
      </c>
      <c r="S126" s="44"/>
      <c r="T126" s="1534"/>
      <c r="U126" s="68"/>
      <c r="V126" s="4773"/>
      <c r="W126" s="4468"/>
      <c r="X126" s="2709"/>
      <c r="Y126" s="1443"/>
      <c r="Z126" s="2698"/>
    </row>
    <row r="127" spans="1:84" ht="29" x14ac:dyDescent="0.3">
      <c r="A127" s="28"/>
      <c r="B127" s="1504"/>
      <c r="C127" s="1717" t="s">
        <v>97</v>
      </c>
      <c r="D127" s="319" t="s">
        <v>3</v>
      </c>
      <c r="E127" s="67" t="b">
        <f t="shared" si="7"/>
        <v>0</v>
      </c>
      <c r="F127" s="44"/>
      <c r="G127" s="44" t="str">
        <f t="shared" si="5"/>
        <v/>
      </c>
      <c r="H127" s="44"/>
      <c r="I127" s="44"/>
      <c r="J127" s="216" t="str">
        <f t="shared" si="6"/>
        <v/>
      </c>
      <c r="K127" s="44"/>
      <c r="L127" s="44"/>
      <c r="M127" s="68"/>
      <c r="N127" s="4447"/>
      <c r="O127" s="4630"/>
      <c r="P127" s="2711"/>
      <c r="Q127" s="1060" t="s">
        <v>3</v>
      </c>
      <c r="R127" s="737" t="b">
        <f t="shared" si="8"/>
        <v>0</v>
      </c>
      <c r="S127" s="1570"/>
      <c r="T127" s="1570"/>
      <c r="U127" s="2697"/>
      <c r="V127" s="4773"/>
      <c r="W127" s="4468"/>
      <c r="X127" s="2709"/>
      <c r="Y127" s="1443"/>
      <c r="Z127" s="2698"/>
    </row>
    <row r="128" spans="1:84" ht="29" x14ac:dyDescent="0.3">
      <c r="A128" s="28"/>
      <c r="B128" s="1504"/>
      <c r="C128" s="1717" t="s">
        <v>1759</v>
      </c>
      <c r="D128" s="319" t="s">
        <v>3</v>
      </c>
      <c r="E128" s="67" t="b">
        <f t="shared" si="7"/>
        <v>0</v>
      </c>
      <c r="F128" s="44"/>
      <c r="G128" s="44" t="str">
        <f t="shared" si="5"/>
        <v/>
      </c>
      <c r="H128" s="44"/>
      <c r="I128" s="44"/>
      <c r="J128" s="216" t="str">
        <f t="shared" si="6"/>
        <v/>
      </c>
      <c r="K128" s="44"/>
      <c r="L128" s="44"/>
      <c r="M128" s="68"/>
      <c r="N128" s="4447"/>
      <c r="O128" s="4630"/>
      <c r="P128" s="2711"/>
      <c r="Q128" s="1060" t="s">
        <v>3</v>
      </c>
      <c r="R128" s="737" t="b">
        <f t="shared" si="8"/>
        <v>0</v>
      </c>
      <c r="S128" s="1570"/>
      <c r="T128" s="1570"/>
      <c r="U128" s="2697"/>
      <c r="V128" s="4773"/>
      <c r="W128" s="4468"/>
      <c r="X128" s="2709"/>
      <c r="Y128" s="1443"/>
      <c r="Z128" s="2698"/>
    </row>
    <row r="129" spans="1:26" ht="29" x14ac:dyDescent="0.3">
      <c r="A129" s="28"/>
      <c r="B129" s="1504"/>
      <c r="C129" s="1717" t="s">
        <v>1760</v>
      </c>
      <c r="D129" s="319" t="s">
        <v>3</v>
      </c>
      <c r="E129" s="67" t="b">
        <f t="shared" si="7"/>
        <v>0</v>
      </c>
      <c r="F129" s="44"/>
      <c r="G129" s="44" t="str">
        <f t="shared" si="5"/>
        <v/>
      </c>
      <c r="H129" s="44"/>
      <c r="I129" s="44"/>
      <c r="J129" s="216" t="str">
        <f t="shared" si="6"/>
        <v/>
      </c>
      <c r="K129" s="44"/>
      <c r="L129" s="44"/>
      <c r="M129" s="68"/>
      <c r="N129" s="4447"/>
      <c r="O129" s="4630"/>
      <c r="P129" s="2710"/>
      <c r="Q129" s="1060" t="s">
        <v>3</v>
      </c>
      <c r="R129" s="737" t="b">
        <f t="shared" si="8"/>
        <v>0</v>
      </c>
      <c r="S129" s="44"/>
      <c r="T129" s="1534"/>
      <c r="U129" s="68"/>
      <c r="V129" s="4773"/>
      <c r="W129" s="4468"/>
      <c r="X129" s="2709"/>
      <c r="Y129" s="1443"/>
      <c r="Z129" s="2698"/>
    </row>
    <row r="130" spans="1:26" ht="29" x14ac:dyDescent="0.3">
      <c r="A130" s="28"/>
      <c r="B130" s="1504"/>
      <c r="C130" s="1717" t="s">
        <v>1683</v>
      </c>
      <c r="D130" s="319" t="s">
        <v>3</v>
      </c>
      <c r="E130" s="67" t="b">
        <f t="shared" si="7"/>
        <v>0</v>
      </c>
      <c r="F130" s="44"/>
      <c r="G130" s="44" t="str">
        <f t="shared" si="5"/>
        <v/>
      </c>
      <c r="H130" s="44"/>
      <c r="I130" s="44"/>
      <c r="J130" s="216" t="str">
        <f t="shared" si="6"/>
        <v/>
      </c>
      <c r="K130" s="44"/>
      <c r="L130" s="44"/>
      <c r="M130" s="68"/>
      <c r="N130" s="4447"/>
      <c r="O130" s="4630"/>
      <c r="P130" s="2710"/>
      <c r="Q130" s="1060" t="s">
        <v>3</v>
      </c>
      <c r="R130" s="737" t="b">
        <f t="shared" si="8"/>
        <v>0</v>
      </c>
      <c r="S130" s="44"/>
      <c r="T130" s="1534"/>
      <c r="U130" s="68"/>
      <c r="V130" s="4773"/>
      <c r="W130" s="4468"/>
      <c r="X130" s="2709"/>
      <c r="Y130" s="1443"/>
      <c r="Z130" s="2698"/>
    </row>
    <row r="131" spans="1:26" ht="29" x14ac:dyDescent="0.3">
      <c r="A131" s="28"/>
      <c r="B131" s="1504"/>
      <c r="C131" s="1717" t="s">
        <v>101</v>
      </c>
      <c r="D131" s="319" t="s">
        <v>3</v>
      </c>
      <c r="E131" s="67" t="b">
        <f t="shared" si="7"/>
        <v>0</v>
      </c>
      <c r="F131" s="44"/>
      <c r="G131" s="44" t="str">
        <f t="shared" si="5"/>
        <v/>
      </c>
      <c r="H131" s="44"/>
      <c r="I131" s="44"/>
      <c r="J131" s="216" t="str">
        <f t="shared" si="6"/>
        <v/>
      </c>
      <c r="K131" s="44"/>
      <c r="L131" s="44"/>
      <c r="M131" s="68"/>
      <c r="N131" s="4447"/>
      <c r="O131" s="4630"/>
      <c r="P131" s="2710"/>
      <c r="Q131" s="1060" t="s">
        <v>3</v>
      </c>
      <c r="R131" s="737" t="b">
        <f t="shared" si="8"/>
        <v>0</v>
      </c>
      <c r="S131" s="44"/>
      <c r="T131" s="1534"/>
      <c r="U131" s="68"/>
      <c r="V131" s="4773"/>
      <c r="W131" s="4468"/>
      <c r="X131" s="2709"/>
      <c r="Y131" s="1443"/>
      <c r="Z131" s="2698"/>
    </row>
    <row r="132" spans="1:26" ht="29" x14ac:dyDescent="0.3">
      <c r="A132" s="28"/>
      <c r="B132" s="1504"/>
      <c r="C132" s="1717" t="s">
        <v>103</v>
      </c>
      <c r="D132" s="319" t="s">
        <v>3</v>
      </c>
      <c r="E132" s="67" t="b">
        <f t="shared" si="7"/>
        <v>0</v>
      </c>
      <c r="F132" s="44"/>
      <c r="G132" s="44" t="str">
        <f t="shared" si="5"/>
        <v/>
      </c>
      <c r="H132" s="44"/>
      <c r="I132" s="44"/>
      <c r="J132" s="216" t="str">
        <f t="shared" si="6"/>
        <v/>
      </c>
      <c r="K132" s="44"/>
      <c r="L132" s="44"/>
      <c r="M132" s="68"/>
      <c r="N132" s="4447"/>
      <c r="O132" s="4630"/>
      <c r="P132" s="2710"/>
      <c r="Q132" s="1060" t="s">
        <v>3</v>
      </c>
      <c r="R132" s="737" t="b">
        <f t="shared" si="8"/>
        <v>0</v>
      </c>
      <c r="S132" s="44"/>
      <c r="T132" s="1534"/>
      <c r="U132" s="68"/>
      <c r="V132" s="4773"/>
      <c r="W132" s="4468"/>
      <c r="X132" s="2709"/>
      <c r="Y132" s="1443"/>
      <c r="Z132" s="2698"/>
    </row>
    <row r="133" spans="1:26" ht="29" x14ac:dyDescent="0.3">
      <c r="A133" s="28"/>
      <c r="B133" s="1504"/>
      <c r="C133" s="1717" t="s">
        <v>1737</v>
      </c>
      <c r="D133" s="319" t="s">
        <v>3</v>
      </c>
      <c r="E133" s="67" t="b">
        <f t="shared" si="7"/>
        <v>0</v>
      </c>
      <c r="F133" s="44"/>
      <c r="G133" s="44" t="str">
        <f t="shared" si="5"/>
        <v/>
      </c>
      <c r="H133" s="44"/>
      <c r="I133" s="44"/>
      <c r="J133" s="216" t="str">
        <f t="shared" si="6"/>
        <v/>
      </c>
      <c r="K133" s="44"/>
      <c r="L133" s="44"/>
      <c r="M133" s="68"/>
      <c r="N133" s="4447"/>
      <c r="O133" s="4630"/>
      <c r="P133" s="2710"/>
      <c r="Q133" s="1060" t="s">
        <v>3</v>
      </c>
      <c r="R133" s="737" t="b">
        <f t="shared" si="8"/>
        <v>0</v>
      </c>
      <c r="S133" s="44"/>
      <c r="T133" s="1534"/>
      <c r="U133" s="68"/>
      <c r="V133" s="4773"/>
      <c r="W133" s="4468"/>
      <c r="X133" s="2709"/>
      <c r="Y133" s="1443"/>
      <c r="Z133" s="2698"/>
    </row>
    <row r="134" spans="1:26" ht="29" x14ac:dyDescent="0.3">
      <c r="A134" s="28"/>
      <c r="B134" s="1504"/>
      <c r="C134" s="1717" t="s">
        <v>105</v>
      </c>
      <c r="D134" s="319" t="s">
        <v>3</v>
      </c>
      <c r="E134" s="67" t="b">
        <f t="shared" si="7"/>
        <v>0</v>
      </c>
      <c r="F134" s="44"/>
      <c r="G134" s="44" t="str">
        <f t="shared" si="5"/>
        <v/>
      </c>
      <c r="H134" s="44"/>
      <c r="I134" s="44"/>
      <c r="J134" s="216" t="str">
        <f t="shared" si="6"/>
        <v/>
      </c>
      <c r="K134" s="44"/>
      <c r="L134" s="44"/>
      <c r="M134" s="68"/>
      <c r="N134" s="4447"/>
      <c r="O134" s="4630"/>
      <c r="P134" s="2710"/>
      <c r="Q134" s="1060" t="s">
        <v>3</v>
      </c>
      <c r="R134" s="737" t="b">
        <f t="shared" si="8"/>
        <v>0</v>
      </c>
      <c r="S134" s="44"/>
      <c r="T134" s="1534"/>
      <c r="U134" s="68"/>
      <c r="V134" s="4773"/>
      <c r="W134" s="4468"/>
      <c r="X134" s="2709"/>
      <c r="Y134" s="1443"/>
      <c r="Z134" s="2698"/>
    </row>
    <row r="135" spans="1:26" ht="29" x14ac:dyDescent="0.3">
      <c r="A135" s="28"/>
      <c r="B135" s="1504"/>
      <c r="C135" s="1717" t="s">
        <v>1758</v>
      </c>
      <c r="D135" s="319" t="s">
        <v>3</v>
      </c>
      <c r="E135" s="67" t="b">
        <f t="shared" si="7"/>
        <v>0</v>
      </c>
      <c r="F135" s="44"/>
      <c r="G135" s="44" t="str">
        <f t="shared" si="5"/>
        <v/>
      </c>
      <c r="H135" s="44"/>
      <c r="I135" s="44"/>
      <c r="J135" s="216" t="str">
        <f t="shared" si="6"/>
        <v/>
      </c>
      <c r="K135" s="44"/>
      <c r="L135" s="44"/>
      <c r="M135" s="68"/>
      <c r="N135" s="4447"/>
      <c r="O135" s="4630"/>
      <c r="P135" s="2710"/>
      <c r="Q135" s="1060" t="s">
        <v>3</v>
      </c>
      <c r="R135" s="737" t="b">
        <f t="shared" si="8"/>
        <v>0</v>
      </c>
      <c r="S135" s="44"/>
      <c r="T135" s="1534"/>
      <c r="U135" s="68"/>
      <c r="V135" s="4773"/>
      <c r="W135" s="4468"/>
      <c r="X135" s="2709"/>
      <c r="Y135" s="1443"/>
      <c r="Z135" s="2698"/>
    </row>
    <row r="136" spans="1:26" ht="29" x14ac:dyDescent="0.3">
      <c r="A136" s="28"/>
      <c r="B136" s="1504"/>
      <c r="C136" s="1717" t="s">
        <v>1757</v>
      </c>
      <c r="D136" s="319" t="s">
        <v>3</v>
      </c>
      <c r="E136" s="67" t="b">
        <f t="shared" si="7"/>
        <v>0</v>
      </c>
      <c r="F136" s="44"/>
      <c r="G136" s="44" t="str">
        <f t="shared" si="5"/>
        <v/>
      </c>
      <c r="H136" s="44"/>
      <c r="I136" s="44"/>
      <c r="J136" s="216" t="str">
        <f t="shared" si="6"/>
        <v/>
      </c>
      <c r="K136" s="44"/>
      <c r="L136" s="44"/>
      <c r="M136" s="68"/>
      <c r="N136" s="4447"/>
      <c r="O136" s="4630"/>
      <c r="P136" s="2710"/>
      <c r="Q136" s="1060" t="s">
        <v>3</v>
      </c>
      <c r="R136" s="737" t="b">
        <f t="shared" si="8"/>
        <v>0</v>
      </c>
      <c r="S136" s="44"/>
      <c r="T136" s="1534"/>
      <c r="U136" s="68"/>
      <c r="V136" s="4773"/>
      <c r="W136" s="4468"/>
      <c r="X136" s="2709"/>
      <c r="Y136" s="1443"/>
      <c r="Z136" s="2698"/>
    </row>
    <row r="137" spans="1:26" ht="43.5" x14ac:dyDescent="0.3">
      <c r="A137" s="28"/>
      <c r="B137" s="1504"/>
      <c r="C137" s="1717" t="s">
        <v>108</v>
      </c>
      <c r="D137" s="319" t="s">
        <v>3</v>
      </c>
      <c r="E137" s="67" t="b">
        <f t="shared" si="7"/>
        <v>0</v>
      </c>
      <c r="F137" s="44"/>
      <c r="G137" s="44" t="str">
        <f t="shared" si="5"/>
        <v/>
      </c>
      <c r="H137" s="44"/>
      <c r="I137" s="44"/>
      <c r="J137" s="216" t="str">
        <f t="shared" si="6"/>
        <v/>
      </c>
      <c r="K137" s="44"/>
      <c r="L137" s="44"/>
      <c r="M137" s="68"/>
      <c r="N137" s="4447"/>
      <c r="O137" s="4630"/>
      <c r="P137" s="2710"/>
      <c r="Q137" s="1060" t="s">
        <v>3</v>
      </c>
      <c r="R137" s="737" t="b">
        <f t="shared" si="8"/>
        <v>0</v>
      </c>
      <c r="S137" s="44"/>
      <c r="T137" s="1534"/>
      <c r="U137" s="68"/>
      <c r="V137" s="4773"/>
      <c r="W137" s="4468"/>
      <c r="X137" s="2709"/>
      <c r="Y137" s="1443"/>
      <c r="Z137" s="2698"/>
    </row>
    <row r="138" spans="1:26" ht="29" x14ac:dyDescent="0.3">
      <c r="A138" s="28"/>
      <c r="B138" s="1504"/>
      <c r="C138" s="1717" t="s">
        <v>1762</v>
      </c>
      <c r="D138" s="319" t="s">
        <v>3</v>
      </c>
      <c r="E138" s="67" t="b">
        <f t="shared" si="7"/>
        <v>0</v>
      </c>
      <c r="F138" s="44"/>
      <c r="G138" s="44" t="str">
        <f t="shared" si="5"/>
        <v/>
      </c>
      <c r="H138" s="44"/>
      <c r="I138" s="44"/>
      <c r="J138" s="216" t="str">
        <f t="shared" si="6"/>
        <v/>
      </c>
      <c r="K138" s="44"/>
      <c r="L138" s="44"/>
      <c r="M138" s="68"/>
      <c r="N138" s="4447"/>
      <c r="O138" s="4630"/>
      <c r="P138" s="2710"/>
      <c r="Q138" s="1060" t="s">
        <v>3</v>
      </c>
      <c r="R138" s="737" t="b">
        <f t="shared" si="8"/>
        <v>0</v>
      </c>
      <c r="S138" s="44"/>
      <c r="T138" s="1534"/>
      <c r="U138" s="68"/>
      <c r="V138" s="4773"/>
      <c r="W138" s="4468"/>
      <c r="X138" s="2709"/>
      <c r="Y138" s="1443"/>
      <c r="Z138" s="2698"/>
    </row>
    <row r="139" spans="1:26" ht="29" x14ac:dyDescent="0.3">
      <c r="A139" s="28"/>
      <c r="B139" s="1504"/>
      <c r="C139" s="1717" t="s">
        <v>1756</v>
      </c>
      <c r="D139" s="319" t="s">
        <v>3</v>
      </c>
      <c r="E139" s="67" t="b">
        <f t="shared" si="7"/>
        <v>0</v>
      </c>
      <c r="F139" s="44"/>
      <c r="G139" s="44" t="str">
        <f t="shared" si="5"/>
        <v/>
      </c>
      <c r="H139" s="44"/>
      <c r="I139" s="44"/>
      <c r="J139" s="216" t="str">
        <f t="shared" si="6"/>
        <v/>
      </c>
      <c r="K139" s="44"/>
      <c r="L139" s="44"/>
      <c r="M139" s="68"/>
      <c r="N139" s="4447"/>
      <c r="O139" s="4630"/>
      <c r="P139" s="2710"/>
      <c r="Q139" s="1060" t="s">
        <v>3</v>
      </c>
      <c r="R139" s="737" t="b">
        <f t="shared" si="8"/>
        <v>0</v>
      </c>
      <c r="S139" s="44"/>
      <c r="T139" s="1534"/>
      <c r="U139" s="68"/>
      <c r="V139" s="4773"/>
      <c r="W139" s="4468"/>
      <c r="X139" s="2709"/>
      <c r="Y139" s="1443"/>
      <c r="Z139" s="2698"/>
    </row>
    <row r="140" spans="1:26" ht="29" x14ac:dyDescent="0.3">
      <c r="A140" s="28"/>
      <c r="B140" s="1504"/>
      <c r="C140" s="1717" t="s">
        <v>1755</v>
      </c>
      <c r="D140" s="319" t="s">
        <v>3</v>
      </c>
      <c r="E140" s="67" t="b">
        <f t="shared" si="7"/>
        <v>0</v>
      </c>
      <c r="F140" s="44"/>
      <c r="G140" s="44" t="str">
        <f t="shared" si="5"/>
        <v/>
      </c>
      <c r="H140" s="44"/>
      <c r="I140" s="44"/>
      <c r="J140" s="216" t="str">
        <f t="shared" si="6"/>
        <v/>
      </c>
      <c r="K140" s="44"/>
      <c r="L140" s="44"/>
      <c r="M140" s="68"/>
      <c r="N140" s="4447"/>
      <c r="O140" s="4630"/>
      <c r="P140" s="2710"/>
      <c r="Q140" s="1060" t="s">
        <v>3</v>
      </c>
      <c r="R140" s="737" t="b">
        <f t="shared" si="8"/>
        <v>0</v>
      </c>
      <c r="S140" s="44"/>
      <c r="T140" s="1534"/>
      <c r="U140" s="68"/>
      <c r="V140" s="4773"/>
      <c r="W140" s="4468"/>
      <c r="X140" s="2709"/>
      <c r="Y140" s="1443"/>
      <c r="Z140" s="2698"/>
    </row>
    <row r="141" spans="1:26" ht="29" x14ac:dyDescent="0.3">
      <c r="A141" s="28"/>
      <c r="B141" s="1504"/>
      <c r="C141" s="1717" t="s">
        <v>1761</v>
      </c>
      <c r="D141" s="319" t="s">
        <v>3</v>
      </c>
      <c r="E141" s="67" t="b">
        <f t="shared" si="7"/>
        <v>0</v>
      </c>
      <c r="F141" s="44"/>
      <c r="G141" s="44" t="str">
        <f t="shared" si="5"/>
        <v/>
      </c>
      <c r="H141" s="44"/>
      <c r="I141" s="44"/>
      <c r="J141" s="216" t="str">
        <f t="shared" si="6"/>
        <v/>
      </c>
      <c r="K141" s="44"/>
      <c r="L141" s="44"/>
      <c r="M141" s="68"/>
      <c r="N141" s="4447"/>
      <c r="O141" s="4630"/>
      <c r="P141" s="2711"/>
      <c r="Q141" s="1060" t="s">
        <v>3</v>
      </c>
      <c r="R141" s="737" t="b">
        <f t="shared" si="8"/>
        <v>0</v>
      </c>
      <c r="S141" s="1570"/>
      <c r="T141" s="1570"/>
      <c r="U141" s="2697"/>
      <c r="V141" s="4773"/>
      <c r="W141" s="4468"/>
      <c r="X141" s="2709"/>
      <c r="Y141" s="1443"/>
      <c r="Z141" s="2698"/>
    </row>
    <row r="142" spans="1:26" ht="29" x14ac:dyDescent="0.3">
      <c r="A142" s="28"/>
      <c r="B142" s="1504"/>
      <c r="C142" s="1717" t="s">
        <v>114</v>
      </c>
      <c r="D142" s="319" t="s">
        <v>3</v>
      </c>
      <c r="E142" s="67" t="b">
        <f t="shared" si="7"/>
        <v>0</v>
      </c>
      <c r="F142" s="44"/>
      <c r="G142" s="44" t="str">
        <f t="shared" si="5"/>
        <v/>
      </c>
      <c r="H142" s="44"/>
      <c r="I142" s="44"/>
      <c r="J142" s="216" t="str">
        <f t="shared" si="6"/>
        <v/>
      </c>
      <c r="K142" s="44"/>
      <c r="L142" s="44"/>
      <c r="M142" s="68"/>
      <c r="N142" s="4447"/>
      <c r="O142" s="4630"/>
      <c r="P142" s="2703"/>
      <c r="Q142" s="1060" t="s">
        <v>3</v>
      </c>
      <c r="R142" s="737" t="b">
        <f t="shared" si="8"/>
        <v>0</v>
      </c>
      <c r="S142" s="1443"/>
      <c r="T142" s="1443"/>
      <c r="U142" s="2697"/>
      <c r="V142" s="4773"/>
      <c r="W142" s="4468"/>
      <c r="X142" s="2709"/>
      <c r="Y142" s="1443"/>
      <c r="Z142" s="2698"/>
    </row>
    <row r="143" spans="1:26" ht="29" x14ac:dyDescent="0.3">
      <c r="A143" s="28"/>
      <c r="B143" s="1504"/>
      <c r="C143" s="1717" t="s">
        <v>115</v>
      </c>
      <c r="D143" s="319" t="s">
        <v>3</v>
      </c>
      <c r="E143" s="67" t="b">
        <f t="shared" si="7"/>
        <v>0</v>
      </c>
      <c r="F143" s="44"/>
      <c r="G143" s="44" t="str">
        <f t="shared" si="5"/>
        <v/>
      </c>
      <c r="H143" s="44"/>
      <c r="I143" s="44"/>
      <c r="J143" s="216" t="str">
        <f t="shared" si="6"/>
        <v/>
      </c>
      <c r="K143" s="44"/>
      <c r="L143" s="44"/>
      <c r="M143" s="68"/>
      <c r="N143" s="4447"/>
      <c r="O143" s="4630"/>
      <c r="P143" s="2703"/>
      <c r="Q143" s="1060" t="s">
        <v>3</v>
      </c>
      <c r="R143" s="737" t="b">
        <f t="shared" si="8"/>
        <v>0</v>
      </c>
      <c r="S143" s="1443"/>
      <c r="T143" s="1443"/>
      <c r="U143" s="2697"/>
      <c r="V143" s="4773"/>
      <c r="W143" s="4468"/>
      <c r="X143" s="2709"/>
      <c r="Y143" s="1443"/>
      <c r="Z143" s="2698"/>
    </row>
    <row r="144" spans="1:26" ht="29" x14ac:dyDescent="0.3">
      <c r="A144" s="28"/>
      <c r="B144" s="1504"/>
      <c r="C144" s="1717" t="s">
        <v>116</v>
      </c>
      <c r="D144" s="319" t="s">
        <v>3</v>
      </c>
      <c r="E144" s="67" t="b">
        <f t="shared" si="7"/>
        <v>0</v>
      </c>
      <c r="F144" s="44"/>
      <c r="G144" s="44" t="str">
        <f t="shared" si="5"/>
        <v/>
      </c>
      <c r="H144" s="44"/>
      <c r="I144" s="44"/>
      <c r="J144" s="216" t="str">
        <f t="shared" si="6"/>
        <v/>
      </c>
      <c r="K144" s="44"/>
      <c r="L144" s="44"/>
      <c r="M144" s="68"/>
      <c r="N144" s="4447"/>
      <c r="O144" s="4630"/>
      <c r="P144" s="2703"/>
      <c r="Q144" s="1060" t="s">
        <v>3</v>
      </c>
      <c r="R144" s="737" t="b">
        <f t="shared" si="8"/>
        <v>0</v>
      </c>
      <c r="S144" s="1443"/>
      <c r="T144" s="1443"/>
      <c r="U144" s="2697"/>
      <c r="V144" s="4773"/>
      <c r="W144" s="4468"/>
      <c r="X144" s="2709"/>
      <c r="Y144" s="1443"/>
      <c r="Z144" s="2698"/>
    </row>
    <row r="145" spans="1:101" ht="29" x14ac:dyDescent="0.3">
      <c r="A145" s="28"/>
      <c r="B145" s="1504"/>
      <c r="C145" s="1717" t="s">
        <v>1753</v>
      </c>
      <c r="D145" s="319" t="s">
        <v>3</v>
      </c>
      <c r="E145" s="67" t="b">
        <f t="shared" si="7"/>
        <v>0</v>
      </c>
      <c r="F145" s="44"/>
      <c r="G145" s="44" t="str">
        <f t="shared" si="5"/>
        <v/>
      </c>
      <c r="H145" s="44"/>
      <c r="I145" s="44"/>
      <c r="J145" s="216" t="str">
        <f t="shared" si="6"/>
        <v/>
      </c>
      <c r="K145" s="44"/>
      <c r="L145" s="44"/>
      <c r="M145" s="68"/>
      <c r="N145" s="4447"/>
      <c r="O145" s="4630"/>
      <c r="P145" s="2703"/>
      <c r="Q145" s="1060" t="s">
        <v>3</v>
      </c>
      <c r="R145" s="737" t="b">
        <f t="shared" si="8"/>
        <v>0</v>
      </c>
      <c r="S145" s="1443"/>
      <c r="T145" s="1443"/>
      <c r="U145" s="2697"/>
      <c r="V145" s="4773"/>
      <c r="W145" s="4468"/>
      <c r="X145" s="2709"/>
      <c r="Y145" s="1443"/>
      <c r="Z145" s="2698"/>
    </row>
    <row r="146" spans="1:101" ht="29" x14ac:dyDescent="0.3">
      <c r="A146" s="28"/>
      <c r="B146" s="1504"/>
      <c r="C146" s="1717" t="s">
        <v>1754</v>
      </c>
      <c r="D146" s="319" t="s">
        <v>3</v>
      </c>
      <c r="E146" s="67" t="b">
        <f t="shared" si="7"/>
        <v>0</v>
      </c>
      <c r="F146" s="44"/>
      <c r="G146" s="44" t="str">
        <f t="shared" si="5"/>
        <v/>
      </c>
      <c r="H146" s="44"/>
      <c r="I146" s="44"/>
      <c r="J146" s="216" t="str">
        <f t="shared" si="6"/>
        <v/>
      </c>
      <c r="K146" s="44"/>
      <c r="L146" s="44"/>
      <c r="M146" s="68"/>
      <c r="N146" s="4447"/>
      <c r="O146" s="4630"/>
      <c r="P146" s="2703"/>
      <c r="Q146" s="1060" t="s">
        <v>3</v>
      </c>
      <c r="R146" s="737" t="b">
        <f t="shared" si="8"/>
        <v>0</v>
      </c>
      <c r="S146" s="1443"/>
      <c r="T146" s="1443"/>
      <c r="U146" s="2697"/>
      <c r="V146" s="4773"/>
      <c r="W146" s="4468"/>
      <c r="X146" s="2709"/>
      <c r="Y146" s="1443"/>
      <c r="Z146" s="2698"/>
    </row>
    <row r="147" spans="1:101" ht="29" x14ac:dyDescent="0.3">
      <c r="A147" s="28"/>
      <c r="B147" s="1504"/>
      <c r="C147" s="1717" t="s">
        <v>126</v>
      </c>
      <c r="D147" s="319" t="s">
        <v>3</v>
      </c>
      <c r="E147" s="67" t="b">
        <f t="shared" si="7"/>
        <v>0</v>
      </c>
      <c r="F147" s="44"/>
      <c r="G147" s="44" t="str">
        <f t="shared" si="5"/>
        <v/>
      </c>
      <c r="H147" s="44"/>
      <c r="I147" s="44"/>
      <c r="J147" s="216" t="str">
        <f t="shared" si="6"/>
        <v/>
      </c>
      <c r="K147" s="44"/>
      <c r="L147" s="44"/>
      <c r="M147" s="68"/>
      <c r="N147" s="4447"/>
      <c r="O147" s="4630"/>
      <c r="P147" s="2703"/>
      <c r="Q147" s="1060" t="s">
        <v>3</v>
      </c>
      <c r="R147" s="737" t="b">
        <f t="shared" si="8"/>
        <v>0</v>
      </c>
      <c r="S147" s="1443"/>
      <c r="T147" s="1443"/>
      <c r="U147" s="2697"/>
      <c r="V147" s="4773"/>
      <c r="W147" s="4468"/>
      <c r="X147" s="2709"/>
      <c r="Y147" s="1443"/>
      <c r="Z147" s="2698"/>
    </row>
    <row r="148" spans="1:101" ht="29" x14ac:dyDescent="0.3">
      <c r="A148" s="28"/>
      <c r="B148" s="1504"/>
      <c r="C148" s="1717" t="s">
        <v>127</v>
      </c>
      <c r="D148" s="319" t="s">
        <v>3</v>
      </c>
      <c r="E148" s="67" t="b">
        <f t="shared" si="7"/>
        <v>0</v>
      </c>
      <c r="F148" s="44"/>
      <c r="G148" s="44" t="str">
        <f t="shared" si="5"/>
        <v/>
      </c>
      <c r="H148" s="44"/>
      <c r="I148" s="44"/>
      <c r="J148" s="216" t="str">
        <f t="shared" si="6"/>
        <v/>
      </c>
      <c r="K148" s="44"/>
      <c r="L148" s="44"/>
      <c r="M148" s="68"/>
      <c r="N148" s="4447"/>
      <c r="O148" s="4630"/>
      <c r="P148" s="2703"/>
      <c r="Q148" s="1060" t="s">
        <v>3</v>
      </c>
      <c r="R148" s="737" t="b">
        <f t="shared" si="8"/>
        <v>0</v>
      </c>
      <c r="S148" s="1443"/>
      <c r="T148" s="1443"/>
      <c r="U148" s="2697"/>
      <c r="V148" s="4773"/>
      <c r="W148" s="4468"/>
      <c r="X148" s="2709"/>
      <c r="Y148" s="1443"/>
      <c r="Z148" s="2698"/>
    </row>
    <row r="149" spans="1:101" ht="43.5" x14ac:dyDescent="0.3">
      <c r="A149" s="28"/>
      <c r="B149" s="1504"/>
      <c r="C149" s="1717" t="s">
        <v>128</v>
      </c>
      <c r="D149" s="319" t="s">
        <v>3</v>
      </c>
      <c r="E149" s="67" t="b">
        <f t="shared" si="7"/>
        <v>0</v>
      </c>
      <c r="F149" s="44"/>
      <c r="G149" s="44" t="str">
        <f t="shared" si="5"/>
        <v/>
      </c>
      <c r="H149" s="44"/>
      <c r="I149" s="44"/>
      <c r="J149" s="216" t="str">
        <f t="shared" si="6"/>
        <v/>
      </c>
      <c r="K149" s="44"/>
      <c r="L149" s="44"/>
      <c r="M149" s="68"/>
      <c r="N149" s="4447"/>
      <c r="O149" s="4630"/>
      <c r="P149" s="2703"/>
      <c r="Q149" s="1060" t="s">
        <v>3</v>
      </c>
      <c r="R149" s="737" t="b">
        <f t="shared" si="8"/>
        <v>0</v>
      </c>
      <c r="S149" s="1443"/>
      <c r="T149" s="1443"/>
      <c r="U149" s="2697"/>
      <c r="V149" s="4773"/>
      <c r="W149" s="4468"/>
      <c r="X149" s="2709"/>
      <c r="Y149" s="1443"/>
      <c r="Z149" s="2698"/>
    </row>
    <row r="150" spans="1:101" ht="29" x14ac:dyDescent="0.3">
      <c r="A150" s="28"/>
      <c r="B150" s="1504"/>
      <c r="C150" s="1717" t="s">
        <v>1752</v>
      </c>
      <c r="D150" s="319" t="s">
        <v>3</v>
      </c>
      <c r="E150" s="67" t="b">
        <f t="shared" si="7"/>
        <v>0</v>
      </c>
      <c r="F150" s="44"/>
      <c r="G150" s="44" t="str">
        <f t="shared" si="5"/>
        <v/>
      </c>
      <c r="H150" s="44"/>
      <c r="I150" s="44"/>
      <c r="J150" s="216" t="str">
        <f t="shared" si="6"/>
        <v/>
      </c>
      <c r="K150" s="44"/>
      <c r="L150" s="44"/>
      <c r="M150" s="68"/>
      <c r="N150" s="4447"/>
      <c r="O150" s="4630"/>
      <c r="P150" s="2703"/>
      <c r="Q150" s="1060" t="s">
        <v>3</v>
      </c>
      <c r="R150" s="737" t="b">
        <f t="shared" si="8"/>
        <v>0</v>
      </c>
      <c r="S150" s="1443"/>
      <c r="T150" s="1443"/>
      <c r="U150" s="2697"/>
      <c r="V150" s="4773"/>
      <c r="W150" s="4468"/>
      <c r="X150" s="2709"/>
      <c r="Y150" s="1443"/>
      <c r="Z150" s="2698"/>
    </row>
    <row r="151" spans="1:101" ht="29" x14ac:dyDescent="0.3">
      <c r="A151" s="28"/>
      <c r="B151" s="1504"/>
      <c r="C151" s="1717" t="s">
        <v>1751</v>
      </c>
      <c r="D151" s="319" t="s">
        <v>3</v>
      </c>
      <c r="E151" s="67" t="b">
        <f t="shared" si="7"/>
        <v>0</v>
      </c>
      <c r="F151" s="44"/>
      <c r="G151" s="44" t="str">
        <f t="shared" si="5"/>
        <v/>
      </c>
      <c r="H151" s="44"/>
      <c r="I151" s="44"/>
      <c r="J151" s="216" t="str">
        <f t="shared" si="6"/>
        <v/>
      </c>
      <c r="K151" s="44"/>
      <c r="L151" s="44"/>
      <c r="M151" s="68"/>
      <c r="N151" s="4447"/>
      <c r="O151" s="4630"/>
      <c r="P151" s="2703"/>
      <c r="Q151" s="1060" t="s">
        <v>3</v>
      </c>
      <c r="R151" s="737" t="b">
        <f t="shared" si="8"/>
        <v>0</v>
      </c>
      <c r="S151" s="1443"/>
      <c r="T151" s="1443"/>
      <c r="U151" s="2697"/>
      <c r="V151" s="4773"/>
      <c r="W151" s="4468"/>
      <c r="X151" s="2709"/>
      <c r="Y151" s="1443"/>
      <c r="Z151" s="2698"/>
    </row>
    <row r="152" spans="1:101" ht="29" x14ac:dyDescent="0.3">
      <c r="A152" s="28"/>
      <c r="B152" s="1504"/>
      <c r="C152" s="1717" t="s">
        <v>1750</v>
      </c>
      <c r="D152" s="319" t="s">
        <v>3</v>
      </c>
      <c r="E152" s="67" t="b">
        <f t="shared" si="7"/>
        <v>0</v>
      </c>
      <c r="F152" s="44"/>
      <c r="G152" s="44" t="str">
        <f t="shared" si="5"/>
        <v/>
      </c>
      <c r="H152" s="44"/>
      <c r="I152" s="44"/>
      <c r="J152" s="216" t="str">
        <f t="shared" si="6"/>
        <v/>
      </c>
      <c r="K152" s="44"/>
      <c r="L152" s="44"/>
      <c r="M152" s="68"/>
      <c r="N152" s="4447"/>
      <c r="O152" s="4630"/>
      <c r="P152" s="2703"/>
      <c r="Q152" s="1060" t="s">
        <v>3</v>
      </c>
      <c r="R152" s="737" t="b">
        <f t="shared" si="8"/>
        <v>0</v>
      </c>
      <c r="S152" s="1443"/>
      <c r="T152" s="1443"/>
      <c r="U152" s="2697"/>
      <c r="V152" s="4773"/>
      <c r="W152" s="4468"/>
      <c r="X152" s="2709"/>
      <c r="Y152" s="1443"/>
      <c r="Z152" s="2698"/>
    </row>
    <row r="153" spans="1:101" ht="29" x14ac:dyDescent="0.3">
      <c r="A153" s="28"/>
      <c r="B153" s="1504"/>
      <c r="C153" s="1717" t="s">
        <v>1749</v>
      </c>
      <c r="D153" s="319" t="s">
        <v>3</v>
      </c>
      <c r="E153" s="67" t="b">
        <f t="shared" si="7"/>
        <v>0</v>
      </c>
      <c r="F153" s="44"/>
      <c r="G153" s="44" t="str">
        <f t="shared" si="5"/>
        <v/>
      </c>
      <c r="H153" s="44"/>
      <c r="I153" s="44"/>
      <c r="J153" s="216" t="str">
        <f t="shared" si="6"/>
        <v/>
      </c>
      <c r="K153" s="44"/>
      <c r="L153" s="44"/>
      <c r="M153" s="68"/>
      <c r="N153" s="4447"/>
      <c r="O153" s="4630"/>
      <c r="P153" s="2703"/>
      <c r="Q153" s="1060" t="s">
        <v>3</v>
      </c>
      <c r="R153" s="737" t="b">
        <f t="shared" si="8"/>
        <v>0</v>
      </c>
      <c r="S153" s="1443"/>
      <c r="T153" s="1443"/>
      <c r="U153" s="2697"/>
      <c r="V153" s="4773"/>
      <c r="W153" s="4468"/>
      <c r="X153" s="2709"/>
      <c r="Y153" s="1443"/>
      <c r="Z153" s="2698"/>
    </row>
    <row r="154" spans="1:101" ht="29" x14ac:dyDescent="0.3">
      <c r="A154" s="28"/>
      <c r="B154" s="1504"/>
      <c r="C154" s="1717" t="s">
        <v>1748</v>
      </c>
      <c r="D154" s="319" t="s">
        <v>3</v>
      </c>
      <c r="E154" s="67" t="b">
        <f t="shared" si="7"/>
        <v>0</v>
      </c>
      <c r="F154" s="44"/>
      <c r="G154" s="44" t="str">
        <f t="shared" si="5"/>
        <v/>
      </c>
      <c r="H154" s="44"/>
      <c r="I154" s="44"/>
      <c r="J154" s="216" t="str">
        <f t="shared" si="6"/>
        <v/>
      </c>
      <c r="K154" s="44"/>
      <c r="L154" s="44"/>
      <c r="M154" s="68"/>
      <c r="N154" s="4447"/>
      <c r="O154" s="4630"/>
      <c r="P154" s="2703"/>
      <c r="Q154" s="1060" t="s">
        <v>3</v>
      </c>
      <c r="R154" s="737" t="b">
        <f t="shared" si="8"/>
        <v>0</v>
      </c>
      <c r="S154" s="1443"/>
      <c r="T154" s="1443"/>
      <c r="U154" s="2697"/>
      <c r="V154" s="4773"/>
      <c r="W154" s="4468"/>
      <c r="X154" s="2709"/>
      <c r="Y154" s="1443"/>
      <c r="Z154" s="2698"/>
    </row>
    <row r="155" spans="1:101" ht="43.5" x14ac:dyDescent="0.3">
      <c r="A155" s="28"/>
      <c r="B155" s="1504"/>
      <c r="C155" s="1717" t="s">
        <v>139</v>
      </c>
      <c r="D155" s="319" t="s">
        <v>3</v>
      </c>
      <c r="E155" s="67" t="b">
        <f t="shared" si="7"/>
        <v>0</v>
      </c>
      <c r="F155" s="44"/>
      <c r="G155" s="44" t="str">
        <f t="shared" si="5"/>
        <v/>
      </c>
      <c r="H155" s="44"/>
      <c r="I155" s="44"/>
      <c r="J155" s="216" t="str">
        <f t="shared" si="6"/>
        <v/>
      </c>
      <c r="K155" s="44"/>
      <c r="L155" s="44"/>
      <c r="M155" s="68"/>
      <c r="N155" s="4447"/>
      <c r="O155" s="4630"/>
      <c r="P155" s="2703"/>
      <c r="Q155" s="1060" t="s">
        <v>3</v>
      </c>
      <c r="R155" s="737" t="b">
        <f t="shared" si="8"/>
        <v>0</v>
      </c>
      <c r="S155" s="1443"/>
      <c r="T155" s="1443"/>
      <c r="U155" s="2697"/>
      <c r="V155" s="4773"/>
      <c r="W155" s="4468"/>
      <c r="X155" s="2709"/>
      <c r="Y155" s="1443"/>
      <c r="Z155" s="2698"/>
    </row>
    <row r="156" spans="1:101" ht="43.5" x14ac:dyDescent="0.3">
      <c r="A156" s="28"/>
      <c r="B156" s="1504"/>
      <c r="C156" s="1717" t="s">
        <v>140</v>
      </c>
      <c r="D156" s="319" t="s">
        <v>3</v>
      </c>
      <c r="E156" s="67" t="b">
        <f t="shared" si="7"/>
        <v>0</v>
      </c>
      <c r="F156" s="44"/>
      <c r="G156" s="44" t="str">
        <f t="shared" si="5"/>
        <v/>
      </c>
      <c r="H156" s="44"/>
      <c r="I156" s="44"/>
      <c r="J156" s="216" t="str">
        <f t="shared" si="6"/>
        <v/>
      </c>
      <c r="K156" s="44"/>
      <c r="L156" s="44"/>
      <c r="M156" s="68"/>
      <c r="N156" s="4447"/>
      <c r="O156" s="4630"/>
      <c r="P156" s="2703"/>
      <c r="Q156" s="1060" t="s">
        <v>3</v>
      </c>
      <c r="R156" s="737" t="b">
        <f t="shared" si="8"/>
        <v>0</v>
      </c>
      <c r="S156" s="1443"/>
      <c r="T156" s="1443"/>
      <c r="U156" s="2697"/>
      <c r="V156" s="4773"/>
      <c r="W156" s="4468"/>
      <c r="X156" s="2709"/>
      <c r="Y156" s="1443"/>
      <c r="Z156" s="2698"/>
    </row>
    <row r="157" spans="1:101" ht="29" x14ac:dyDescent="0.3">
      <c r="A157" s="28"/>
      <c r="B157" s="1504"/>
      <c r="C157" s="1717" t="s">
        <v>1747</v>
      </c>
      <c r="D157" s="319" t="s">
        <v>3</v>
      </c>
      <c r="E157" s="67" t="b">
        <f t="shared" si="7"/>
        <v>0</v>
      </c>
      <c r="F157" s="44"/>
      <c r="G157" s="44" t="str">
        <f t="shared" si="5"/>
        <v/>
      </c>
      <c r="H157" s="44"/>
      <c r="I157" s="44"/>
      <c r="J157" s="216" t="str">
        <f t="shared" si="6"/>
        <v/>
      </c>
      <c r="K157" s="44"/>
      <c r="L157" s="44"/>
      <c r="M157" s="68"/>
      <c r="N157" s="4447"/>
      <c r="O157" s="4630"/>
      <c r="P157" s="2703"/>
      <c r="Q157" s="1060" t="s">
        <v>3</v>
      </c>
      <c r="R157" s="737" t="b">
        <f t="shared" si="8"/>
        <v>0</v>
      </c>
      <c r="S157" s="1443"/>
      <c r="T157" s="1443"/>
      <c r="U157" s="2697"/>
      <c r="V157" s="4773"/>
      <c r="W157" s="4468"/>
      <c r="X157" s="2709"/>
      <c r="Y157" s="1443"/>
      <c r="Z157" s="2698"/>
    </row>
    <row r="158" spans="1:101" ht="29.5" thickBot="1" x14ac:dyDescent="0.35">
      <c r="A158" s="28"/>
      <c r="B158" s="1505"/>
      <c r="C158" s="1800" t="s">
        <v>1746</v>
      </c>
      <c r="D158" s="230" t="s">
        <v>3</v>
      </c>
      <c r="E158" s="161" t="b">
        <f t="shared" si="7"/>
        <v>0</v>
      </c>
      <c r="F158" s="124"/>
      <c r="G158" s="124" t="str">
        <f t="shared" si="5"/>
        <v/>
      </c>
      <c r="H158" s="124"/>
      <c r="I158" s="124"/>
      <c r="J158" s="218" t="str">
        <f t="shared" si="6"/>
        <v/>
      </c>
      <c r="K158" s="124"/>
      <c r="L158" s="124"/>
      <c r="M158" s="246"/>
      <c r="N158" s="4448"/>
      <c r="O158" s="4631"/>
      <c r="P158" s="2712"/>
      <c r="Q158" s="1017" t="s">
        <v>3</v>
      </c>
      <c r="R158" s="737" t="b">
        <f t="shared" si="8"/>
        <v>0</v>
      </c>
      <c r="S158" s="1423"/>
      <c r="T158" s="1423"/>
      <c r="U158" s="2704"/>
      <c r="V158" s="4774"/>
      <c r="W158" s="4660"/>
      <c r="X158" s="2713"/>
      <c r="Y158" s="1423"/>
      <c r="Z158" s="2682"/>
    </row>
    <row r="159" spans="1:101" s="3694" customFormat="1" ht="15" thickTop="1" x14ac:dyDescent="0.3">
      <c r="A159" s="3892"/>
      <c r="B159" s="3639"/>
      <c r="C159" s="3639"/>
      <c r="D159" s="3639"/>
      <c r="E159" s="3639"/>
      <c r="F159" s="3639"/>
      <c r="G159" s="3635"/>
      <c r="H159" s="3639"/>
      <c r="I159" s="3639"/>
      <c r="J159" s="3635"/>
      <c r="K159" s="3639"/>
      <c r="L159" s="3639"/>
      <c r="M159" s="3639"/>
      <c r="R159" s="3662"/>
    </row>
    <row r="160" spans="1:101" s="3787" customFormat="1" ht="18.5" x14ac:dyDescent="0.3">
      <c r="A160" s="4482" t="s">
        <v>1245</v>
      </c>
      <c r="B160" s="4483"/>
      <c r="C160" s="4483"/>
      <c r="D160" s="4483"/>
      <c r="E160" s="4483"/>
      <c r="F160" s="4483"/>
      <c r="G160" s="4483"/>
      <c r="H160" s="4483"/>
      <c r="I160" s="4483"/>
      <c r="J160" s="4483"/>
      <c r="K160" s="4483"/>
      <c r="L160" s="4483"/>
      <c r="M160" s="4483"/>
      <c r="N160" s="4483"/>
      <c r="O160" s="3669"/>
      <c r="P160" s="3683"/>
      <c r="Q160" s="3683"/>
      <c r="R160" s="3893"/>
      <c r="S160" s="3684"/>
      <c r="T160" s="3685"/>
      <c r="U160" s="3685"/>
      <c r="V160" s="3669"/>
      <c r="W160" s="3669"/>
      <c r="X160" s="3683"/>
      <c r="Y160" s="3684"/>
      <c r="Z160" s="3685"/>
      <c r="AA160" s="3650"/>
      <c r="AB160" s="3650"/>
      <c r="AC160" s="3650"/>
      <c r="AD160" s="3650"/>
      <c r="AE160" s="3650"/>
      <c r="AF160" s="3650"/>
      <c r="AG160" s="3650"/>
      <c r="AH160" s="3650"/>
      <c r="AI160" s="3650"/>
      <c r="AJ160" s="3650"/>
      <c r="AK160" s="3650"/>
      <c r="AL160" s="3650"/>
      <c r="AM160" s="3650"/>
      <c r="AN160" s="3650"/>
      <c r="AO160" s="3650"/>
      <c r="AP160" s="3650"/>
      <c r="AQ160" s="3650"/>
      <c r="AR160" s="3650"/>
      <c r="AS160" s="3650"/>
      <c r="AT160" s="3650"/>
      <c r="AU160" s="3650"/>
      <c r="AV160" s="3650"/>
      <c r="AW160" s="3650"/>
      <c r="AX160" s="3650"/>
      <c r="AY160" s="3650"/>
      <c r="AZ160" s="3650"/>
      <c r="BA160" s="3650"/>
      <c r="BB160" s="3650"/>
      <c r="BC160" s="3650"/>
      <c r="BD160" s="3650"/>
      <c r="BE160" s="3650"/>
      <c r="BF160" s="3650"/>
      <c r="BG160" s="3650"/>
      <c r="BH160" s="3650"/>
      <c r="BI160" s="3650"/>
      <c r="BJ160" s="3650"/>
      <c r="BK160" s="3650"/>
      <c r="BL160" s="3650"/>
      <c r="BM160" s="3650"/>
      <c r="BN160" s="3650"/>
      <c r="BO160" s="3650"/>
      <c r="BP160" s="3650"/>
      <c r="BQ160" s="3650"/>
      <c r="BR160" s="3650"/>
      <c r="BS160" s="3650"/>
      <c r="BT160" s="3650"/>
      <c r="BU160" s="3650"/>
      <c r="BV160" s="3650"/>
      <c r="BW160" s="3650"/>
      <c r="BX160" s="3650"/>
      <c r="BY160" s="3650"/>
      <c r="BZ160" s="3650"/>
      <c r="CA160" s="3650"/>
      <c r="CB160" s="3650"/>
      <c r="CC160" s="3650"/>
      <c r="CD160" s="3650"/>
      <c r="CE160" s="3650"/>
      <c r="CF160" s="3650"/>
      <c r="CG160" s="3650"/>
      <c r="CH160" s="3650"/>
      <c r="CI160" s="3650"/>
      <c r="CJ160" s="3650"/>
      <c r="CK160" s="3650"/>
      <c r="CL160" s="3650"/>
      <c r="CM160" s="3650"/>
      <c r="CN160" s="3650"/>
      <c r="CO160" s="3650"/>
      <c r="CP160" s="3650"/>
      <c r="CQ160" s="3650"/>
      <c r="CR160" s="3650"/>
      <c r="CS160" s="3650"/>
      <c r="CT160" s="3650"/>
      <c r="CU160" s="3650"/>
      <c r="CV160" s="3650"/>
      <c r="CW160" s="3650"/>
    </row>
    <row r="161" spans="1:84" s="3634" customFormat="1" ht="15" thickBot="1" x14ac:dyDescent="0.35">
      <c r="A161" s="3638"/>
      <c r="L161" s="3686"/>
      <c r="R161" s="3643"/>
      <c r="V161" s="3635"/>
      <c r="W161" s="3635"/>
      <c r="BY161" s="3677"/>
      <c r="BZ161" s="3677"/>
      <c r="CA161" s="3677"/>
      <c r="CB161" s="3677"/>
      <c r="CC161" s="3677"/>
      <c r="CD161" s="3677"/>
      <c r="CE161" s="3677"/>
      <c r="CF161" s="3677"/>
    </row>
    <row r="162" spans="1:84" s="606" customFormat="1" ht="47.5" thickTop="1" thickBot="1" x14ac:dyDescent="0.35">
      <c r="A162" s="611"/>
      <c r="B162" s="1504" t="s">
        <v>459</v>
      </c>
      <c r="C162" s="2015" t="s">
        <v>460</v>
      </c>
      <c r="D162" s="1925" t="s">
        <v>565</v>
      </c>
      <c r="E162" s="2016" t="b">
        <f>IF(AND(E163=TRUE,E173=TRUE,E188=TRUE),TRUE,FALSE)</f>
        <v>0</v>
      </c>
      <c r="F162" s="2017">
        <f>SUM(F163,F173,F188)</f>
        <v>0</v>
      </c>
      <c r="G162" s="2018">
        <f>SUM(G163,G173,G188)</f>
        <v>0</v>
      </c>
      <c r="H162" s="2017">
        <f>SUM(H163,H173,H188)</f>
        <v>0</v>
      </c>
      <c r="I162" s="1927" t="str">
        <f xml:space="preserve">
IF(F162&gt;34,"Too Many Entries - Check Red Lines",
IF(AND(E162=FALSE,G162=0,H162=0),"Nothing Entered below Yet",
IF(AND(G162=0,H162&gt;0),"**Non-Valid Entry/ies below - Check Yellow Line/s",
IF(G162&lt;F162,"Valid Entry required below - Check Amber box",
IF(AND(G162&gt;0,H162&gt;0),"**Valid and Non-Valid Entries made below - Check Yellow Line/s",
IF(AND(E162=FALSE,F162&lt;34),"Not all requirements addressed below - Check Pink Line/s",
IF(AND(E162=FALSE,G162&lt;34,G162&gt;0,H162=0),"More entries to come",
IF(AND(E162,TRUE,G162=34,H162=0),"Valid Entries made below"
))))))))</f>
        <v>Nothing Entered below Yet</v>
      </c>
      <c r="J162" s="1727">
        <f>SUM(J163,J173,J188)</f>
        <v>0</v>
      </c>
      <c r="K162" s="1927">
        <f>SUM(K163,K173,K188)</f>
        <v>0</v>
      </c>
      <c r="L162" s="1927" t="str">
        <f xml:space="preserve">
IF(J162&gt;34,"Too Many Entries - Check Red Lines",
IF(AND(E162=FALSE,J162=0,K162=0,E162=TRUE),"Nothing Required Below",
IF(J162&lt;F162,"Valid Entry required below - Check Amber Line/s",
IF(AND(E162=FALSE,J162=0,K162=0),"Nothing Entered below Yet",
IF(AND(J162=0,K162&gt;0),"**Non-Valid Entry/ies below - Check Yellow Line/s",
IF(AND(J162&gt;0,K162&gt;0),"**Valid and Non-Valid Entries made below - Check Yellow Line/s",
IF(AND(E162=FALSE,J162&lt;34),"Not all requirements addressed below - Check Pink Line/s",
IF(AND(E162=FALSE,J162&lt;34,J162&gt;0,K162=0),"More entries to come",
IF(AND(E162,TRUE,J162=34,K162=0),"Valid Entries made below"
)))))))))</f>
        <v>Nothing Entered below Yet</v>
      </c>
      <c r="M162" s="867"/>
      <c r="N162" s="3894" t="s">
        <v>565</v>
      </c>
      <c r="O162" s="132" t="b">
        <f>IF(AND(O173=TRUE,O163=TRUE,O188=TRUE),TRUE,FALSE)</f>
        <v>0</v>
      </c>
      <c r="P162" s="704"/>
      <c r="Q162" s="4109" t="s">
        <v>565</v>
      </c>
      <c r="R162" s="914" t="b">
        <f>IF(AND(R163=TRUE,R173=TRUE,R188=TRUE),TRUE,FALSE)</f>
        <v>0</v>
      </c>
      <c r="S162" s="186"/>
      <c r="T162" s="186"/>
      <c r="U162" s="459"/>
      <c r="V162" s="4109" t="s">
        <v>565</v>
      </c>
      <c r="W162" s="1565" t="b">
        <f>IF(AND(W173=TRUE,W163=TRUE,W188=TRUE),TRUE,FALSE)</f>
        <v>0</v>
      </c>
      <c r="X162" s="2714"/>
      <c r="Y162" s="2714"/>
      <c r="Z162" s="2715"/>
      <c r="BY162" s="607"/>
      <c r="BZ162" s="608"/>
      <c r="CA162" s="608"/>
      <c r="CB162" s="608"/>
      <c r="CC162" s="608"/>
      <c r="CD162" s="608"/>
      <c r="CE162" s="608"/>
      <c r="CF162" s="609"/>
    </row>
    <row r="163" spans="1:84" s="20" customFormat="1" ht="31.5" customHeight="1" thickTop="1" thickBot="1" x14ac:dyDescent="0.35">
      <c r="A163" s="625" t="s">
        <v>207</v>
      </c>
      <c r="B163" s="1504"/>
      <c r="C163" s="2254" t="s">
        <v>515</v>
      </c>
      <c r="D163" s="2149" t="s">
        <v>565</v>
      </c>
      <c r="E163" s="1937" t="b">
        <f>IF(AND(E164=TRUE,E165=TRUE,E166=TRUE,E167=TRUE,E168=TRUE,E169=TRUE,E170=TRUE,E171=TRUE,E172=TRUE),TRUE,FALSE)</f>
        <v>0</v>
      </c>
      <c r="F163" s="2019">
        <f>COUNTIF(E164:E172,TRUE)</f>
        <v>0</v>
      </c>
      <c r="G163" s="2014">
        <f>COUNTIFS(E164:E172,TRUE,G164:G172,"Not Blank")</f>
        <v>0</v>
      </c>
      <c r="H163" s="2019">
        <f>COUNTIFS(E164:E172,FALSE,G164:G172,"Not Blank")</f>
        <v>0</v>
      </c>
      <c r="I163" s="2155" t="str">
        <f xml:space="preserve">
IF(F163&gt;9,"Too Many Entries - Check Red Lines",
IF(G163&lt;F163,"Valid Entry required below - Check Amber Line/s",
IF(AND(E163=FALSE,G163=0,H163=0),"Nothing Entered below Yet",
IF(G163&lt;F163,"Valid Entry required below - Check Amber Line/s",
IF(AND(G163=0,H163&gt;0),"**Non-Valid Entry/ies below - Check Yellow Line/s",
IF(AND(G163&gt;0,H163&gt;0),"**Valid and Non-Valid Entries made below - Check Yellow Line/s",
IF(AND(E163=FALSE,F163&lt;9),"Not all requirements addressed below - Check Pink Line/s",
IF(AND(E163=FALSE,G163&lt;9,G163&gt;0,H163=0),"More entries to come",
IF(AND(E163,TRUE,G163=9,H163=0),"Valid Entries made below"
)))))))))</f>
        <v>Nothing Entered below Yet</v>
      </c>
      <c r="J163" s="2248">
        <f>COUNTIFS(E164:E172,TRUE,J164:J172,"Not Blank")</f>
        <v>0</v>
      </c>
      <c r="K163" s="2248">
        <f>COUNTIFS(E164:E172,FALSE,J164:J172,"Not Blank")</f>
        <v>0</v>
      </c>
      <c r="L163" s="2155" t="str">
        <f xml:space="preserve">
IF(J163&gt;9,"Too Many Entries - Check Red Lines",
IF(J163&lt;F163,"Valid Entry required below - Check Amber Line/s",
IF(AND(E163=FALSE,J163=0,K163=0),"Nothing Entered below Yet",
IF(AND(J163=0,K163&gt;0),"**Non-Valid Entry/ies below - Check Yellow Line/s",
IF(AND(J163&gt;0,K163&gt;0),"**Valid and Non-Valid Entries made below - Check Yellow Line/s",
IF(AND(E163=FALSE,J163&lt;9),"Not all requirements addressed below - Check Pink Line/s",
IF(AND(E163=FALSE,J163&lt;9,J163&gt;0,K163=0),"More entries to come",
IF(AND(E163,TRUE,J163=9,K163=0),"Valid Entries made below"
))))))))</f>
        <v>Nothing Entered below Yet</v>
      </c>
      <c r="M163" s="2176"/>
      <c r="N163" s="4791" t="s">
        <v>3</v>
      </c>
      <c r="O163" s="4792" t="b">
        <f>IF(OR(N163="Compliant",N163="FE with work-a-round",N163="Functionally Equivalent"),TRUE,FALSE)</f>
        <v>0</v>
      </c>
      <c r="P163" s="2249"/>
      <c r="Q163" s="4135" t="s">
        <v>565</v>
      </c>
      <c r="R163" s="915" t="b">
        <f>IF(AND(R164=TRUE,R165=TRUE,R166=TRUE,R167=TRUE,R168=TRUE,R169=TRUE,R170=TRUE,R171=TRUE,R172=TRUE),TRUE,FALSE)</f>
        <v>0</v>
      </c>
      <c r="S163" s="111"/>
      <c r="T163" s="111"/>
      <c r="U163" s="211"/>
      <c r="V163" s="4791" t="s">
        <v>3</v>
      </c>
      <c r="W163" s="4661" t="b">
        <f>IF(OR(V163="Compliant",V163="FE with work-a-round",V163="Functionally Equivalent",V163="Not Required/Applicable"),TRUE,FALSE)</f>
        <v>0</v>
      </c>
      <c r="X163" s="1753"/>
      <c r="Y163" s="1753"/>
      <c r="Z163" s="2666"/>
    </row>
    <row r="164" spans="1:84" s="20" customFormat="1" ht="73.5" thickTop="1" thickBot="1" x14ac:dyDescent="0.35">
      <c r="A164" s="625" t="s">
        <v>208</v>
      </c>
      <c r="B164" s="1504"/>
      <c r="C164" s="2253" t="s">
        <v>970</v>
      </c>
      <c r="D164" s="1013" t="s">
        <v>3</v>
      </c>
      <c r="E164" s="594" t="b">
        <f>IF(D164="Compliant",TRUE,FALSE)</f>
        <v>0</v>
      </c>
      <c r="F164" s="224"/>
      <c r="G164" s="324" t="str">
        <f t="shared" ref="G164:G172" si="9">IF(I164&lt;&gt;"", "Not Blank", "")</f>
        <v/>
      </c>
      <c r="H164" s="224"/>
      <c r="I164" s="2716"/>
      <c r="J164" s="2716" t="str">
        <f t="shared" ref="J164:J172" si="10">IF(L164&lt;&gt;"", "Not Blank", "")</f>
        <v/>
      </c>
      <c r="K164" s="2716"/>
      <c r="L164" s="2716"/>
      <c r="M164" s="2717"/>
      <c r="N164" s="4791"/>
      <c r="O164" s="4792"/>
      <c r="P164" s="2718"/>
      <c r="Q164" s="1863" t="s">
        <v>3</v>
      </c>
      <c r="R164" s="737" t="b">
        <f>IF(OR(Q164="Compliant",Q164="FE with work-a-round",Q164="Functionally Equivalent"),TRUE,FALSE)</f>
        <v>0</v>
      </c>
      <c r="S164" s="1754"/>
      <c r="T164" s="1754"/>
      <c r="U164" s="2719"/>
      <c r="V164" s="4791"/>
      <c r="W164" s="4661"/>
      <c r="X164" s="1754"/>
      <c r="Y164" s="1754"/>
      <c r="Z164" s="2667"/>
    </row>
    <row r="165" spans="1:84" s="20" customFormat="1" ht="44.5" thickTop="1" thickBot="1" x14ac:dyDescent="0.35">
      <c r="A165" s="625" t="s">
        <v>211</v>
      </c>
      <c r="B165" s="1504"/>
      <c r="C165" s="1717" t="s">
        <v>212</v>
      </c>
      <c r="D165" s="319" t="s">
        <v>3</v>
      </c>
      <c r="E165" s="594" t="b">
        <f t="shared" ref="E165:E172" si="11">IF(D165="Compliant",TRUE,FALSE)</f>
        <v>0</v>
      </c>
      <c r="F165" s="44"/>
      <c r="G165" s="44" t="str">
        <f t="shared" si="9"/>
        <v/>
      </c>
      <c r="H165" s="475"/>
      <c r="I165" s="44"/>
      <c r="J165" s="44" t="str">
        <f t="shared" si="10"/>
        <v/>
      </c>
      <c r="K165" s="44"/>
      <c r="L165" s="44"/>
      <c r="M165" s="68"/>
      <c r="N165" s="4791"/>
      <c r="O165" s="4792"/>
      <c r="P165" s="2720"/>
      <c r="Q165" s="1060" t="s">
        <v>3</v>
      </c>
      <c r="R165" s="737" t="b">
        <f t="shared" ref="R165:R172" si="12">IF(OR(Q165="Compliant",Q165="FE with work-a-round",Q165="Functionally Equivalent"),TRUE,FALSE)</f>
        <v>0</v>
      </c>
      <c r="S165" s="1754"/>
      <c r="T165" s="1754"/>
      <c r="U165" s="2719"/>
      <c r="V165" s="4791"/>
      <c r="W165" s="4661"/>
      <c r="X165" s="1754"/>
      <c r="Y165" s="1754"/>
      <c r="Z165" s="2667"/>
    </row>
    <row r="166" spans="1:84" s="20" customFormat="1" ht="30" thickTop="1" thickBot="1" x14ac:dyDescent="0.35">
      <c r="A166" s="625" t="s">
        <v>213</v>
      </c>
      <c r="B166" s="1504"/>
      <c r="C166" s="1717" t="s">
        <v>214</v>
      </c>
      <c r="D166" s="319" t="s">
        <v>3</v>
      </c>
      <c r="E166" s="594" t="b">
        <f t="shared" si="11"/>
        <v>0</v>
      </c>
      <c r="F166" s="44"/>
      <c r="G166" s="44" t="str">
        <f t="shared" si="9"/>
        <v/>
      </c>
      <c r="H166" s="44"/>
      <c r="I166" s="44"/>
      <c r="J166" s="44" t="str">
        <f t="shared" si="10"/>
        <v/>
      </c>
      <c r="K166" s="44"/>
      <c r="L166" s="44"/>
      <c r="M166" s="68"/>
      <c r="N166" s="4791"/>
      <c r="O166" s="4792"/>
      <c r="P166" s="2720"/>
      <c r="Q166" s="1060" t="s">
        <v>3</v>
      </c>
      <c r="R166" s="737" t="b">
        <f t="shared" si="12"/>
        <v>0</v>
      </c>
      <c r="S166" s="1754"/>
      <c r="T166" s="1754"/>
      <c r="U166" s="2719"/>
      <c r="V166" s="4791"/>
      <c r="W166" s="4661"/>
      <c r="X166" s="1754"/>
      <c r="Y166" s="1754"/>
      <c r="Z166" s="2667"/>
    </row>
    <row r="167" spans="1:84" s="20" customFormat="1" ht="59" thickTop="1" thickBot="1" x14ac:dyDescent="0.35">
      <c r="A167" s="625" t="s">
        <v>215</v>
      </c>
      <c r="B167" s="1504"/>
      <c r="C167" s="1717" t="s">
        <v>253</v>
      </c>
      <c r="D167" s="319" t="s">
        <v>3</v>
      </c>
      <c r="E167" s="594" t="b">
        <f t="shared" si="11"/>
        <v>0</v>
      </c>
      <c r="F167" s="224"/>
      <c r="G167" s="324" t="str">
        <f t="shared" si="9"/>
        <v/>
      </c>
      <c r="H167" s="44"/>
      <c r="I167" s="2721"/>
      <c r="J167" s="2721" t="str">
        <f t="shared" si="10"/>
        <v/>
      </c>
      <c r="K167" s="2721"/>
      <c r="L167" s="2721"/>
      <c r="M167" s="2722"/>
      <c r="N167" s="4791"/>
      <c r="O167" s="4792"/>
      <c r="P167" s="2720"/>
      <c r="Q167" s="1060" t="s">
        <v>3</v>
      </c>
      <c r="R167" s="737" t="b">
        <f t="shared" si="12"/>
        <v>0</v>
      </c>
      <c r="S167" s="1754"/>
      <c r="T167" s="1754"/>
      <c r="U167" s="2719"/>
      <c r="V167" s="4791"/>
      <c r="W167" s="4661"/>
      <c r="X167" s="1754"/>
      <c r="Y167" s="1754"/>
      <c r="Z167" s="2667"/>
    </row>
    <row r="168" spans="1:84" s="20" customFormat="1" ht="59" thickTop="1" thickBot="1" x14ac:dyDescent="0.35">
      <c r="A168" s="625" t="s">
        <v>216</v>
      </c>
      <c r="B168" s="1504"/>
      <c r="C168" s="1717" t="s">
        <v>217</v>
      </c>
      <c r="D168" s="319" t="s">
        <v>3</v>
      </c>
      <c r="E168" s="594" t="b">
        <f t="shared" si="11"/>
        <v>0</v>
      </c>
      <c r="F168" s="224"/>
      <c r="G168" s="324" t="str">
        <f t="shared" si="9"/>
        <v/>
      </c>
      <c r="H168" s="224"/>
      <c r="I168" s="44"/>
      <c r="J168" s="44" t="str">
        <f t="shared" si="10"/>
        <v/>
      </c>
      <c r="K168" s="44"/>
      <c r="L168" s="44"/>
      <c r="M168" s="68"/>
      <c r="N168" s="4791"/>
      <c r="O168" s="4792"/>
      <c r="P168" s="2720"/>
      <c r="Q168" s="1060" t="s">
        <v>3</v>
      </c>
      <c r="R168" s="737" t="b">
        <f t="shared" si="12"/>
        <v>0</v>
      </c>
      <c r="S168" s="1754"/>
      <c r="T168" s="1754"/>
      <c r="U168" s="2719"/>
      <c r="V168" s="4791"/>
      <c r="W168" s="4661"/>
      <c r="X168" s="1754"/>
      <c r="Y168" s="1754"/>
      <c r="Z168" s="2667"/>
    </row>
    <row r="169" spans="1:84" s="20" customFormat="1" ht="59" thickTop="1" thickBot="1" x14ac:dyDescent="0.35">
      <c r="A169" s="625" t="s">
        <v>218</v>
      </c>
      <c r="B169" s="1504"/>
      <c r="C169" s="1717" t="s">
        <v>219</v>
      </c>
      <c r="D169" s="319" t="s">
        <v>3</v>
      </c>
      <c r="E169" s="594" t="b">
        <f t="shared" si="11"/>
        <v>0</v>
      </c>
      <c r="F169" s="224"/>
      <c r="G169" s="324" t="str">
        <f t="shared" si="9"/>
        <v/>
      </c>
      <c r="H169" s="44"/>
      <c r="I169" s="44"/>
      <c r="J169" s="44" t="str">
        <f t="shared" si="10"/>
        <v/>
      </c>
      <c r="K169" s="44"/>
      <c r="L169" s="44"/>
      <c r="M169" s="68"/>
      <c r="N169" s="4791"/>
      <c r="O169" s="4792"/>
      <c r="P169" s="2720"/>
      <c r="Q169" s="1060" t="s">
        <v>3</v>
      </c>
      <c r="R169" s="737" t="b">
        <f t="shared" si="12"/>
        <v>0</v>
      </c>
      <c r="S169" s="1754"/>
      <c r="T169" s="1754"/>
      <c r="U169" s="2719"/>
      <c r="V169" s="4791"/>
      <c r="W169" s="4661"/>
      <c r="X169" s="1754"/>
      <c r="Y169" s="1754"/>
      <c r="Z169" s="2667"/>
    </row>
    <row r="170" spans="1:84" s="20" customFormat="1" ht="59" thickTop="1" thickBot="1" x14ac:dyDescent="0.35">
      <c r="A170" s="625" t="s">
        <v>220</v>
      </c>
      <c r="B170" s="1504"/>
      <c r="C170" s="2020" t="s">
        <v>971</v>
      </c>
      <c r="D170" s="319" t="s">
        <v>3</v>
      </c>
      <c r="E170" s="594" t="b">
        <f t="shared" si="11"/>
        <v>0</v>
      </c>
      <c r="F170" s="197"/>
      <c r="G170" s="197" t="str">
        <f t="shared" si="9"/>
        <v/>
      </c>
      <c r="H170" s="44"/>
      <c r="I170" s="2721"/>
      <c r="J170" s="2721" t="str">
        <f t="shared" si="10"/>
        <v/>
      </c>
      <c r="K170" s="2721"/>
      <c r="L170" s="2721"/>
      <c r="M170" s="2722"/>
      <c r="N170" s="4791"/>
      <c r="O170" s="4792"/>
      <c r="P170" s="2720"/>
      <c r="Q170" s="1060" t="s">
        <v>3</v>
      </c>
      <c r="R170" s="737" t="b">
        <f t="shared" si="12"/>
        <v>0</v>
      </c>
      <c r="S170" s="1754"/>
      <c r="T170" s="1754"/>
      <c r="U170" s="2719"/>
      <c r="V170" s="4791"/>
      <c r="W170" s="4661"/>
      <c r="X170" s="1754"/>
      <c r="Y170" s="1754"/>
      <c r="Z170" s="2667"/>
    </row>
    <row r="171" spans="1:84" s="20" customFormat="1" ht="73.5" thickTop="1" thickBot="1" x14ac:dyDescent="0.35">
      <c r="A171" s="625" t="s">
        <v>5</v>
      </c>
      <c r="B171" s="1504"/>
      <c r="C171" s="1717" t="s">
        <v>221</v>
      </c>
      <c r="D171" s="319" t="s">
        <v>3</v>
      </c>
      <c r="E171" s="594" t="b">
        <f t="shared" si="11"/>
        <v>0</v>
      </c>
      <c r="F171" s="224"/>
      <c r="G171" s="324" t="str">
        <f t="shared" si="9"/>
        <v/>
      </c>
      <c r="H171" s="44"/>
      <c r="I171" s="44"/>
      <c r="J171" s="44" t="str">
        <f t="shared" si="10"/>
        <v/>
      </c>
      <c r="K171" s="44"/>
      <c r="L171" s="44"/>
      <c r="M171" s="68"/>
      <c r="N171" s="4791"/>
      <c r="O171" s="4792"/>
      <c r="P171" s="2720"/>
      <c r="Q171" s="1060" t="s">
        <v>3</v>
      </c>
      <c r="R171" s="737" t="b">
        <f t="shared" si="12"/>
        <v>0</v>
      </c>
      <c r="S171" s="1754"/>
      <c r="T171" s="1754"/>
      <c r="U171" s="2719"/>
      <c r="V171" s="4791"/>
      <c r="W171" s="4661"/>
      <c r="X171" s="1754"/>
      <c r="Y171" s="1754"/>
      <c r="Z171" s="2667"/>
    </row>
    <row r="172" spans="1:84" s="20" customFormat="1" ht="73.5" thickTop="1" thickBot="1" x14ac:dyDescent="0.35">
      <c r="A172" s="625" t="s">
        <v>6</v>
      </c>
      <c r="B172" s="1504"/>
      <c r="C172" s="1807" t="s">
        <v>222</v>
      </c>
      <c r="D172" s="230" t="s">
        <v>3</v>
      </c>
      <c r="E172" s="208" t="b">
        <f t="shared" si="11"/>
        <v>0</v>
      </c>
      <c r="F172" s="79"/>
      <c r="G172" s="79" t="str">
        <f t="shared" si="9"/>
        <v/>
      </c>
      <c r="H172" s="79"/>
      <c r="I172" s="79"/>
      <c r="J172" s="79" t="str">
        <f t="shared" si="10"/>
        <v/>
      </c>
      <c r="K172" s="79"/>
      <c r="L172" s="79"/>
      <c r="M172" s="143"/>
      <c r="N172" s="4791"/>
      <c r="O172" s="4792"/>
      <c r="P172" s="2720"/>
      <c r="Q172" s="1017" t="s">
        <v>3</v>
      </c>
      <c r="R172" s="737" t="b">
        <f t="shared" si="12"/>
        <v>0</v>
      </c>
      <c r="S172" s="1754"/>
      <c r="T172" s="1754"/>
      <c r="U172" s="2719"/>
      <c r="V172" s="4791"/>
      <c r="W172" s="4661"/>
      <c r="X172" s="2723"/>
      <c r="Y172" s="2723"/>
      <c r="Z172" s="2724"/>
    </row>
    <row r="173" spans="1:84" s="20" customFormat="1" ht="32" thickTop="1" thickBot="1" x14ac:dyDescent="0.35">
      <c r="A173" s="625" t="s">
        <v>209</v>
      </c>
      <c r="B173" s="1504"/>
      <c r="C173" s="2251" t="s">
        <v>210</v>
      </c>
      <c r="D173" s="2010" t="s">
        <v>565</v>
      </c>
      <c r="E173" s="1937" t="b">
        <f>IF(AND(E174=TRUE,E175=TRUE,E176=TRUE,E177=TRUE,E178=TRUE,E179=TRUE,E180=TRUE,E181=TRUE,E182=TRUE,E183=TRUE,E184=TRUE,E185=TRUE,E186=TRUE,E187=TRUE),TRUE,FALSE)</f>
        <v>0</v>
      </c>
      <c r="F173" s="1514">
        <f>COUNTIF(E174:E187,TRUE)</f>
        <v>0</v>
      </c>
      <c r="G173" s="1514">
        <f>COUNTIFS(E174:E187,TRUE,G174:G187,"Not Blank")</f>
        <v>0</v>
      </c>
      <c r="H173" s="1514">
        <f>COUNTIFS(E174:E187,FALSE,G174:G187,"Not Blank")</f>
        <v>0</v>
      </c>
      <c r="I173" s="2155" t="str">
        <f xml:space="preserve">
IF(F173&gt;14,"Too Many Entries - Check Red Lines",
IF(G173&lt;F173,"Valid Entry required below - Check Amber Line/s",
IF(AND(E173=FALSE,G173=0,H173=0),"Nothing Entered below Yet",
IF(G173&lt;F173,"Valid Entry required below - Check Amber Line/s",
IF(AND(G173=0,H173&gt;0),"**Non-Valid Entry/ies below - Check Yellow Line/s",
IF(AND(G173&gt;0,H173&gt;0),"**Valid and Non-Valid Entries made below - Check Yellow Line/s",
IF(AND(E173=FALSE,F173&lt;14),"Not all requirements addressed below - Check Pink Line/s",
IF(AND(E173=FALSE,G173&lt;14,G173&gt;0,H173=0),"More entries to come",
IF(AND(E173,TRUE,G173=14,H173=0),"Valid Entries made below"
)))))))))</f>
        <v>Nothing Entered below Yet</v>
      </c>
      <c r="J173" s="2248">
        <f>COUNTIFS(E174:E187,TRUE,J174:J187,"Not Blank")</f>
        <v>0</v>
      </c>
      <c r="K173" s="2248">
        <f>COUNTIFS(E174:E187,FALSE,J174:J187,"Not Blank")</f>
        <v>0</v>
      </c>
      <c r="L173" s="2155" t="str">
        <f xml:space="preserve">
IF(J173&gt;14,"Too Many Entries - Check Red Lines",
IF(J173&lt;F173,"Valid Entry required below - Check Amber Line/s",
IF(AND(E173=FALSE,J173=0,K173=0),"Nothing Entered below Yet",
IF(AND(J173=0,K173&gt;0),"**Non-Valid Entry/ies below - Check Yellow Line/s",
IF(AND(J173&gt;0,K173&gt;0),"**Valid and Non-Valid Entries made below - Check Yellow Line/s",
IF(AND(E173=FALSE,J173&lt;14),"Not all requirements addressed below - Check Pink Line/s",
IF(AND(E173=FALSE,J173&lt;14,J173&gt;0,K173=0),"More entries to come",
IF(AND(E173,TRUE,J173=14,K173=0),"Valid Entries made below"
))))))))</f>
        <v>Nothing Entered below Yet</v>
      </c>
      <c r="M173" s="2176"/>
      <c r="N173" s="4446" t="s">
        <v>3</v>
      </c>
      <c r="O173" s="4629" t="b">
        <f>IF(OR(N173="Compliant",N173="FE with work-a-round",N173="Functionally Equivalent"),TRUE,FALSE)</f>
        <v>0</v>
      </c>
      <c r="P173" s="66"/>
      <c r="Q173" s="4207" t="s">
        <v>565</v>
      </c>
      <c r="R173" s="915" t="b">
        <f>IF(AND(R174=TRUE,R175=TRUE,R176=TRUE,R177=TRUE,R178=TRUE,R179=TRUE,R180=TRUE,R181=TRUE,R182=TRUE,R183=TRUE,R184=TRUE,R185=TRUE,R186=TRUE,R187=TRUE),TRUE,FALSE)</f>
        <v>0</v>
      </c>
      <c r="S173" s="111"/>
      <c r="T173" s="111"/>
      <c r="U173" s="211"/>
      <c r="V173" s="4791" t="s">
        <v>3</v>
      </c>
      <c r="W173" s="4661" t="b">
        <f>IF(OR(V173="Compliant",V173="FE with work-a-round",V173="Functionally Equivalent",V173="Not Required/Applicable"),TRUE,FALSE)</f>
        <v>0</v>
      </c>
      <c r="X173" s="1753"/>
      <c r="Y173" s="1753"/>
      <c r="Z173" s="2666"/>
    </row>
    <row r="174" spans="1:84" s="20" customFormat="1" ht="88" thickTop="1" thickBot="1" x14ac:dyDescent="0.35">
      <c r="A174" s="625" t="s">
        <v>223</v>
      </c>
      <c r="B174" s="1504"/>
      <c r="C174" s="2252" t="s">
        <v>972</v>
      </c>
      <c r="D174" s="2168" t="s">
        <v>3</v>
      </c>
      <c r="E174" s="594" t="b">
        <f t="shared" ref="E174:E187" si="13">IF(D174="Compliant",TRUE,FALSE)</f>
        <v>0</v>
      </c>
      <c r="F174" s="44"/>
      <c r="G174" s="44" t="str">
        <f t="shared" ref="G174:G187" si="14">IF(I174&lt;&gt;"", "Not Blank", "")</f>
        <v/>
      </c>
      <c r="H174" s="44"/>
      <c r="I174" s="2716"/>
      <c r="J174" s="2716" t="str">
        <f t="shared" ref="J174:J187" si="15">IF(L174&lt;&gt;"", "Not Blank", "")</f>
        <v/>
      </c>
      <c r="K174" s="2716"/>
      <c r="L174" s="2716"/>
      <c r="M174" s="2717"/>
      <c r="N174" s="4447"/>
      <c r="O174" s="4630"/>
      <c r="P174" s="2725"/>
      <c r="Q174" s="2214" t="s">
        <v>3</v>
      </c>
      <c r="R174" s="737" t="b">
        <f>IF(OR(Q174="Compliant",Q174="FE with work-a-round",Q174="Functionally Equivalent"),TRUE,FALSE)</f>
        <v>0</v>
      </c>
      <c r="S174" s="1754"/>
      <c r="T174" s="1754"/>
      <c r="U174" s="2719"/>
      <c r="V174" s="4791"/>
      <c r="W174" s="4661"/>
      <c r="X174" s="1754"/>
      <c r="Y174" s="1754"/>
      <c r="Z174" s="2667"/>
    </row>
    <row r="175" spans="1:84" s="20" customFormat="1" ht="88" thickTop="1" thickBot="1" x14ac:dyDescent="0.35">
      <c r="A175" s="625" t="s">
        <v>224</v>
      </c>
      <c r="B175" s="1504"/>
      <c r="C175" s="1717" t="s">
        <v>225</v>
      </c>
      <c r="D175" s="319" t="s">
        <v>3</v>
      </c>
      <c r="E175" s="594" t="b">
        <f t="shared" si="13"/>
        <v>0</v>
      </c>
      <c r="F175" s="44"/>
      <c r="G175" s="44" t="str">
        <f t="shared" si="14"/>
        <v/>
      </c>
      <c r="H175" s="44"/>
      <c r="I175" s="44"/>
      <c r="J175" s="44" t="str">
        <f t="shared" si="15"/>
        <v/>
      </c>
      <c r="K175" s="44"/>
      <c r="L175" s="44"/>
      <c r="M175" s="68"/>
      <c r="N175" s="4447"/>
      <c r="O175" s="4630"/>
      <c r="P175" s="2720"/>
      <c r="Q175" s="1060" t="s">
        <v>3</v>
      </c>
      <c r="R175" s="737" t="b">
        <f t="shared" ref="R175:R187" si="16">IF(OR(Q175="Compliant",Q175="FE with work-a-round",Q175="Functionally Equivalent"),TRUE,FALSE)</f>
        <v>0</v>
      </c>
      <c r="S175" s="1754"/>
      <c r="T175" s="1754"/>
      <c r="U175" s="2719"/>
      <c r="V175" s="4791"/>
      <c r="W175" s="4661"/>
      <c r="X175" s="1754"/>
      <c r="Y175" s="1754"/>
      <c r="Z175" s="2667"/>
    </row>
    <row r="176" spans="1:84" s="20" customFormat="1" ht="16.5" thickTop="1" thickBot="1" x14ac:dyDescent="0.35">
      <c r="A176" s="625" t="s">
        <v>226</v>
      </c>
      <c r="B176" s="1504"/>
      <c r="C176" s="1717" t="s">
        <v>227</v>
      </c>
      <c r="D176" s="319" t="s">
        <v>3</v>
      </c>
      <c r="E176" s="594" t="b">
        <f t="shared" si="13"/>
        <v>0</v>
      </c>
      <c r="F176" s="44"/>
      <c r="G176" s="44" t="str">
        <f t="shared" si="14"/>
        <v/>
      </c>
      <c r="H176" s="44"/>
      <c r="I176" s="44"/>
      <c r="J176" s="44" t="str">
        <f t="shared" si="15"/>
        <v/>
      </c>
      <c r="K176" s="44"/>
      <c r="L176" s="44"/>
      <c r="M176" s="68"/>
      <c r="N176" s="4447"/>
      <c r="O176" s="4630"/>
      <c r="P176" s="2720"/>
      <c r="Q176" s="1060" t="s">
        <v>3</v>
      </c>
      <c r="R176" s="737" t="b">
        <f t="shared" si="16"/>
        <v>0</v>
      </c>
      <c r="S176" s="1754"/>
      <c r="T176" s="1754"/>
      <c r="U176" s="2719"/>
      <c r="V176" s="4791"/>
      <c r="W176" s="4661"/>
      <c r="X176" s="1754"/>
      <c r="Y176" s="1754"/>
      <c r="Z176" s="2667"/>
    </row>
    <row r="177" spans="1:26" s="20" customFormat="1" ht="44.5" thickTop="1" thickBot="1" x14ac:dyDescent="0.35">
      <c r="A177" s="625" t="s">
        <v>228</v>
      </c>
      <c r="B177" s="1504"/>
      <c r="C177" s="1717" t="s">
        <v>252</v>
      </c>
      <c r="D177" s="319" t="s">
        <v>3</v>
      </c>
      <c r="E177" s="594" t="b">
        <f t="shared" si="13"/>
        <v>0</v>
      </c>
      <c r="F177" s="224"/>
      <c r="G177" s="324" t="str">
        <f t="shared" si="14"/>
        <v/>
      </c>
      <c r="H177" s="44"/>
      <c r="I177" s="2721"/>
      <c r="J177" s="2721" t="str">
        <f t="shared" si="15"/>
        <v/>
      </c>
      <c r="K177" s="2721"/>
      <c r="L177" s="2721"/>
      <c r="M177" s="2722"/>
      <c r="N177" s="4447"/>
      <c r="O177" s="4630"/>
      <c r="P177" s="2720"/>
      <c r="Q177" s="1060" t="s">
        <v>3</v>
      </c>
      <c r="R177" s="737" t="b">
        <f t="shared" si="16"/>
        <v>0</v>
      </c>
      <c r="S177" s="1754"/>
      <c r="T177" s="1754"/>
      <c r="U177" s="2719"/>
      <c r="V177" s="4791"/>
      <c r="W177" s="4661"/>
      <c r="X177" s="1754"/>
      <c r="Y177" s="1754"/>
      <c r="Z177" s="2667"/>
    </row>
    <row r="178" spans="1:26" s="20" customFormat="1" ht="44.5" thickTop="1" thickBot="1" x14ac:dyDescent="0.35">
      <c r="A178" s="625" t="s">
        <v>229</v>
      </c>
      <c r="B178" s="1504"/>
      <c r="C178" s="1717" t="s">
        <v>230</v>
      </c>
      <c r="D178" s="319" t="s">
        <v>3</v>
      </c>
      <c r="E178" s="594" t="b">
        <f t="shared" si="13"/>
        <v>0</v>
      </c>
      <c r="F178" s="197"/>
      <c r="G178" s="197" t="str">
        <f t="shared" si="14"/>
        <v/>
      </c>
      <c r="H178" s="44"/>
      <c r="I178" s="44"/>
      <c r="J178" s="44" t="str">
        <f t="shared" si="15"/>
        <v/>
      </c>
      <c r="K178" s="44"/>
      <c r="L178" s="44"/>
      <c r="M178" s="68"/>
      <c r="N178" s="4447"/>
      <c r="O178" s="4630"/>
      <c r="P178" s="2720"/>
      <c r="Q178" s="1060" t="s">
        <v>3</v>
      </c>
      <c r="R178" s="737" t="b">
        <f t="shared" si="16"/>
        <v>0</v>
      </c>
      <c r="S178" s="1754"/>
      <c r="T178" s="1754"/>
      <c r="U178" s="2719"/>
      <c r="V178" s="4791"/>
      <c r="W178" s="4661"/>
      <c r="X178" s="1754"/>
      <c r="Y178" s="1754"/>
      <c r="Z178" s="2667"/>
    </row>
    <row r="179" spans="1:26" s="20" customFormat="1" ht="73.5" thickTop="1" thickBot="1" x14ac:dyDescent="0.35">
      <c r="A179" s="625" t="s">
        <v>231</v>
      </c>
      <c r="B179" s="1504"/>
      <c r="C179" s="2020" t="s">
        <v>973</v>
      </c>
      <c r="D179" s="319" t="s">
        <v>3</v>
      </c>
      <c r="E179" s="594" t="b">
        <f t="shared" si="13"/>
        <v>0</v>
      </c>
      <c r="F179" s="475"/>
      <c r="G179" s="475" t="str">
        <f t="shared" si="14"/>
        <v/>
      </c>
      <c r="H179" s="44"/>
      <c r="I179" s="2721"/>
      <c r="J179" s="2721" t="str">
        <f t="shared" si="15"/>
        <v/>
      </c>
      <c r="K179" s="2721"/>
      <c r="L179" s="2721"/>
      <c r="M179" s="2722"/>
      <c r="N179" s="4447"/>
      <c r="O179" s="4630"/>
      <c r="P179" s="2720"/>
      <c r="Q179" s="1060" t="s">
        <v>3</v>
      </c>
      <c r="R179" s="737" t="b">
        <f t="shared" si="16"/>
        <v>0</v>
      </c>
      <c r="S179" s="1754"/>
      <c r="T179" s="1754"/>
      <c r="U179" s="2719"/>
      <c r="V179" s="4791"/>
      <c r="W179" s="4661"/>
      <c r="X179" s="1754"/>
      <c r="Y179" s="1754"/>
      <c r="Z179" s="2667"/>
    </row>
    <row r="180" spans="1:26" s="20" customFormat="1" ht="102.5" thickTop="1" thickBot="1" x14ac:dyDescent="0.35">
      <c r="A180" s="625" t="s">
        <v>232</v>
      </c>
      <c r="B180" s="1504"/>
      <c r="C180" s="2020" t="s">
        <v>974</v>
      </c>
      <c r="D180" s="319" t="s">
        <v>3</v>
      </c>
      <c r="E180" s="594" t="b">
        <f t="shared" si="13"/>
        <v>0</v>
      </c>
      <c r="F180" s="44"/>
      <c r="G180" s="44" t="str">
        <f t="shared" si="14"/>
        <v/>
      </c>
      <c r="H180" s="44"/>
      <c r="I180" s="2721"/>
      <c r="J180" s="2721" t="str">
        <f t="shared" si="15"/>
        <v/>
      </c>
      <c r="K180" s="2721"/>
      <c r="L180" s="2721"/>
      <c r="M180" s="2722"/>
      <c r="N180" s="4447"/>
      <c r="O180" s="4630"/>
      <c r="P180" s="2720"/>
      <c r="Q180" s="1060" t="s">
        <v>3</v>
      </c>
      <c r="R180" s="737" t="b">
        <f t="shared" si="16"/>
        <v>0</v>
      </c>
      <c r="S180" s="1754"/>
      <c r="T180" s="1754"/>
      <c r="U180" s="2719"/>
      <c r="V180" s="4791"/>
      <c r="W180" s="4661"/>
      <c r="X180" s="1754"/>
      <c r="Y180" s="1754"/>
      <c r="Z180" s="2667"/>
    </row>
    <row r="181" spans="1:26" s="20" customFormat="1" ht="16.5" thickTop="1" thickBot="1" x14ac:dyDescent="0.35">
      <c r="A181" s="625" t="s">
        <v>233</v>
      </c>
      <c r="B181" s="1504"/>
      <c r="C181" s="1717" t="s">
        <v>234</v>
      </c>
      <c r="D181" s="319" t="s">
        <v>3</v>
      </c>
      <c r="E181" s="594" t="b">
        <f t="shared" si="13"/>
        <v>0</v>
      </c>
      <c r="F181" s="44"/>
      <c r="G181" s="44" t="str">
        <f t="shared" si="14"/>
        <v/>
      </c>
      <c r="H181" s="224"/>
      <c r="I181" s="44"/>
      <c r="J181" s="44" t="str">
        <f t="shared" si="15"/>
        <v/>
      </c>
      <c r="K181" s="44"/>
      <c r="L181" s="44"/>
      <c r="M181" s="68"/>
      <c r="N181" s="4447"/>
      <c r="O181" s="4630"/>
      <c r="P181" s="2720"/>
      <c r="Q181" s="1060" t="s">
        <v>3</v>
      </c>
      <c r="R181" s="737" t="b">
        <f t="shared" si="16"/>
        <v>0</v>
      </c>
      <c r="S181" s="1754"/>
      <c r="T181" s="1754"/>
      <c r="U181" s="2719"/>
      <c r="V181" s="4791"/>
      <c r="W181" s="4661"/>
      <c r="X181" s="1754"/>
      <c r="Y181" s="1754"/>
      <c r="Z181" s="2667"/>
    </row>
    <row r="182" spans="1:26" s="20" customFormat="1" ht="30" thickTop="1" thickBot="1" x14ac:dyDescent="0.35">
      <c r="A182" s="625" t="s">
        <v>235</v>
      </c>
      <c r="B182" s="1504"/>
      <c r="C182" s="1717" t="s">
        <v>236</v>
      </c>
      <c r="D182" s="319" t="s">
        <v>3</v>
      </c>
      <c r="E182" s="594" t="b">
        <f t="shared" si="13"/>
        <v>0</v>
      </c>
      <c r="F182" s="224"/>
      <c r="G182" s="324" t="str">
        <f t="shared" si="14"/>
        <v/>
      </c>
      <c r="H182" s="44"/>
      <c r="I182" s="44"/>
      <c r="J182" s="44" t="str">
        <f t="shared" si="15"/>
        <v/>
      </c>
      <c r="K182" s="44"/>
      <c r="L182" s="44"/>
      <c r="M182" s="68"/>
      <c r="N182" s="4447"/>
      <c r="O182" s="4630"/>
      <c r="P182" s="2720"/>
      <c r="Q182" s="1060" t="s">
        <v>3</v>
      </c>
      <c r="R182" s="737" t="b">
        <f t="shared" si="16"/>
        <v>0</v>
      </c>
      <c r="S182" s="1754"/>
      <c r="T182" s="1754"/>
      <c r="U182" s="2719"/>
      <c r="V182" s="4791"/>
      <c r="W182" s="4661"/>
      <c r="X182" s="1754"/>
      <c r="Y182" s="1754"/>
      <c r="Z182" s="2667"/>
    </row>
    <row r="183" spans="1:26" s="20" customFormat="1" ht="30" thickTop="1" thickBot="1" x14ac:dyDescent="0.35">
      <c r="A183" s="625" t="s">
        <v>237</v>
      </c>
      <c r="B183" s="1504"/>
      <c r="C183" s="1717" t="s">
        <v>238</v>
      </c>
      <c r="D183" s="319" t="s">
        <v>3</v>
      </c>
      <c r="E183" s="594" t="b">
        <f t="shared" si="13"/>
        <v>0</v>
      </c>
      <c r="F183" s="44"/>
      <c r="G183" s="44" t="str">
        <f t="shared" si="14"/>
        <v/>
      </c>
      <c r="H183" s="44"/>
      <c r="I183" s="44"/>
      <c r="J183" s="44" t="str">
        <f t="shared" si="15"/>
        <v/>
      </c>
      <c r="K183" s="44"/>
      <c r="L183" s="44"/>
      <c r="M183" s="68"/>
      <c r="N183" s="4447"/>
      <c r="O183" s="4630"/>
      <c r="P183" s="2720"/>
      <c r="Q183" s="1060" t="s">
        <v>3</v>
      </c>
      <c r="R183" s="737" t="b">
        <f t="shared" si="16"/>
        <v>0</v>
      </c>
      <c r="S183" s="1754"/>
      <c r="T183" s="1754"/>
      <c r="U183" s="2719"/>
      <c r="V183" s="4791"/>
      <c r="W183" s="4661"/>
      <c r="X183" s="1754"/>
      <c r="Y183" s="1754"/>
      <c r="Z183" s="2667"/>
    </row>
    <row r="184" spans="1:26" s="20" customFormat="1" ht="146" thickTop="1" thickBot="1" x14ac:dyDescent="0.35">
      <c r="A184" s="625" t="s">
        <v>239</v>
      </c>
      <c r="B184" s="1504"/>
      <c r="C184" s="1717" t="s">
        <v>897</v>
      </c>
      <c r="D184" s="319" t="s">
        <v>3</v>
      </c>
      <c r="E184" s="594" t="b">
        <f t="shared" si="13"/>
        <v>0</v>
      </c>
      <c r="F184" s="44"/>
      <c r="G184" s="44" t="str">
        <f t="shared" si="14"/>
        <v/>
      </c>
      <c r="H184" s="44"/>
      <c r="I184" s="2721"/>
      <c r="J184" s="2721" t="str">
        <f t="shared" si="15"/>
        <v/>
      </c>
      <c r="K184" s="2721"/>
      <c r="L184" s="2721"/>
      <c r="M184" s="2722"/>
      <c r="N184" s="4447"/>
      <c r="O184" s="4630"/>
      <c r="P184" s="2720"/>
      <c r="Q184" s="1060" t="s">
        <v>3</v>
      </c>
      <c r="R184" s="737" t="b">
        <f t="shared" si="16"/>
        <v>0</v>
      </c>
      <c r="S184" s="1754"/>
      <c r="T184" s="1754"/>
      <c r="U184" s="2719"/>
      <c r="V184" s="4791"/>
      <c r="W184" s="4661"/>
      <c r="X184" s="1754"/>
      <c r="Y184" s="1754"/>
      <c r="Z184" s="2667"/>
    </row>
    <row r="185" spans="1:26" s="20" customFormat="1" ht="30" thickTop="1" thickBot="1" x14ac:dyDescent="0.35">
      <c r="A185" s="625" t="s">
        <v>240</v>
      </c>
      <c r="B185" s="1504"/>
      <c r="C185" s="1717" t="s">
        <v>241</v>
      </c>
      <c r="D185" s="319" t="s">
        <v>3</v>
      </c>
      <c r="E185" s="594" t="b">
        <f t="shared" si="13"/>
        <v>0</v>
      </c>
      <c r="F185" s="44"/>
      <c r="G185" s="44" t="str">
        <f t="shared" si="14"/>
        <v/>
      </c>
      <c r="H185" s="224"/>
      <c r="I185" s="44"/>
      <c r="J185" s="44" t="str">
        <f t="shared" si="15"/>
        <v/>
      </c>
      <c r="K185" s="44"/>
      <c r="L185" s="44"/>
      <c r="M185" s="68"/>
      <c r="N185" s="4447"/>
      <c r="O185" s="4630"/>
      <c r="P185" s="2720"/>
      <c r="Q185" s="1060" t="s">
        <v>3</v>
      </c>
      <c r="R185" s="737" t="b">
        <f t="shared" si="16"/>
        <v>0</v>
      </c>
      <c r="S185" s="1754"/>
      <c r="T185" s="1754"/>
      <c r="U185" s="2719"/>
      <c r="V185" s="4791"/>
      <c r="W185" s="4661"/>
      <c r="X185" s="1754"/>
      <c r="Y185" s="1754"/>
      <c r="Z185" s="2667"/>
    </row>
    <row r="186" spans="1:26" s="20" customFormat="1" ht="30" thickTop="1" thickBot="1" x14ac:dyDescent="0.35">
      <c r="A186" s="625" t="s">
        <v>242</v>
      </c>
      <c r="B186" s="1504"/>
      <c r="C186" s="1717" t="s">
        <v>243</v>
      </c>
      <c r="D186" s="319" t="s">
        <v>3</v>
      </c>
      <c r="E186" s="594" t="b">
        <f t="shared" si="13"/>
        <v>0</v>
      </c>
      <c r="F186" s="44"/>
      <c r="G186" s="44" t="str">
        <f t="shared" si="14"/>
        <v/>
      </c>
      <c r="H186" s="44"/>
      <c r="I186" s="44"/>
      <c r="J186" s="44" t="str">
        <f t="shared" si="15"/>
        <v/>
      </c>
      <c r="K186" s="44"/>
      <c r="L186" s="44"/>
      <c r="M186" s="68"/>
      <c r="N186" s="4447"/>
      <c r="O186" s="4630"/>
      <c r="P186" s="2720"/>
      <c r="Q186" s="1060" t="s">
        <v>3</v>
      </c>
      <c r="R186" s="737" t="b">
        <f t="shared" si="16"/>
        <v>0</v>
      </c>
      <c r="S186" s="1754"/>
      <c r="T186" s="1754"/>
      <c r="U186" s="2719"/>
      <c r="V186" s="4791"/>
      <c r="W186" s="4661"/>
      <c r="X186" s="1754"/>
      <c r="Y186" s="1754"/>
      <c r="Z186" s="2667"/>
    </row>
    <row r="187" spans="1:26" s="20" customFormat="1" ht="30" thickTop="1" thickBot="1" x14ac:dyDescent="0.35">
      <c r="A187" s="625" t="s">
        <v>244</v>
      </c>
      <c r="B187" s="1508"/>
      <c r="C187" s="1807" t="s">
        <v>245</v>
      </c>
      <c r="D187" s="230" t="s">
        <v>3</v>
      </c>
      <c r="E187" s="208" t="b">
        <f t="shared" si="13"/>
        <v>0</v>
      </c>
      <c r="F187" s="79"/>
      <c r="G187" s="79" t="str">
        <f t="shared" si="14"/>
        <v/>
      </c>
      <c r="H187" s="79"/>
      <c r="I187" s="79"/>
      <c r="J187" s="79" t="str">
        <f t="shared" si="15"/>
        <v/>
      </c>
      <c r="K187" s="79"/>
      <c r="L187" s="79"/>
      <c r="M187" s="143"/>
      <c r="N187" s="4448"/>
      <c r="O187" s="4631"/>
      <c r="P187" s="2720"/>
      <c r="Q187" s="1017" t="s">
        <v>3</v>
      </c>
      <c r="R187" s="737" t="b">
        <f t="shared" si="16"/>
        <v>0</v>
      </c>
      <c r="S187" s="1754"/>
      <c r="T187" s="1754"/>
      <c r="U187" s="2719"/>
      <c r="V187" s="4791"/>
      <c r="W187" s="4661"/>
      <c r="X187" s="2723"/>
      <c r="Y187" s="2723"/>
      <c r="Z187" s="2724"/>
    </row>
    <row r="188" spans="1:26" s="20" customFormat="1" ht="32" thickTop="1" thickBot="1" x14ac:dyDescent="0.35">
      <c r="A188" s="625" t="s">
        <v>206</v>
      </c>
      <c r="B188" s="1808"/>
      <c r="C188" s="2021" t="s">
        <v>876</v>
      </c>
      <c r="D188" s="1925" t="s">
        <v>565</v>
      </c>
      <c r="E188" s="2022" t="b">
        <f>IF(AND(E189=TRUE,E194=TRUE),TRUE,FALSE)</f>
        <v>0</v>
      </c>
      <c r="F188" s="1497">
        <f>SUM(F189,F194)</f>
        <v>0</v>
      </c>
      <c r="G188" s="1497">
        <f>SUM(G189,G194)</f>
        <v>0</v>
      </c>
      <c r="H188" s="2023">
        <f>SUM(H189,H194)</f>
        <v>0</v>
      </c>
      <c r="I188" s="2737" t="str">
        <f xml:space="preserve">
IF(F188&gt;11,"Too Many Entries - Check Red Lines",
IF(AND(E188=FALSE,G188=0,H188=0),"Nothing Entered below Yet",
IF(AND(G188=0,H188&gt;0),"**Non-Valid Entry/ies below - Check Yellow Line/s",
IF(G188&lt;F188,"Valid Entry required below - Check Amber box",
IF(AND(G188&gt;0,H188&gt;0),"**Valid and Non-Valid Entries made below - Check Yellow Line/s",
IF(AND(E188=FALSE,F188&lt;11),"Not all requirements addressed below - Check Pink Line/s",
IF(AND(E188=FALSE,G188&lt;11,G188&gt;0,H188=0),"More entries to come",
IF(AND(E188,TRUE,G188=11,H188=0),"Valid Entries made below"
))))))))</f>
        <v>Nothing Entered below Yet</v>
      </c>
      <c r="J188" s="2737">
        <f>SUM(J189,J194)</f>
        <v>0</v>
      </c>
      <c r="K188" s="2737">
        <f>SUM(K189,K194)</f>
        <v>0</v>
      </c>
      <c r="L188" s="2737" t="str">
        <f xml:space="preserve">
IF(J188&gt;11,"Too Many Entries - Check Red Lines",
IF(AND(E188=FALSE,J188=0,K188=0,E188=TRUE),"Nothing Required Below",
IF(J188&lt;F188,"Valid Entry required below - Check Amber Line/s",
IF(AND(E188=FALSE,J188=0,K188=0),"Nothing Entered below Yet",
IF(AND(J188=0,K188&gt;0),"**Non-Valid Entry/ies below - Check Yellow Line/s",
IF(AND(J188&gt;0,K188&gt;0),"**Valid and Non-Valid Entries made below - Check Yellow Line/s",
IF(AND(E188=FALSE,J188&lt;11),"Not all requirements addressed below - Check Pink Line/s",
IF(AND(E188=FALSE,J188&lt;11,J188&gt;0,K188=0),"More entries to come",
IF(AND(E188,TRUE,J188=11,K188=0),"Valid Entries made below"
)))))))))</f>
        <v>Nothing Entered below Yet</v>
      </c>
      <c r="M188" s="2726"/>
      <c r="N188" s="4109" t="s">
        <v>565</v>
      </c>
      <c r="O188" s="331" t="b">
        <f>IF(AND(O194=TRUE,O189=TRUE),TRUE,FALSE)</f>
        <v>0</v>
      </c>
      <c r="P188" s="1917"/>
      <c r="Q188" s="4111" t="s">
        <v>565</v>
      </c>
      <c r="R188" s="916" t="b">
        <f>IF(AND(R189=TRUE,R194=TRUE),TRUE,FALSE)</f>
        <v>0</v>
      </c>
      <c r="S188" s="186"/>
      <c r="T188" s="186"/>
      <c r="U188" s="459"/>
      <c r="V188" s="3894" t="s">
        <v>565</v>
      </c>
      <c r="W188" s="335" t="b">
        <f>IF(AND(W194=TRUE,W189=TRUE),TRUE,FALSE)</f>
        <v>0</v>
      </c>
      <c r="X188" s="1753"/>
      <c r="Y188" s="1753"/>
      <c r="Z188" s="2666"/>
    </row>
    <row r="189" spans="1:26" s="20" customFormat="1" ht="32" thickTop="1" thickBot="1" x14ac:dyDescent="0.35">
      <c r="A189" s="625" t="s">
        <v>207</v>
      </c>
      <c r="B189" s="1495"/>
      <c r="C189" s="2247" t="s">
        <v>877</v>
      </c>
      <c r="D189" s="2010" t="s">
        <v>565</v>
      </c>
      <c r="E189" s="1937" t="b">
        <f>IF(AND(E190=TRUE,E191=TRUE,E192=TRUE,E193=TRUE),TRUE,FALSE)</f>
        <v>0</v>
      </c>
      <c r="F189" s="1514">
        <f>COUNTIF(E190:E193,TRUE)</f>
        <v>0</v>
      </c>
      <c r="G189" s="1514">
        <f>COUNTIFS(E190:E193,TRUE,G190:G193,"Not Blank")</f>
        <v>0</v>
      </c>
      <c r="H189" s="1514">
        <f>COUNTIFS(E190:E193,FALSE,G190:G193,"Not Blank")</f>
        <v>0</v>
      </c>
      <c r="I189" s="2155" t="str">
        <f xml:space="preserve">
IF(F189&gt;4,"Too Many Entries - Check Red Lines",
IF(G189&lt;F189,"Valid Entry required below - Check Amber Line/s",
IF(AND(E189=FALSE,G189=0,H189=0),"Nothing Entered below Yet",
IF(G189&lt;F189,"Valid Entry required below - Check Amber Line/s",
IF(AND(G189=0,H189&gt;0),"**Non-Valid Entry/ies below - Check Yellow Line/s",
IF(AND(G189&gt;0,H189&gt;0),"**Valid and Non-Valid Entries made below - Check Yellow Line/s",
IF(AND(E189=FALSE,F189&lt;4),"Not all requirements addressed below - Check Pink Line/s",
IF(AND(E189=FALSE,G189&lt;4,G189&gt;0,H189=0),"More entries to come",
IF(AND(E189,TRUE,G189=4,H189=0),"Valid Entries made below"
)))))))))</f>
        <v>Nothing Entered below Yet</v>
      </c>
      <c r="J189" s="2248">
        <f>COUNTIFS(E190:E193,TRUE,J190:J193,"Not Blank")</f>
        <v>0</v>
      </c>
      <c r="K189" s="2248">
        <f>COUNTIFS(E190:E193,FALSE,J190:J193,"Not Blank")</f>
        <v>0</v>
      </c>
      <c r="L189" s="2155" t="str">
        <f xml:space="preserve">
IF(J189&gt;4,"Too Many Entries - Check Red Lines",
IF(J189&lt;F189,"Valid Entry required below - Check Amber Line/s",
IF(AND(E189=FALSE,J189=0,K189=0),"Nothing Entered below Yet",
IF(AND(J189=0,K189&gt;0),"**Non-Valid Entry/ies below - Check Yellow Line/s",
IF(AND(J189&gt;0,K189&gt;0),"**Valid and Non-Valid Entries made below - Check Yellow Line/s",
IF(AND(E189=FALSE,J189&lt;4),"Not all requirements addressed below - Check Pink Line/s",
IF(AND(E189=FALSE,J189&lt;4,J189&gt;0,K189=0),"More entries to come",
IF(AND(E189,TRUE,J189=4,K189=0),"Valid Entries made below"
))))))))</f>
        <v>Nothing Entered below Yet</v>
      </c>
      <c r="M189" s="2727"/>
      <c r="N189" s="4772" t="s">
        <v>3</v>
      </c>
      <c r="O189" s="4477" t="b">
        <f>IF(OR(N189="Compliant",N189="FE with work-a-round",N189="Functionally Equivalent"),TRUE,FALSE)</f>
        <v>0</v>
      </c>
      <c r="P189" s="2249"/>
      <c r="Q189" s="4135" t="s">
        <v>565</v>
      </c>
      <c r="R189" s="915" t="b">
        <f>IF(AND(R190=TRUE,R191=TRUE,R192=TRUE,R193=TRUE),TRUE,FALSE)</f>
        <v>0</v>
      </c>
      <c r="S189" s="111"/>
      <c r="T189" s="111"/>
      <c r="U189" s="211"/>
      <c r="V189" s="4791" t="s">
        <v>3</v>
      </c>
      <c r="W189" s="4661" t="b">
        <f>IF(OR(V189="Compliant",V189="FE with work-a-round",V189="Functionally Equivalent",V189="Not Required/Applicable"),TRUE,FALSE)</f>
        <v>0</v>
      </c>
      <c r="X189" s="1753"/>
      <c r="Y189" s="1753"/>
      <c r="Z189" s="2666"/>
    </row>
    <row r="190" spans="1:26" s="20" customFormat="1" ht="73.5" thickTop="1" thickBot="1" x14ac:dyDescent="0.35">
      <c r="A190" s="625" t="s">
        <v>208</v>
      </c>
      <c r="B190" s="1504"/>
      <c r="C190" s="1806" t="s">
        <v>251</v>
      </c>
      <c r="D190" s="2168" t="s">
        <v>3</v>
      </c>
      <c r="E190" s="594" t="b">
        <f>IF(D190="Compliant",TRUE,FALSE)</f>
        <v>0</v>
      </c>
      <c r="F190" s="44"/>
      <c r="G190" s="44" t="str">
        <f>IF(I190&lt;&gt;"", "Not Blank", "")</f>
        <v/>
      </c>
      <c r="H190" s="44"/>
      <c r="I190" s="2716"/>
      <c r="J190" s="2716" t="str">
        <f>IF(L190&lt;&gt;"", "Not Blank", "")</f>
        <v/>
      </c>
      <c r="K190" s="2716"/>
      <c r="L190" s="2716"/>
      <c r="M190" s="2728"/>
      <c r="N190" s="4773"/>
      <c r="O190" s="4450"/>
      <c r="P190" s="2718"/>
      <c r="Q190" s="1863" t="s">
        <v>3</v>
      </c>
      <c r="R190" s="737" t="b">
        <f>IF(OR(Q190="Compliant",Q190="FE with work-a-round",Q190="Functionally Equivalent"),TRUE,FALSE)</f>
        <v>0</v>
      </c>
      <c r="S190" s="1754"/>
      <c r="T190" s="1754"/>
      <c r="U190" s="2719"/>
      <c r="V190" s="4791"/>
      <c r="W190" s="4661"/>
      <c r="X190" s="1754"/>
      <c r="Y190" s="1754"/>
      <c r="Z190" s="2667"/>
    </row>
    <row r="191" spans="1:26" s="20" customFormat="1" ht="30" thickTop="1" thickBot="1" x14ac:dyDescent="0.35">
      <c r="A191" s="625"/>
      <c r="B191" s="1504"/>
      <c r="C191" s="1717" t="s">
        <v>898</v>
      </c>
      <c r="D191" s="319" t="s">
        <v>3</v>
      </c>
      <c r="E191" s="594" t="b">
        <f>IF(D191="Compliant",TRUE,FALSE)</f>
        <v>0</v>
      </c>
      <c r="F191" s="44"/>
      <c r="G191" s="44" t="str">
        <f>IF(I191&lt;&gt;"", "Not Blank", "")</f>
        <v/>
      </c>
      <c r="H191" s="44"/>
      <c r="I191" s="2721"/>
      <c r="J191" s="2721" t="str">
        <f>IF(L191&lt;&gt;"", "Not Blank", "")</f>
        <v/>
      </c>
      <c r="K191" s="2721"/>
      <c r="L191" s="2721"/>
      <c r="M191" s="2729"/>
      <c r="N191" s="4773"/>
      <c r="O191" s="4450"/>
      <c r="P191" s="2720"/>
      <c r="Q191" s="1060" t="s">
        <v>3</v>
      </c>
      <c r="R191" s="2730" t="b">
        <f>IF(OR(Q191="Compliant",Q191="FE with work-a-round",Q191="Functionally Equivalent"),TRUE,FALSE)</f>
        <v>0</v>
      </c>
      <c r="S191" s="1754"/>
      <c r="T191" s="1754"/>
      <c r="U191" s="2719"/>
      <c r="V191" s="4791"/>
      <c r="W191" s="4661"/>
      <c r="X191" s="1754"/>
      <c r="Y191" s="1754"/>
      <c r="Z191" s="2667"/>
    </row>
    <row r="192" spans="1:26" s="20" customFormat="1" ht="44.5" thickTop="1" thickBot="1" x14ac:dyDescent="0.35">
      <c r="A192" s="625"/>
      <c r="B192" s="1504"/>
      <c r="C192" s="1717" t="s">
        <v>249</v>
      </c>
      <c r="D192" s="319" t="s">
        <v>3</v>
      </c>
      <c r="E192" s="594" t="b">
        <f>IF(D192="Compliant",TRUE,FALSE)</f>
        <v>0</v>
      </c>
      <c r="F192" s="44"/>
      <c r="G192" s="44" t="str">
        <f>IF(I192&lt;&gt;"", "Not Blank", "")</f>
        <v/>
      </c>
      <c r="H192" s="224"/>
      <c r="I192" s="2721"/>
      <c r="J192" s="2721" t="str">
        <f>IF(L192&lt;&gt;"", "Not Blank", "")</f>
        <v/>
      </c>
      <c r="K192" s="2721"/>
      <c r="L192" s="2721"/>
      <c r="M192" s="2729"/>
      <c r="N192" s="4773"/>
      <c r="O192" s="4450"/>
      <c r="P192" s="2720"/>
      <c r="Q192" s="1060" t="s">
        <v>3</v>
      </c>
      <c r="R192" s="2730" t="b">
        <f>IF(OR(Q192="Compliant",Q192="FE with work-a-round",Q192="Functionally Equivalent"),TRUE,FALSE)</f>
        <v>0</v>
      </c>
      <c r="S192" s="1754"/>
      <c r="T192" s="1754"/>
      <c r="U192" s="2719"/>
      <c r="V192" s="4791"/>
      <c r="W192" s="4661"/>
      <c r="X192" s="1754"/>
      <c r="Y192" s="1754"/>
      <c r="Z192" s="2667"/>
    </row>
    <row r="193" spans="1:26" s="20" customFormat="1" ht="175" thickTop="1" thickBot="1" x14ac:dyDescent="0.35">
      <c r="A193" s="625"/>
      <c r="B193" s="1505"/>
      <c r="C193" s="1807" t="s">
        <v>250</v>
      </c>
      <c r="D193" s="230" t="s">
        <v>3</v>
      </c>
      <c r="E193" s="595" t="b">
        <f>IF(D193="Compliant",TRUE,FALSE)</f>
        <v>0</v>
      </c>
      <c r="F193" s="124"/>
      <c r="G193" s="124" t="str">
        <f>IF(I193&lt;&gt;"", "Not Blank", "")</f>
        <v/>
      </c>
      <c r="H193" s="124"/>
      <c r="I193" s="2731"/>
      <c r="J193" s="2731" t="str">
        <f>IF(L193&lt;&gt;"", "Not Blank", "")</f>
        <v/>
      </c>
      <c r="K193" s="2731"/>
      <c r="L193" s="2731"/>
      <c r="M193" s="2732"/>
      <c r="N193" s="4775"/>
      <c r="O193" s="4451"/>
      <c r="P193" s="2720"/>
      <c r="Q193" s="1017" t="s">
        <v>3</v>
      </c>
      <c r="R193" s="2730" t="b">
        <f>IF(OR(Q193="Compliant",Q193="FE with work-a-round",Q193="Functionally Equivalent"),TRUE,FALSE)</f>
        <v>0</v>
      </c>
      <c r="S193" s="1754"/>
      <c r="T193" s="1754"/>
      <c r="U193" s="2719"/>
      <c r="V193" s="4791"/>
      <c r="W193" s="4661"/>
      <c r="X193" s="2723"/>
      <c r="Y193" s="2723"/>
      <c r="Z193" s="2724"/>
    </row>
    <row r="194" spans="1:26" s="20" customFormat="1" ht="32" thickTop="1" thickBot="1" x14ac:dyDescent="0.35">
      <c r="A194" s="625" t="s">
        <v>209</v>
      </c>
      <c r="B194" s="2024"/>
      <c r="C194" s="2246" t="s">
        <v>210</v>
      </c>
      <c r="D194" s="2149" t="s">
        <v>565</v>
      </c>
      <c r="E194" s="1980" t="b">
        <f>IF(AND(E195=TRUE,E196=TRUE,E197=TRUE,E198=TRUE,E199=TRUE,E200=TRUE,E201=TRUE),TRUE,FALSE)</f>
        <v>0</v>
      </c>
      <c r="F194" s="1647">
        <f>COUNTIF(E195:E201,TRUE)</f>
        <v>0</v>
      </c>
      <c r="G194" s="1647">
        <f>COUNTIFS(E195:E201,TRUE,G195:G201,"Not Blank")</f>
        <v>0</v>
      </c>
      <c r="H194" s="1647">
        <f>COUNTIFS(E195:E201,FALSE,G195:G201,"Not Blank")</f>
        <v>0</v>
      </c>
      <c r="I194" s="2155" t="str">
        <f xml:space="preserve">
IF(F194&gt;7,"Too Many Entries - Check Red Lines",
IF(G194&lt;F194,"Valid Entry required below - Check Amber Line/s",
IF(AND(E194=FALSE,G194=0,H194=0),"Nothing Entered below Yet",
IF(G194&lt;F194,"Valid Entry required below - Check Amber Line/s",
IF(AND(G194=0,H194&gt;0),"**Non-Valid Entry/ies below - Check Yellow Line/s",
IF(AND(G194&gt;0,H194&gt;0),"**Valid and Non-Valid Entries made below - Check Yellow Line/s",
IF(AND(E194=FALSE,F194&lt;7),"Not all requirements addressed below - Check Pink Line/s",
IF(AND(E194=FALSE,G194&lt;7,G194&gt;0,H194=0),"More entries to come",
IF(AND(E194,TRUE,G194=7,H194=0),"Valid Entries made below"
)))))))))</f>
        <v>Nothing Entered below Yet</v>
      </c>
      <c r="J194" s="1515">
        <f>COUNTIFS(E195:E201,TRUE,J195:J201,"Not Blank")</f>
        <v>0</v>
      </c>
      <c r="K194" s="1515">
        <f>COUNTIFS(E195:E201,FALSE,J195:J201,"Not Blank")</f>
        <v>0</v>
      </c>
      <c r="L194" s="2155" t="str">
        <f xml:space="preserve">
IF(J194&gt;7,"Too Many Entries - Check Red Lines",
IF(J194&lt;F194,"Valid Entry required below - Check Amber Line/s",
IF(AND(E194=FALSE,J194=0,K194=0),"Nothing Entered below Yet",
IF(AND(J194=0,K194&gt;0),"**Non-Valid Entry/ies below - Check Yellow Line/s",
IF(AND(J194&gt;0,K194&gt;0),"**Valid and Non-Valid Entries made below - Check Yellow Line/s",
IF(AND(E194=FALSE,J194&lt;7),"Not all requirements addressed below - Check Pink Line/s",
IF(AND(E194=FALSE,J194&lt;7,J194&gt;0,K194=0),"More entries to come",
IF(AND(E194,TRUE,J194=7,K194=0),"Valid Entries made below"
))))))))</f>
        <v>Nothing Entered below Yet</v>
      </c>
      <c r="M194" s="2733"/>
      <c r="N194" s="4772" t="s">
        <v>3</v>
      </c>
      <c r="O194" s="4477" t="b">
        <f>IF(OR(N194="Compliant",N194="FE with work-a-round",N194="Functionally Equivalent"),TRUE,FALSE)</f>
        <v>0</v>
      </c>
      <c r="P194" s="66"/>
      <c r="Q194" s="4207" t="s">
        <v>565</v>
      </c>
      <c r="R194" s="917" t="b">
        <f>IF(AND(R195=TRUE,R196=TRUE,R197=TRUE,R198=TRUE,R199=TRUE,R200=TRUE,R201=TRUE),TRUE,FALSE)</f>
        <v>0</v>
      </c>
      <c r="S194" s="111"/>
      <c r="T194" s="111"/>
      <c r="U194" s="211"/>
      <c r="V194" s="4791" t="s">
        <v>3</v>
      </c>
      <c r="W194" s="4661" t="b">
        <f>IF(OR(V194="Compliant",V194="FE with work-a-round",V194="Functionally Equivalent",V194="Not Required/Applicable"),TRUE,FALSE)</f>
        <v>0</v>
      </c>
      <c r="X194" s="1753"/>
      <c r="Y194" s="1753"/>
      <c r="Z194" s="2666"/>
    </row>
    <row r="195" spans="1:26" s="20" customFormat="1" ht="117" thickTop="1" thickBot="1" x14ac:dyDescent="0.35">
      <c r="A195" s="625"/>
      <c r="B195" s="1811"/>
      <c r="C195" s="2245" t="s">
        <v>380</v>
      </c>
      <c r="D195" s="1013" t="s">
        <v>3</v>
      </c>
      <c r="E195" s="594" t="b">
        <f t="shared" ref="E195:E201" si="17">IF(D195="Compliant",TRUE,FALSE)</f>
        <v>0</v>
      </c>
      <c r="F195" s="224"/>
      <c r="G195" s="324" t="str">
        <f t="shared" ref="G195:G201" si="18">IF(I195&lt;&gt;"", "Not Blank", "")</f>
        <v/>
      </c>
      <c r="H195" s="44"/>
      <c r="I195" s="2716"/>
      <c r="J195" s="2721" t="str">
        <f t="shared" ref="J195:J201" si="19">IF(L195&lt;&gt;"", "Not Blank", "")</f>
        <v/>
      </c>
      <c r="K195" s="2721"/>
      <c r="L195" s="2716"/>
      <c r="M195" s="2734"/>
      <c r="N195" s="4773"/>
      <c r="O195" s="4450"/>
      <c r="P195" s="2725"/>
      <c r="Q195" s="2214" t="s">
        <v>3</v>
      </c>
      <c r="R195" s="737" t="b">
        <f>IF(OR(Q195="Compliant",Q195="FE with work-a-round",Q195="Functionally Equivalent"),TRUE,FALSE)</f>
        <v>0</v>
      </c>
      <c r="S195" s="1754"/>
      <c r="T195" s="1754"/>
      <c r="U195" s="2719"/>
      <c r="V195" s="4791"/>
      <c r="W195" s="4661"/>
      <c r="X195" s="1754"/>
      <c r="Y195" s="1754"/>
      <c r="Z195" s="2667"/>
    </row>
    <row r="196" spans="1:26" s="20" customFormat="1" ht="30" thickTop="1" thickBot="1" x14ac:dyDescent="0.35">
      <c r="A196" s="625"/>
      <c r="B196" s="1811"/>
      <c r="C196" s="1680" t="s">
        <v>379</v>
      </c>
      <c r="D196" s="319" t="s">
        <v>3</v>
      </c>
      <c r="E196" s="594" t="b">
        <f t="shared" si="17"/>
        <v>0</v>
      </c>
      <c r="F196" s="44"/>
      <c r="G196" s="44" t="str">
        <f t="shared" si="18"/>
        <v/>
      </c>
      <c r="H196" s="44"/>
      <c r="I196" s="2721"/>
      <c r="J196" s="2721" t="str">
        <f t="shared" si="19"/>
        <v/>
      </c>
      <c r="K196" s="2721"/>
      <c r="L196" s="2721"/>
      <c r="M196" s="2729"/>
      <c r="N196" s="4773"/>
      <c r="O196" s="4450"/>
      <c r="P196" s="2720"/>
      <c r="Q196" s="1060" t="s">
        <v>3</v>
      </c>
      <c r="R196" s="737" t="b">
        <f t="shared" ref="R196:R201" si="20">IF(OR(Q196="Compliant",Q196="FE with work-a-round",Q196="Functionally Equivalent"),TRUE,FALSE)</f>
        <v>0</v>
      </c>
      <c r="S196" s="1754"/>
      <c r="T196" s="1754"/>
      <c r="U196" s="2719"/>
      <c r="V196" s="4791"/>
      <c r="W196" s="4661"/>
      <c r="X196" s="1754"/>
      <c r="Y196" s="1754"/>
      <c r="Z196" s="2667"/>
    </row>
    <row r="197" spans="1:26" s="20" customFormat="1" ht="160.5" thickTop="1" thickBot="1" x14ac:dyDescent="0.35">
      <c r="A197" s="625"/>
      <c r="B197" s="1811"/>
      <c r="C197" s="1680" t="s">
        <v>378</v>
      </c>
      <c r="D197" s="319" t="s">
        <v>3</v>
      </c>
      <c r="E197" s="594" t="b">
        <f t="shared" si="17"/>
        <v>0</v>
      </c>
      <c r="F197" s="44"/>
      <c r="G197" s="44" t="str">
        <f t="shared" si="18"/>
        <v/>
      </c>
      <c r="H197" s="44"/>
      <c r="I197" s="2721"/>
      <c r="J197" s="2721" t="str">
        <f t="shared" si="19"/>
        <v/>
      </c>
      <c r="K197" s="2721"/>
      <c r="L197" s="2721"/>
      <c r="M197" s="2729"/>
      <c r="N197" s="4773"/>
      <c r="O197" s="4450"/>
      <c r="P197" s="2720"/>
      <c r="Q197" s="1060" t="s">
        <v>3</v>
      </c>
      <c r="R197" s="737" t="b">
        <f t="shared" si="20"/>
        <v>0</v>
      </c>
      <c r="S197" s="1754"/>
      <c r="T197" s="1754"/>
      <c r="U197" s="2719"/>
      <c r="V197" s="4791"/>
      <c r="W197" s="4661"/>
      <c r="X197" s="1754"/>
      <c r="Y197" s="1754"/>
      <c r="Z197" s="2667"/>
    </row>
    <row r="198" spans="1:26" s="20" customFormat="1" ht="44.5" thickTop="1" thickBot="1" x14ac:dyDescent="0.35">
      <c r="A198" s="625"/>
      <c r="B198" s="1811"/>
      <c r="C198" s="1680" t="s">
        <v>248</v>
      </c>
      <c r="D198" s="319" t="s">
        <v>3</v>
      </c>
      <c r="E198" s="594" t="b">
        <f t="shared" si="17"/>
        <v>0</v>
      </c>
      <c r="F198" s="44"/>
      <c r="G198" s="44" t="str">
        <f t="shared" si="18"/>
        <v/>
      </c>
      <c r="H198" s="44"/>
      <c r="I198" s="2721"/>
      <c r="J198" s="2721" t="str">
        <f t="shared" si="19"/>
        <v/>
      </c>
      <c r="K198" s="2721"/>
      <c r="L198" s="2721"/>
      <c r="M198" s="2729"/>
      <c r="N198" s="4773"/>
      <c r="O198" s="4450"/>
      <c r="P198" s="2720"/>
      <c r="Q198" s="1060" t="s">
        <v>3</v>
      </c>
      <c r="R198" s="737" t="b">
        <f t="shared" si="20"/>
        <v>0</v>
      </c>
      <c r="S198" s="1754"/>
      <c r="T198" s="1754"/>
      <c r="U198" s="2719"/>
      <c r="V198" s="4791"/>
      <c r="W198" s="4661"/>
      <c r="X198" s="1754"/>
      <c r="Y198" s="1754"/>
      <c r="Z198" s="2667"/>
    </row>
    <row r="199" spans="1:26" s="20" customFormat="1" ht="44.5" thickTop="1" thickBot="1" x14ac:dyDescent="0.35">
      <c r="A199" s="625"/>
      <c r="B199" s="1811"/>
      <c r="C199" s="1680" t="s">
        <v>247</v>
      </c>
      <c r="D199" s="319" t="s">
        <v>3</v>
      </c>
      <c r="E199" s="594" t="b">
        <f t="shared" si="17"/>
        <v>0</v>
      </c>
      <c r="F199" s="224"/>
      <c r="G199" s="324" t="str">
        <f t="shared" si="18"/>
        <v/>
      </c>
      <c r="H199" s="44"/>
      <c r="I199" s="2721"/>
      <c r="J199" s="2721" t="str">
        <f t="shared" si="19"/>
        <v/>
      </c>
      <c r="K199" s="2721"/>
      <c r="L199" s="2721"/>
      <c r="M199" s="2729"/>
      <c r="N199" s="4773"/>
      <c r="O199" s="4450"/>
      <c r="P199" s="2720"/>
      <c r="Q199" s="1060" t="s">
        <v>3</v>
      </c>
      <c r="R199" s="737" t="b">
        <f t="shared" si="20"/>
        <v>0</v>
      </c>
      <c r="S199" s="1754"/>
      <c r="T199" s="1754"/>
      <c r="U199" s="2719"/>
      <c r="V199" s="4791"/>
      <c r="W199" s="4661"/>
      <c r="X199" s="1754"/>
      <c r="Y199" s="1754"/>
      <c r="Z199" s="2667"/>
    </row>
    <row r="200" spans="1:26" s="20" customFormat="1" ht="30" thickTop="1" thickBot="1" x14ac:dyDescent="0.35">
      <c r="A200" s="625"/>
      <c r="B200" s="1811"/>
      <c r="C200" s="1680" t="s">
        <v>246</v>
      </c>
      <c r="D200" s="319" t="s">
        <v>3</v>
      </c>
      <c r="E200" s="594" t="b">
        <f t="shared" si="17"/>
        <v>0</v>
      </c>
      <c r="F200" s="44"/>
      <c r="G200" s="44" t="str">
        <f t="shared" si="18"/>
        <v/>
      </c>
      <c r="H200" s="44"/>
      <c r="I200" s="2721"/>
      <c r="J200" s="2721" t="str">
        <f t="shared" si="19"/>
        <v/>
      </c>
      <c r="K200" s="2721"/>
      <c r="L200" s="2721"/>
      <c r="M200" s="2729"/>
      <c r="N200" s="4773"/>
      <c r="O200" s="4450"/>
      <c r="P200" s="2720"/>
      <c r="Q200" s="1060" t="s">
        <v>3</v>
      </c>
      <c r="R200" s="737" t="b">
        <f t="shared" si="20"/>
        <v>0</v>
      </c>
      <c r="S200" s="1754"/>
      <c r="T200" s="1754"/>
      <c r="U200" s="2719"/>
      <c r="V200" s="4791"/>
      <c r="W200" s="4661"/>
      <c r="X200" s="1754"/>
      <c r="Y200" s="1754"/>
      <c r="Z200" s="2667"/>
    </row>
    <row r="201" spans="1:26" s="20" customFormat="1" ht="131.5" thickTop="1" thickBot="1" x14ac:dyDescent="0.35">
      <c r="A201" s="625"/>
      <c r="B201" s="1811"/>
      <c r="C201" s="1822" t="s">
        <v>516</v>
      </c>
      <c r="D201" s="230" t="s">
        <v>3</v>
      </c>
      <c r="E201" s="595" t="b">
        <f t="shared" si="17"/>
        <v>0</v>
      </c>
      <c r="F201" s="124"/>
      <c r="G201" s="124" t="str">
        <f t="shared" si="18"/>
        <v/>
      </c>
      <c r="H201" s="124"/>
      <c r="I201" s="2731"/>
      <c r="J201" s="2731" t="str">
        <f t="shared" si="19"/>
        <v/>
      </c>
      <c r="K201" s="2731"/>
      <c r="L201" s="2731"/>
      <c r="M201" s="2732"/>
      <c r="N201" s="4774"/>
      <c r="O201" s="4478"/>
      <c r="P201" s="2735"/>
      <c r="Q201" s="1017" t="s">
        <v>3</v>
      </c>
      <c r="R201" s="737" t="b">
        <f t="shared" si="20"/>
        <v>0</v>
      </c>
      <c r="S201" s="2668"/>
      <c r="T201" s="2668"/>
      <c r="U201" s="2736"/>
      <c r="V201" s="4791"/>
      <c r="W201" s="4661"/>
      <c r="X201" s="2668"/>
      <c r="Y201" s="2668"/>
      <c r="Z201" s="2669"/>
    </row>
    <row r="202" spans="1:26" ht="15" thickTop="1" x14ac:dyDescent="0.3">
      <c r="A202" s="18"/>
      <c r="B202" s="18"/>
      <c r="C202" s="3591"/>
      <c r="D202" s="3610"/>
      <c r="H202" s="28"/>
      <c r="I202" s="21"/>
      <c r="J202" s="626"/>
      <c r="K202" s="21"/>
      <c r="L202" s="1"/>
      <c r="M202" s="1"/>
    </row>
    <row r="203" spans="1:26" x14ac:dyDescent="0.3">
      <c r="C203" s="3614"/>
      <c r="D203" s="3610"/>
      <c r="E203" s="28"/>
      <c r="F203" s="28"/>
      <c r="G203" s="28"/>
      <c r="H203" s="28"/>
    </row>
    <row r="204" spans="1:26" x14ac:dyDescent="0.3">
      <c r="C204" s="3614"/>
      <c r="D204" s="3610"/>
      <c r="E204" s="28"/>
      <c r="F204" s="28"/>
      <c r="G204" s="28"/>
      <c r="H204" s="28"/>
    </row>
    <row r="205" spans="1:26" x14ac:dyDescent="0.3">
      <c r="C205" s="3614"/>
      <c r="D205" s="3610"/>
      <c r="E205" s="28"/>
      <c r="F205" s="28"/>
      <c r="G205" s="28"/>
      <c r="H205" s="28"/>
    </row>
    <row r="206" spans="1:26" x14ac:dyDescent="0.3">
      <c r="C206" s="3614"/>
      <c r="D206" s="3610"/>
    </row>
    <row r="207" spans="1:26" x14ac:dyDescent="0.3">
      <c r="C207" s="3614"/>
      <c r="D207" s="3610"/>
      <c r="E207" s="28"/>
      <c r="F207" s="28"/>
      <c r="G207" s="28"/>
      <c r="H207" s="28"/>
    </row>
    <row r="208" spans="1:26" x14ac:dyDescent="0.3">
      <c r="C208" s="3614"/>
      <c r="D208" s="3610"/>
      <c r="E208" s="28"/>
      <c r="F208" s="28"/>
      <c r="G208" s="28"/>
      <c r="H208" s="28"/>
    </row>
    <row r="209" spans="3:8" x14ac:dyDescent="0.3">
      <c r="C209" s="3614"/>
      <c r="D209" s="3610"/>
      <c r="E209" s="28"/>
      <c r="F209" s="28"/>
      <c r="G209" s="28"/>
      <c r="H209" s="28"/>
    </row>
    <row r="210" spans="3:8" x14ac:dyDescent="0.3">
      <c r="C210" s="3614"/>
      <c r="D210" s="3610"/>
      <c r="E210" s="28"/>
      <c r="F210" s="28"/>
      <c r="G210" s="28"/>
      <c r="H210" s="28"/>
    </row>
    <row r="211" spans="3:8" x14ac:dyDescent="0.3">
      <c r="C211" s="3614"/>
      <c r="D211" s="3610"/>
      <c r="E211" s="28"/>
      <c r="F211" s="28"/>
      <c r="G211" s="28"/>
      <c r="H211" s="28"/>
    </row>
    <row r="212" spans="3:8" x14ac:dyDescent="0.3">
      <c r="C212" s="3614"/>
      <c r="D212" s="3610"/>
      <c r="E212" s="28"/>
      <c r="F212" s="28"/>
      <c r="G212" s="28"/>
      <c r="H212" s="28"/>
    </row>
    <row r="213" spans="3:8" x14ac:dyDescent="0.3">
      <c r="C213" s="3614"/>
      <c r="D213" s="3610"/>
      <c r="E213" s="28"/>
      <c r="F213" s="28"/>
      <c r="G213" s="28"/>
      <c r="H213" s="28"/>
    </row>
    <row r="214" spans="3:8" x14ac:dyDescent="0.3">
      <c r="C214" s="3614"/>
      <c r="D214" s="3610"/>
      <c r="E214" s="28"/>
      <c r="F214" s="28"/>
      <c r="G214" s="28"/>
      <c r="H214" s="28"/>
    </row>
    <row r="215" spans="3:8" x14ac:dyDescent="0.3">
      <c r="C215" s="3614"/>
      <c r="D215" s="3610"/>
      <c r="E215" s="28"/>
      <c r="F215" s="28"/>
      <c r="G215" s="28"/>
      <c r="H215" s="28"/>
    </row>
    <row r="216" spans="3:8" x14ac:dyDescent="0.3">
      <c r="C216" s="3614"/>
      <c r="D216" s="3610"/>
      <c r="E216" s="28"/>
      <c r="F216" s="28"/>
      <c r="G216" s="28"/>
    </row>
    <row r="217" spans="3:8" x14ac:dyDescent="0.3">
      <c r="C217" s="3614"/>
      <c r="D217" s="3610"/>
      <c r="E217" s="28"/>
      <c r="F217" s="28"/>
      <c r="G217" s="28"/>
      <c r="H217" s="28"/>
    </row>
    <row r="218" spans="3:8" x14ac:dyDescent="0.3">
      <c r="C218" s="3614"/>
      <c r="D218" s="3610"/>
      <c r="E218" s="28"/>
      <c r="F218" s="28"/>
      <c r="G218" s="28"/>
      <c r="H218" s="28"/>
    </row>
    <row r="219" spans="3:8" x14ac:dyDescent="0.3">
      <c r="C219" s="3614"/>
      <c r="D219" s="3610"/>
      <c r="E219" s="28"/>
      <c r="F219" s="28"/>
      <c r="G219" s="28"/>
    </row>
    <row r="220" spans="3:8" x14ac:dyDescent="0.3">
      <c r="C220" s="3614"/>
      <c r="D220" s="3610"/>
      <c r="H220" s="28"/>
    </row>
    <row r="221" spans="3:8" x14ac:dyDescent="0.3">
      <c r="C221" s="3614"/>
      <c r="D221" s="3610"/>
      <c r="E221" s="28"/>
      <c r="F221" s="28"/>
      <c r="G221" s="28"/>
    </row>
    <row r="222" spans="3:8" x14ac:dyDescent="0.3">
      <c r="C222" s="3614"/>
      <c r="D222" s="3610"/>
      <c r="E222" s="28"/>
      <c r="F222" s="28"/>
      <c r="G222" s="28"/>
      <c r="H222" s="28"/>
    </row>
    <row r="223" spans="3:8" x14ac:dyDescent="0.3">
      <c r="C223" s="3614"/>
      <c r="D223" s="3610"/>
      <c r="E223" s="28"/>
      <c r="F223" s="28"/>
      <c r="G223" s="28"/>
      <c r="H223" s="28"/>
    </row>
    <row r="224" spans="3:8" x14ac:dyDescent="0.3">
      <c r="C224" s="3614"/>
      <c r="D224" s="3610"/>
      <c r="E224" s="28"/>
      <c r="F224" s="28"/>
      <c r="G224" s="28"/>
    </row>
    <row r="225" spans="3:8" x14ac:dyDescent="0.3">
      <c r="C225" s="3614"/>
      <c r="D225" s="3610"/>
      <c r="E225" s="28"/>
      <c r="F225" s="28"/>
      <c r="G225" s="28"/>
      <c r="H225" s="28"/>
    </row>
    <row r="226" spans="3:8" x14ac:dyDescent="0.3">
      <c r="C226" s="3614"/>
      <c r="D226" s="3610"/>
      <c r="E226" s="28"/>
      <c r="F226" s="28"/>
      <c r="G226" s="28"/>
      <c r="H226" s="28"/>
    </row>
    <row r="227" spans="3:8" x14ac:dyDescent="0.3">
      <c r="C227" s="3614"/>
      <c r="D227" s="3610"/>
      <c r="E227" s="28"/>
      <c r="F227" s="28"/>
      <c r="G227" s="28"/>
      <c r="H227" s="28"/>
    </row>
    <row r="228" spans="3:8" x14ac:dyDescent="0.3">
      <c r="C228" s="3614"/>
      <c r="D228" s="3610"/>
      <c r="E228" s="28"/>
      <c r="F228" s="28"/>
      <c r="G228" s="28"/>
      <c r="H228" s="28"/>
    </row>
    <row r="229" spans="3:8" x14ac:dyDescent="0.3">
      <c r="C229" s="3614"/>
      <c r="D229" s="3610"/>
      <c r="E229" s="28"/>
      <c r="F229" s="28"/>
      <c r="G229" s="28"/>
      <c r="H229" s="28"/>
    </row>
    <row r="230" spans="3:8" x14ac:dyDescent="0.3">
      <c r="C230" s="3614"/>
      <c r="D230" s="3610"/>
      <c r="H230" s="28"/>
    </row>
    <row r="231" spans="3:8" x14ac:dyDescent="0.3">
      <c r="C231" s="3614"/>
      <c r="D231" s="3610"/>
      <c r="E231" s="28"/>
      <c r="F231" s="28"/>
      <c r="G231" s="28"/>
      <c r="H231" s="28"/>
    </row>
    <row r="232" spans="3:8" x14ac:dyDescent="0.3">
      <c r="C232" s="3614"/>
      <c r="D232" s="3610"/>
      <c r="E232" s="28"/>
      <c r="F232" s="28"/>
      <c r="G232" s="28"/>
      <c r="H232" s="28"/>
    </row>
    <row r="233" spans="3:8" x14ac:dyDescent="0.3">
      <c r="C233" s="3614"/>
      <c r="D233" s="3614"/>
      <c r="H233" s="28"/>
    </row>
    <row r="234" spans="3:8" x14ac:dyDescent="0.3">
      <c r="C234" s="3614"/>
      <c r="D234" s="3610"/>
      <c r="E234" s="28"/>
      <c r="F234" s="28"/>
      <c r="G234" s="28"/>
      <c r="H234" s="28"/>
    </row>
    <row r="235" spans="3:8" x14ac:dyDescent="0.3">
      <c r="C235" s="3614"/>
      <c r="D235" s="3610"/>
      <c r="H235" s="28"/>
    </row>
    <row r="236" spans="3:8" x14ac:dyDescent="0.3">
      <c r="C236" s="3614"/>
      <c r="D236" s="3610"/>
      <c r="E236" s="28"/>
      <c r="F236" s="28"/>
      <c r="G236" s="28"/>
      <c r="H236" s="28"/>
    </row>
    <row r="237" spans="3:8" x14ac:dyDescent="0.3">
      <c r="C237" s="3614"/>
      <c r="D237" s="3610"/>
      <c r="E237" s="28"/>
      <c r="F237" s="28"/>
      <c r="G237" s="28"/>
      <c r="H237" s="28"/>
    </row>
    <row r="238" spans="3:8" x14ac:dyDescent="0.3">
      <c r="C238" s="3614"/>
      <c r="D238" s="3610"/>
      <c r="H238" s="53"/>
    </row>
    <row r="239" spans="3:8" x14ac:dyDescent="0.3">
      <c r="C239" s="3614"/>
      <c r="D239" s="3610"/>
      <c r="E239" s="28"/>
      <c r="F239" s="28"/>
      <c r="G239" s="28"/>
      <c r="H239" s="28"/>
    </row>
    <row r="240" spans="3:8" x14ac:dyDescent="0.3">
      <c r="C240" s="3614"/>
      <c r="D240" s="3610"/>
      <c r="E240" s="28"/>
      <c r="F240" s="28"/>
      <c r="G240" s="28"/>
      <c r="H240" s="14"/>
    </row>
    <row r="241" spans="3:8" x14ac:dyDescent="0.3">
      <c r="C241" s="3614"/>
      <c r="D241" s="3610"/>
      <c r="E241" s="28"/>
      <c r="F241" s="28"/>
      <c r="G241" s="28"/>
      <c r="H241" s="18"/>
    </row>
    <row r="242" spans="3:8" x14ac:dyDescent="0.3">
      <c r="C242" s="3614"/>
      <c r="D242" s="3610"/>
      <c r="E242" s="28"/>
      <c r="F242" s="28"/>
      <c r="G242" s="28"/>
      <c r="H242" s="18"/>
    </row>
    <row r="243" spans="3:8" x14ac:dyDescent="0.3">
      <c r="C243" s="3614"/>
      <c r="D243" s="3610"/>
      <c r="E243" s="28"/>
      <c r="F243" s="28"/>
      <c r="G243" s="28"/>
      <c r="H243" s="18"/>
    </row>
    <row r="244" spans="3:8" x14ac:dyDescent="0.3">
      <c r="C244" s="3614"/>
      <c r="D244" s="3610"/>
      <c r="E244" s="28"/>
      <c r="F244" s="28"/>
      <c r="G244" s="28"/>
      <c r="H244" s="21"/>
    </row>
    <row r="245" spans="3:8" x14ac:dyDescent="0.3">
      <c r="C245" s="3614"/>
      <c r="D245" s="3610"/>
      <c r="E245" s="28"/>
      <c r="F245" s="28"/>
      <c r="G245" s="28"/>
      <c r="H245" s="21"/>
    </row>
    <row r="246" spans="3:8" x14ac:dyDescent="0.3">
      <c r="C246" s="3614"/>
      <c r="D246" s="3610"/>
      <c r="E246" s="28"/>
      <c r="F246" s="28"/>
      <c r="G246" s="28"/>
      <c r="H246" s="21"/>
    </row>
    <row r="247" spans="3:8" x14ac:dyDescent="0.3">
      <c r="C247" s="3614"/>
      <c r="D247" s="3610"/>
      <c r="E247" s="28"/>
      <c r="F247" s="28"/>
      <c r="G247" s="28"/>
      <c r="H247" s="21"/>
    </row>
    <row r="248" spans="3:8" x14ac:dyDescent="0.3">
      <c r="C248" s="3614"/>
      <c r="D248" s="3610"/>
      <c r="E248" s="28"/>
      <c r="F248" s="28"/>
      <c r="G248" s="28"/>
      <c r="H248" s="18"/>
    </row>
    <row r="249" spans="3:8" x14ac:dyDescent="0.3">
      <c r="C249" s="3614"/>
      <c r="D249" s="3610"/>
      <c r="E249" s="28"/>
      <c r="F249" s="28"/>
      <c r="G249" s="28"/>
      <c r="H249" s="18"/>
    </row>
    <row r="250" spans="3:8" x14ac:dyDescent="0.3">
      <c r="C250" s="3614"/>
      <c r="D250" s="3610"/>
      <c r="E250" s="28"/>
      <c r="F250" s="28"/>
      <c r="G250" s="28"/>
      <c r="H250" s="18"/>
    </row>
    <row r="251" spans="3:8" x14ac:dyDescent="0.3">
      <c r="C251" s="3614"/>
      <c r="D251" s="3610"/>
      <c r="E251" s="28"/>
      <c r="F251" s="28"/>
      <c r="G251" s="28"/>
      <c r="H251" s="18"/>
    </row>
    <row r="252" spans="3:8" x14ac:dyDescent="0.3">
      <c r="C252" s="3614"/>
      <c r="D252" s="1267"/>
      <c r="E252" s="53"/>
      <c r="F252" s="53"/>
      <c r="G252" s="237"/>
      <c r="H252" s="18"/>
    </row>
    <row r="253" spans="3:8" x14ac:dyDescent="0.3">
      <c r="C253" s="3614"/>
      <c r="D253" s="3614"/>
      <c r="H253" s="18"/>
    </row>
    <row r="254" spans="3:8" x14ac:dyDescent="0.3">
      <c r="C254" s="3614"/>
      <c r="D254" s="1386"/>
      <c r="E254" s="14"/>
      <c r="F254" s="14"/>
      <c r="G254" s="150"/>
      <c r="H254" s="18"/>
    </row>
    <row r="255" spans="3:8" x14ac:dyDescent="0.3">
      <c r="C255" s="3614"/>
      <c r="D255" s="3591"/>
      <c r="E255" s="18"/>
      <c r="F255" s="18"/>
      <c r="G255" s="15"/>
      <c r="H255" s="21"/>
    </row>
    <row r="256" spans="3:8" x14ac:dyDescent="0.3">
      <c r="C256" s="3614"/>
      <c r="D256" s="3591"/>
      <c r="E256" s="18"/>
      <c r="F256" s="18"/>
      <c r="G256" s="15"/>
      <c r="H256" s="21"/>
    </row>
    <row r="257" spans="3:8" x14ac:dyDescent="0.3">
      <c r="C257" s="3614"/>
      <c r="D257" s="3591"/>
      <c r="E257" s="18"/>
      <c r="F257" s="18"/>
      <c r="G257" s="15"/>
      <c r="H257" s="18"/>
    </row>
    <row r="258" spans="3:8" x14ac:dyDescent="0.3">
      <c r="C258" s="3614"/>
      <c r="D258" s="3050"/>
      <c r="E258" s="21"/>
      <c r="F258" s="21"/>
      <c r="G258" s="150"/>
      <c r="H258" s="18"/>
    </row>
    <row r="259" spans="3:8" x14ac:dyDescent="0.3">
      <c r="C259" s="3614"/>
      <c r="D259" s="3050"/>
      <c r="E259" s="21"/>
      <c r="F259" s="21"/>
      <c r="G259" s="150"/>
      <c r="H259" s="18"/>
    </row>
    <row r="260" spans="3:8" x14ac:dyDescent="0.3">
      <c r="C260" s="3614"/>
      <c r="D260" s="3050"/>
      <c r="E260" s="21"/>
      <c r="F260" s="21"/>
      <c r="G260" s="150"/>
      <c r="H260" s="18"/>
    </row>
    <row r="261" spans="3:8" x14ac:dyDescent="0.3">
      <c r="C261" s="3614"/>
      <c r="D261" s="4208"/>
      <c r="E261" s="622"/>
      <c r="F261" s="622"/>
      <c r="G261" s="627"/>
      <c r="H261" s="623"/>
    </row>
    <row r="262" spans="3:8" x14ac:dyDescent="0.3">
      <c r="C262" s="3614"/>
      <c r="D262" s="4209"/>
      <c r="E262" s="628"/>
      <c r="F262" s="628"/>
      <c r="G262" s="629"/>
      <c r="H262" s="628"/>
    </row>
    <row r="263" spans="3:8" ht="15" thickBot="1" x14ac:dyDescent="0.35">
      <c r="C263" s="3614"/>
      <c r="D263" s="1531"/>
      <c r="E263" s="61"/>
      <c r="F263" s="61"/>
      <c r="G263" s="630"/>
      <c r="H263" s="631"/>
    </row>
    <row r="264" spans="3:8" ht="15.5" thickTop="1" thickBot="1" x14ac:dyDescent="0.35">
      <c r="C264" s="3614"/>
      <c r="D264" s="3592"/>
      <c r="E264" s="29"/>
      <c r="F264" s="29"/>
      <c r="G264" s="148"/>
      <c r="H264" s="632"/>
    </row>
    <row r="265" spans="3:8" ht="15" thickTop="1" x14ac:dyDescent="0.3">
      <c r="C265" s="3614"/>
      <c r="D265" s="501"/>
      <c r="E265" s="623"/>
      <c r="F265" s="623"/>
      <c r="G265" s="533"/>
      <c r="H265" s="623"/>
    </row>
    <row r="266" spans="3:8" x14ac:dyDescent="0.3">
      <c r="C266" s="3614"/>
      <c r="D266" s="4209"/>
      <c r="E266" s="628"/>
      <c r="F266" s="628"/>
      <c r="G266" s="629"/>
      <c r="H266" s="628"/>
    </row>
    <row r="267" spans="3:8" x14ac:dyDescent="0.3">
      <c r="C267" s="3614"/>
      <c r="D267" s="4209"/>
      <c r="E267" s="628"/>
      <c r="F267" s="628"/>
      <c r="G267" s="629"/>
    </row>
    <row r="268" spans="3:8" x14ac:dyDescent="0.3">
      <c r="D268" s="628"/>
      <c r="E268" s="628"/>
      <c r="F268" s="628"/>
      <c r="G268" s="629"/>
    </row>
    <row r="269" spans="3:8" x14ac:dyDescent="0.3">
      <c r="D269" s="633"/>
      <c r="E269" s="633"/>
      <c r="F269" s="633"/>
      <c r="G269" s="634"/>
    </row>
    <row r="270" spans="3:8" x14ac:dyDescent="0.3">
      <c r="D270" s="633"/>
      <c r="E270" s="633"/>
      <c r="F270" s="633"/>
      <c r="G270" s="634"/>
    </row>
    <row r="271" spans="3:8" x14ac:dyDescent="0.3">
      <c r="D271" s="628"/>
      <c r="E271" s="628"/>
      <c r="F271" s="628"/>
      <c r="G271" s="629"/>
    </row>
    <row r="272" spans="3:8" x14ac:dyDescent="0.3">
      <c r="D272" s="628"/>
      <c r="E272" s="628"/>
      <c r="F272" s="628"/>
      <c r="G272" s="629"/>
    </row>
    <row r="273" spans="4:7" x14ac:dyDescent="0.3">
      <c r="D273" s="628"/>
      <c r="E273" s="628"/>
      <c r="F273" s="628"/>
      <c r="G273" s="629"/>
    </row>
    <row r="274" spans="4:7" x14ac:dyDescent="0.3">
      <c r="D274" s="628"/>
      <c r="E274" s="628"/>
      <c r="F274" s="628"/>
      <c r="G274" s="629"/>
    </row>
    <row r="275" spans="4:7" x14ac:dyDescent="0.3">
      <c r="D275" s="628"/>
      <c r="E275" s="628"/>
      <c r="F275" s="628"/>
      <c r="G275" s="629"/>
    </row>
    <row r="276" spans="4:7" x14ac:dyDescent="0.3">
      <c r="D276" s="628"/>
      <c r="E276" s="628"/>
      <c r="F276" s="628"/>
      <c r="G276" s="629"/>
    </row>
    <row r="277" spans="4:7" ht="15" thickBot="1" x14ac:dyDescent="0.35">
      <c r="D277" s="631"/>
      <c r="E277" s="631"/>
      <c r="F277" s="631"/>
      <c r="G277" s="635"/>
    </row>
    <row r="278" spans="4:7" ht="15" thickTop="1" x14ac:dyDescent="0.3">
      <c r="D278" s="632"/>
      <c r="E278" s="632"/>
      <c r="F278" s="632"/>
      <c r="G278" s="636"/>
    </row>
  </sheetData>
  <sheetProtection algorithmName="SHA-512" hashValue="++TaIs8SUupoYuJ42cW3Q6PLqTTUnHbpX6dy/D9PCo4qsUPSabAnYCxMEaky1qMeuKz2BMTwpj0bPzYcuLVUaw==" saltValue="l6Z/gVIH3yItEKgP77h47A==" spinCount="100000" sheet="1" objects="1" scenarios="1" formatCells="0" insertHyperlinks="0" selectLockedCells="1" sort="0" autoFilter="0"/>
  <mergeCells count="96">
    <mergeCell ref="B2:D2"/>
    <mergeCell ref="B1:D1"/>
    <mergeCell ref="B3:D3"/>
    <mergeCell ref="V65:V69"/>
    <mergeCell ref="W65:W69"/>
    <mergeCell ref="V43:V47"/>
    <mergeCell ref="W43:W47"/>
    <mergeCell ref="V57:V60"/>
    <mergeCell ref="W57:W60"/>
    <mergeCell ref="V53:V56"/>
    <mergeCell ref="W53:W56"/>
    <mergeCell ref="V48:V52"/>
    <mergeCell ref="W48:W52"/>
    <mergeCell ref="O65:O69"/>
    <mergeCell ref="N57:N60"/>
    <mergeCell ref="N53:N56"/>
    <mergeCell ref="V87:V93"/>
    <mergeCell ref="W87:W93"/>
    <mergeCell ref="V83:V86"/>
    <mergeCell ref="W83:W86"/>
    <mergeCell ref="V73:V77"/>
    <mergeCell ref="W73:W77"/>
    <mergeCell ref="V101:V107"/>
    <mergeCell ref="W101:W107"/>
    <mergeCell ref="V98:V100"/>
    <mergeCell ref="W98:W100"/>
    <mergeCell ref="V94:V97"/>
    <mergeCell ref="W94:W97"/>
    <mergeCell ref="V163:V172"/>
    <mergeCell ref="W163:W172"/>
    <mergeCell ref="V120:V158"/>
    <mergeCell ref="W120:W158"/>
    <mergeCell ref="V116:V119"/>
    <mergeCell ref="W116:W119"/>
    <mergeCell ref="V194:V201"/>
    <mergeCell ref="W194:W201"/>
    <mergeCell ref="V189:V193"/>
    <mergeCell ref="W189:W193"/>
    <mergeCell ref="V173:V187"/>
    <mergeCell ref="W173:W187"/>
    <mergeCell ref="O83:O86"/>
    <mergeCell ref="O73:O77"/>
    <mergeCell ref="O57:O60"/>
    <mergeCell ref="N163:N172"/>
    <mergeCell ref="O163:O172"/>
    <mergeCell ref="N120:N158"/>
    <mergeCell ref="O120:O158"/>
    <mergeCell ref="N116:N119"/>
    <mergeCell ref="O116:O119"/>
    <mergeCell ref="O101:O107"/>
    <mergeCell ref="O98:O100"/>
    <mergeCell ref="N94:N97"/>
    <mergeCell ref="O94:O97"/>
    <mergeCell ref="O87:O93"/>
    <mergeCell ref="N194:N201"/>
    <mergeCell ref="O194:O201"/>
    <mergeCell ref="N189:N193"/>
    <mergeCell ref="O189:O193"/>
    <mergeCell ref="N173:N187"/>
    <mergeCell ref="O173:O187"/>
    <mergeCell ref="O53:O56"/>
    <mergeCell ref="A41:C41"/>
    <mergeCell ref="A6:C6"/>
    <mergeCell ref="N8:N10"/>
    <mergeCell ref="N11:N13"/>
    <mergeCell ref="B15:D15"/>
    <mergeCell ref="B22:D22"/>
    <mergeCell ref="A28:C28"/>
    <mergeCell ref="A35:C35"/>
    <mergeCell ref="O11:O13"/>
    <mergeCell ref="O8:O10"/>
    <mergeCell ref="N48:N52"/>
    <mergeCell ref="O48:O52"/>
    <mergeCell ref="N43:N47"/>
    <mergeCell ref="O43:O47"/>
    <mergeCell ref="A79:C79"/>
    <mergeCell ref="A160:N160"/>
    <mergeCell ref="A63:L63"/>
    <mergeCell ref="A71:C71"/>
    <mergeCell ref="A113:C113"/>
    <mergeCell ref="D71:N71"/>
    <mergeCell ref="N65:N69"/>
    <mergeCell ref="N101:N107"/>
    <mergeCell ref="N87:N93"/>
    <mergeCell ref="N98:N100"/>
    <mergeCell ref="N73:N77"/>
    <mergeCell ref="N83:N86"/>
    <mergeCell ref="A4:D4"/>
    <mergeCell ref="W11:W13"/>
    <mergeCell ref="V8:V10"/>
    <mergeCell ref="W8:W10"/>
    <mergeCell ref="Q11:Q13"/>
    <mergeCell ref="Q8:Q10"/>
    <mergeCell ref="R11:R13"/>
    <mergeCell ref="R8:R10"/>
    <mergeCell ref="V11:V13"/>
  </mergeCells>
  <conditionalFormatting sqref="D219:D232">
    <cfRule type="expression" dxfId="2959" priority="1537">
      <formula>IF($E219,TRUE)</formula>
    </cfRule>
  </conditionalFormatting>
  <conditionalFormatting sqref="D234:D249">
    <cfRule type="expression" dxfId="2958" priority="1534">
      <formula>IF($E234,TRUE)</formula>
    </cfRule>
  </conditionalFormatting>
  <conditionalFormatting sqref="D251">
    <cfRule type="expression" dxfId="2957" priority="1533">
      <formula>IF($E251,TRUE)</formula>
    </cfRule>
  </conditionalFormatting>
  <conditionalFormatting sqref="D8">
    <cfRule type="expression" dxfId="2956" priority="1515">
      <formula>IF($E8,FALSE)</formula>
    </cfRule>
  </conditionalFormatting>
  <conditionalFormatting sqref="B17:B18">
    <cfRule type="expression" dxfId="2955" priority="1498">
      <formula>IF($E17,TRUE)</formula>
    </cfRule>
  </conditionalFormatting>
  <conditionalFormatting sqref="B20">
    <cfRule type="expression" dxfId="2954" priority="1493">
      <formula>IF($E20,TRUE)</formula>
    </cfRule>
  </conditionalFormatting>
  <conditionalFormatting sqref="B19">
    <cfRule type="expression" dxfId="2953" priority="1488">
      <formula>IF($E19,TRUE)</formula>
    </cfRule>
  </conditionalFormatting>
  <conditionalFormatting sqref="D65:D66">
    <cfRule type="expression" dxfId="2952" priority="1551" stopIfTrue="1">
      <formula>IF(AND($E$31,TRUE,$E65=FALSE),TRUE)</formula>
    </cfRule>
    <cfRule type="expression" dxfId="2951" priority="1552">
      <formula>IF(#REF!,TRUE)</formula>
    </cfRule>
  </conditionalFormatting>
  <conditionalFormatting sqref="D48">
    <cfRule type="expression" dxfId="2950" priority="1459">
      <formula>IF($F$48=1,TRUE)</formula>
    </cfRule>
    <cfRule type="expression" dxfId="2949" priority="1460">
      <formula>IF($F$48&gt;1,TRUE)</formula>
    </cfRule>
  </conditionalFormatting>
  <conditionalFormatting sqref="D53">
    <cfRule type="expression" dxfId="2948" priority="1446">
      <formula>IF($F$53&gt;1,TRUE)</formula>
    </cfRule>
  </conditionalFormatting>
  <conditionalFormatting sqref="D57">
    <cfRule type="expression" dxfId="2947" priority="1443">
      <formula>IF($F57=1,TRUE)</formula>
    </cfRule>
    <cfRule type="expression" dxfId="2946" priority="1444">
      <formula>IF($F57&gt;1,TRUE)</formula>
    </cfRule>
  </conditionalFormatting>
  <conditionalFormatting sqref="D87:D88 D94 D98 D101 D108:D109 D83">
    <cfRule type="expression" dxfId="2945" priority="1419">
      <formula>IF($E$9,TRUE)</formula>
    </cfRule>
    <cfRule type="expression" dxfId="2944" priority="1420">
      <formula>IF($E83,TRUE)</formula>
    </cfRule>
  </conditionalFormatting>
  <conditionalFormatting sqref="D53">
    <cfRule type="expression" dxfId="2943" priority="1337">
      <formula>IF($F53=1,TRUE)</formula>
    </cfRule>
  </conditionalFormatting>
  <conditionalFormatting sqref="D8 B8">
    <cfRule type="expression" dxfId="2942" priority="1297">
      <formula>IF($F$8&gt;1,TRUE)</formula>
    </cfRule>
    <cfRule type="expression" dxfId="2941" priority="1540">
      <formula>IF(AND($F$8=1,$E8=TRUE),TRUE)</formula>
    </cfRule>
  </conditionalFormatting>
  <conditionalFormatting sqref="D116">
    <cfRule type="expression" dxfId="2940" priority="1222">
      <formula>IF($E116,TRUE)</formula>
    </cfRule>
  </conditionalFormatting>
  <conditionalFormatting sqref="B116">
    <cfRule type="expression" dxfId="2939" priority="1221">
      <formula>IF($E116,TRUE)</formula>
    </cfRule>
  </conditionalFormatting>
  <conditionalFormatting sqref="N21:O21 N23:O23">
    <cfRule type="expression" dxfId="2938" priority="13672">
      <formula>IF(AND($E21=FALSE,$N21="Not Applicable"),TRUE,FALSE)</formula>
    </cfRule>
    <cfRule type="expression" dxfId="2937" priority="13673">
      <formula>IF(AND($E21=TRUE,$L21="",$N21="Applicable"),TRUE,FALSE)</formula>
    </cfRule>
    <cfRule type="expression" dxfId="2936" priority="13674">
      <formula>IF(AND($E21=TRUE,$L21&lt;&gt;"",$N21="Applicable"),TRUE,FALSE)</formula>
    </cfRule>
    <cfRule type="expression" dxfId="2935" priority="13675">
      <formula>IF(AND($E21=FALSE,$N21&lt;&gt;""),TRUE,FALSE)</formula>
    </cfRule>
    <cfRule type="expression" dxfId="2934" priority="13676">
      <formula>IF(AND($L21&lt;&gt;"",$N21&lt;&gt;""),TRUE,FALSE)</formula>
    </cfRule>
  </conditionalFormatting>
  <conditionalFormatting sqref="N16:O16">
    <cfRule type="expression" dxfId="2933" priority="13682">
      <formula>IF(AND($E16=TRUE,$L16="",$N16="Compliant"),TRUE,FALSE)</formula>
    </cfRule>
    <cfRule type="expression" dxfId="2932" priority="13683">
      <formula>IF(AND($E16=TRUE,$L16&lt;&gt;"",$N16="Compliant"),TRUE,FALSE)</formula>
    </cfRule>
    <cfRule type="expression" dxfId="2931" priority="13684">
      <formula>IF(AND($E16=FALSE,$N16&lt;&gt;""),TRUE,FALSE)</formula>
    </cfRule>
    <cfRule type="expression" dxfId="2930" priority="13685">
      <formula>IF(AND($L16&lt;&gt;"",$N16&lt;&gt;""),TRUE,FALSE)</formula>
    </cfRule>
  </conditionalFormatting>
  <conditionalFormatting sqref="N64:O64">
    <cfRule type="containsText" dxfId="2929" priority="13703" operator="containsText" text="Not Compliant">
      <formula>NOT(ISERROR(SEARCH("Not Compliant",N64)))</formula>
    </cfRule>
    <cfRule type="expression" dxfId="2928" priority="13704">
      <formula>IF(AND($E64=TRUE,$I64="",$N64="Compliant"),TRUE,FALSE)</formula>
    </cfRule>
    <cfRule type="expression" dxfId="2927" priority="13705">
      <formula>IF(AND($E64=TRUE,$I64&lt;&gt;"",$N64="Compliant"),TRUE,FALSE)</formula>
    </cfRule>
    <cfRule type="expression" dxfId="2926" priority="13706">
      <formula>IF($N64&lt;&gt;"",TRUE,FALSE)</formula>
    </cfRule>
    <cfRule type="expression" dxfId="2925" priority="13707">
      <formula>IF(AND($E64=FALSE,$N64&lt;&gt;""),TRUE,FALSE)</formula>
    </cfRule>
    <cfRule type="expression" dxfId="2924" priority="13708">
      <formula>IF(AND($I64&lt;&gt;"",$N64&lt;&gt;""),TRUE,FALSE)</formula>
    </cfRule>
  </conditionalFormatting>
  <conditionalFormatting sqref="B120 D120">
    <cfRule type="expression" dxfId="2923" priority="1214">
      <formula>IF($E120,TRUE)</formula>
    </cfRule>
  </conditionalFormatting>
  <conditionalFormatting sqref="B32">
    <cfRule type="expression" dxfId="2922" priority="1213">
      <formula>IF($E32=TRUE,TRUE,FALSE)</formula>
    </cfRule>
  </conditionalFormatting>
  <conditionalFormatting sqref="B30">
    <cfRule type="expression" dxfId="2921" priority="1212">
      <formula>IF($E30=TRUE,TRUE,FALSE)</formula>
    </cfRule>
  </conditionalFormatting>
  <conditionalFormatting sqref="B31">
    <cfRule type="expression" dxfId="2920" priority="1211">
      <formula>IF($E31=TRUE,TRUE,FALSE)</formula>
    </cfRule>
  </conditionalFormatting>
  <conditionalFormatting sqref="B33">
    <cfRule type="expression" dxfId="2919" priority="1210">
      <formula>IF($E33=TRUE,TRUE,FALSE)</formula>
    </cfRule>
  </conditionalFormatting>
  <conditionalFormatting sqref="D30:D33">
    <cfRule type="expression" dxfId="2918" priority="1209">
      <formula>IF($E30,TRUE)</formula>
    </cfRule>
  </conditionalFormatting>
  <conditionalFormatting sqref="B117:B119">
    <cfRule type="expression" dxfId="2917" priority="1203">
      <formula>IF(AND($E117=FALSE,OR($I117&lt;&gt;"",$L117&lt;&gt;"")),TRUE,FALSE)</formula>
    </cfRule>
    <cfRule type="expression" dxfId="2916" priority="1204">
      <formula>IF(AND($E117=TRUE,$I117&lt;&gt;"",$L117&lt;&gt;""),TRUE,FALSE)</formula>
    </cfRule>
    <cfRule type="expression" dxfId="2915" priority="1205">
      <formula>IF(AND($E117=TRUE,OR($I117="",$L117="")),TRUE,FALSE)</formula>
    </cfRule>
  </conditionalFormatting>
  <conditionalFormatting sqref="B121:B157">
    <cfRule type="expression" dxfId="2914" priority="1200">
      <formula>IF(AND($E121=FALSE,OR($I121&lt;&gt;"",$L121&lt;&gt;"")),TRUE,FALSE)</formula>
    </cfRule>
    <cfRule type="expression" dxfId="2913" priority="1201">
      <formula>IF(AND($E121=TRUE,$I121&lt;&gt;"",$L121&lt;&gt;""),TRUE,FALSE)</formula>
    </cfRule>
    <cfRule type="expression" dxfId="2912" priority="1202">
      <formula>IF(AND($E121=TRUE,OR($I121="",$L121="")),TRUE,FALSE)</formula>
    </cfRule>
  </conditionalFormatting>
  <conditionalFormatting sqref="B158">
    <cfRule type="expression" dxfId="2911" priority="1194">
      <formula>IF(AND($E158=FALSE,OR($I158&lt;&gt;"",$L158&lt;&gt;"")),TRUE,FALSE)</formula>
    </cfRule>
    <cfRule type="expression" dxfId="2910" priority="1195">
      <formula>IF(AND($E158=TRUE,$I158&lt;&gt;"",$L158&lt;&gt;""),TRUE,FALSE)</formula>
    </cfRule>
    <cfRule type="expression" dxfId="2909" priority="1196">
      <formula>IF(AND($E158=TRUE,OR($I158="",$L158="")),TRUE,FALSE)</formula>
    </cfRule>
  </conditionalFormatting>
  <conditionalFormatting sqref="B44:B47">
    <cfRule type="expression" dxfId="2908" priority="1109">
      <formula>IF(AND($E44=TRUE,$F$43&gt;1),TRUE,FALSE)</formula>
    </cfRule>
    <cfRule type="expression" dxfId="2907" priority="1110">
      <formula>IF(AND($E44=TRUE,$I44&lt;&gt;"",$L44&lt;&gt;""),TRUE,FALSE)</formula>
    </cfRule>
    <cfRule type="expression" dxfId="2906" priority="1111">
      <formula>IF(AND($E44=TRUE,OR($I44="",$L44="")),TRUE,FALSE)</formula>
    </cfRule>
    <cfRule type="expression" dxfId="2905" priority="1112">
      <formula>IF(AND($E44=FALSE,OR($G44="Not Blank",$J44="Not Blank")),TRUE,FALSE)</formula>
    </cfRule>
    <cfRule type="expression" dxfId="2904" priority="1113">
      <formula>IF(AND($E44=FALSE,$F$43&gt;0),TRUE,FALSE)</formula>
    </cfRule>
  </conditionalFormatting>
  <conditionalFormatting sqref="B43 D43">
    <cfRule type="expression" dxfId="2903" priority="1099">
      <formula>IF($F43&gt;1,TRUE)</formula>
    </cfRule>
    <cfRule type="expression" dxfId="2902" priority="1100">
      <formula>IF(AND($E43,TRUE,$F43=1),TRUE)</formula>
    </cfRule>
  </conditionalFormatting>
  <conditionalFormatting sqref="B48">
    <cfRule type="expression" dxfId="2901" priority="1097">
      <formula>IF($F48&gt;1,TRUE)</formula>
    </cfRule>
    <cfRule type="expression" dxfId="2900" priority="1098">
      <formula>IF(AND($E48,TRUE,$F48=1),TRUE)</formula>
    </cfRule>
  </conditionalFormatting>
  <conditionalFormatting sqref="B49:B52">
    <cfRule type="expression" dxfId="2899" priority="1088">
      <formula>IF(AND($E49=TRUE,$F$48&gt;1),TRUE,FALSE)</formula>
    </cfRule>
    <cfRule type="expression" dxfId="2898" priority="1089">
      <formula>IF(AND($E49=TRUE,$I49&lt;&gt;"",$L49&lt;&gt;""),TRUE,FALSE)</formula>
    </cfRule>
    <cfRule type="expression" dxfId="2897" priority="1090">
      <formula>IF(AND($E49=TRUE,OR($I49="",$L49="")),TRUE,FALSE)</formula>
    </cfRule>
    <cfRule type="expression" dxfId="2896" priority="1091">
      <formula>IF(AND($E49=FALSE,OR($G49="Not Blank",$J49="Not Blank")),TRUE,FALSE)</formula>
    </cfRule>
    <cfRule type="expression" dxfId="2895" priority="1092">
      <formula>IF(AND($E49=FALSE,$F$48&gt;0),TRUE,FALSE)</formula>
    </cfRule>
  </conditionalFormatting>
  <conditionalFormatting sqref="B53">
    <cfRule type="expression" dxfId="2894" priority="1086">
      <formula>IF($F53&gt;1,TRUE)</formula>
    </cfRule>
    <cfRule type="expression" dxfId="2893" priority="1087">
      <formula>IF(AND($E53,TRUE,$F53=1),TRUE)</formula>
    </cfRule>
  </conditionalFormatting>
  <conditionalFormatting sqref="B57">
    <cfRule type="expression" dxfId="2892" priority="1084">
      <formula>IF($F57&gt;1,TRUE)</formula>
    </cfRule>
    <cfRule type="expression" dxfId="2891" priority="1085">
      <formula>IF(AND($E57,TRUE,$F57=1),TRUE)</formula>
    </cfRule>
  </conditionalFormatting>
  <conditionalFormatting sqref="B54:B56">
    <cfRule type="expression" dxfId="2890" priority="1079">
      <formula>IF(AND($E54=TRUE,$F$48&gt;1),TRUE,FALSE)</formula>
    </cfRule>
    <cfRule type="expression" dxfId="2889" priority="1080">
      <formula>IF(AND($E54=TRUE,$I54&lt;&gt;"",$L54&lt;&gt;""),TRUE,FALSE)</formula>
    </cfRule>
    <cfRule type="expression" dxfId="2888" priority="1081">
      <formula>IF(AND($E54=TRUE,OR($I54="",$L54="")),TRUE,FALSE)</formula>
    </cfRule>
    <cfRule type="expression" dxfId="2887" priority="1082">
      <formula>IF(AND($E54=FALSE,OR($G54="Not Blank",$J54="Not Blank")),TRUE,FALSE)</formula>
    </cfRule>
    <cfRule type="expression" dxfId="2886" priority="1083">
      <formula>IF(AND($E54=FALSE,$F$48&gt;0),TRUE,FALSE)</formula>
    </cfRule>
  </conditionalFormatting>
  <conditionalFormatting sqref="B58:B60">
    <cfRule type="expression" dxfId="2885" priority="1074">
      <formula>IF(AND($E58=TRUE,$F$48&gt;1),TRUE,FALSE)</formula>
    </cfRule>
    <cfRule type="expression" dxfId="2884" priority="1075">
      <formula>IF(AND($E58=TRUE,$I58&lt;&gt;"",$L58&lt;&gt;""),TRUE,FALSE)</formula>
    </cfRule>
    <cfRule type="expression" dxfId="2883" priority="1076">
      <formula>IF(AND($E58=TRUE,OR($I58="",$L58="")),TRUE,FALSE)</formula>
    </cfRule>
    <cfRule type="expression" dxfId="2882" priority="1077">
      <formula>IF(AND($E58=FALSE,OR($G58="Not Blank",$J58="Not Blank")),TRUE,FALSE)</formula>
    </cfRule>
    <cfRule type="expression" dxfId="2881" priority="1078">
      <formula>IF(AND($E58=FALSE,$F$48&gt;0),TRUE,FALSE)</formula>
    </cfRule>
  </conditionalFormatting>
  <conditionalFormatting sqref="D46:D47">
    <cfRule type="expression" dxfId="2880" priority="1033">
      <formula>IF($D46="Compliant",TRUE)</formula>
    </cfRule>
    <cfRule type="expression" dxfId="2879" priority="1034">
      <formula>IF($D46=" ",TRUE)</formula>
    </cfRule>
    <cfRule type="expression" dxfId="2878" priority="1040">
      <formula>IF($D46="Not Compliant",TRUE)</formula>
    </cfRule>
  </conditionalFormatting>
  <conditionalFormatting sqref="D61 B61">
    <cfRule type="expression" dxfId="2877" priority="1012">
      <formula>IF(AND($E61=TRUE,$F$43=1),TRUE)</formula>
    </cfRule>
    <cfRule type="expression" dxfId="2876" priority="1013">
      <formula>IF(AND($E61=TRUE,$F$43&gt;=1),TRUE)</formula>
    </cfRule>
    <cfRule type="expression" dxfId="2875" priority="1014">
      <formula>IF(AND($E61=FALSE,$E$43=TRUE),TRUE)</formula>
    </cfRule>
  </conditionalFormatting>
  <conditionalFormatting sqref="B65 D65">
    <cfRule type="expression" dxfId="2874" priority="1003">
      <formula>IF($E65,TRUE)</formula>
    </cfRule>
  </conditionalFormatting>
  <conditionalFormatting sqref="B67:B69">
    <cfRule type="expression" dxfId="2873" priority="1000">
      <formula>IF(AND($E67=FALSE,OR($I67&lt;&gt;"",$L67&lt;&gt;"")),TRUE,FALSE)</formula>
    </cfRule>
    <cfRule type="expression" dxfId="2872" priority="1001">
      <formula>IF(AND($E67=TRUE,$I67&lt;&gt;"",$L67&lt;&gt;""),TRUE,FALSE)</formula>
    </cfRule>
    <cfRule type="expression" dxfId="2871" priority="1002">
      <formula>IF(AND($E67=TRUE,OR($I67="",$L67="")),TRUE,FALSE)</formula>
    </cfRule>
  </conditionalFormatting>
  <conditionalFormatting sqref="B89:B93">
    <cfRule type="expression" dxfId="2870" priority="994">
      <formula>IF(AND($E89=FALSE,OR($I89&lt;&gt;"",$L89&lt;&gt;"")),TRUE,FALSE)</formula>
    </cfRule>
    <cfRule type="expression" dxfId="2869" priority="995">
      <formula>IF(AND($E89=TRUE,$I89&lt;&gt;"",$L89&lt;&gt;""),TRUE,FALSE)</formula>
    </cfRule>
    <cfRule type="expression" dxfId="2868" priority="996">
      <formula>IF(AND($E89=TRUE,OR($I89="",$L89="")),TRUE,FALSE)</formula>
    </cfRule>
  </conditionalFormatting>
  <conditionalFormatting sqref="B95:B97">
    <cfRule type="expression" dxfId="2867" priority="991">
      <formula>IF(AND($E95=FALSE,OR($I95&lt;&gt;"",$L95&lt;&gt;"")),TRUE,FALSE)</formula>
    </cfRule>
    <cfRule type="expression" dxfId="2866" priority="992">
      <formula>IF(AND($E95=TRUE,$I95&lt;&gt;"",$L95&lt;&gt;""),TRUE,FALSE)</formula>
    </cfRule>
    <cfRule type="expression" dxfId="2865" priority="993">
      <formula>IF(AND($E95=TRUE,OR($I95="",$L95="")),TRUE,FALSE)</formula>
    </cfRule>
  </conditionalFormatting>
  <conditionalFormatting sqref="B99:B100">
    <cfRule type="expression" dxfId="2864" priority="988">
      <formula>IF(AND($E99=FALSE,OR($I99&lt;&gt;"",$L99&lt;&gt;"")),TRUE,FALSE)</formula>
    </cfRule>
    <cfRule type="expression" dxfId="2863" priority="989">
      <formula>IF(AND($E99=TRUE,$I99&lt;&gt;"",$L99&lt;&gt;""),TRUE,FALSE)</formula>
    </cfRule>
    <cfRule type="expression" dxfId="2862" priority="990">
      <formula>IF(AND($E99=TRUE,OR($I99="",$L99="")),TRUE,FALSE)</formula>
    </cfRule>
  </conditionalFormatting>
  <conditionalFormatting sqref="B102:B107">
    <cfRule type="expression" dxfId="2861" priority="985">
      <formula>IF(AND($E102=FALSE,OR($I102&lt;&gt;"",$L102&lt;&gt;"")),TRUE,FALSE)</formula>
    </cfRule>
    <cfRule type="expression" dxfId="2860" priority="986">
      <formula>IF(AND($E102=TRUE,$I102&lt;&gt;"",$L102&lt;&gt;""),TRUE,FALSE)</formula>
    </cfRule>
    <cfRule type="expression" dxfId="2859" priority="987">
      <formula>IF(AND($E102=TRUE,OR($I102="",$L102="")),TRUE,FALSE)</formula>
    </cfRule>
  </conditionalFormatting>
  <conditionalFormatting sqref="B110">
    <cfRule type="expression" dxfId="2858" priority="982">
      <formula>IF(AND($E110=FALSE,OR($I110&lt;&gt;"",$L110&lt;&gt;"")),TRUE,FALSE)</formula>
    </cfRule>
    <cfRule type="expression" dxfId="2857" priority="983">
      <formula>IF(AND($E110=TRUE,$I110&lt;&gt;"",$L110&lt;&gt;""),TRUE,FALSE)</formula>
    </cfRule>
    <cfRule type="expression" dxfId="2856" priority="984">
      <formula>IF(AND($E110=TRUE,OR($I110="",$L110="")),TRUE,FALSE)</formula>
    </cfRule>
  </conditionalFormatting>
  <conditionalFormatting sqref="B111">
    <cfRule type="expression" dxfId="2855" priority="979">
      <formula>IF(AND($E111=FALSE,OR($I111&lt;&gt;"",$L111&lt;&gt;"")),TRUE,FALSE)</formula>
    </cfRule>
    <cfRule type="expression" dxfId="2854" priority="980">
      <formula>IF(AND($E111=TRUE,$I111&lt;&gt;"",$L111&lt;&gt;""),TRUE,FALSE)</formula>
    </cfRule>
    <cfRule type="expression" dxfId="2853" priority="981">
      <formula>IF(AND($E111=TRUE,OR($I111="",$L111="")),TRUE,FALSE)</formula>
    </cfRule>
  </conditionalFormatting>
  <conditionalFormatting sqref="B94">
    <cfRule type="expression" dxfId="2852" priority="977">
      <formula>IF($E94,TRUE)</formula>
    </cfRule>
  </conditionalFormatting>
  <conditionalFormatting sqref="B88">
    <cfRule type="expression" dxfId="2851" priority="976">
      <formula>IF($E88,TRUE)</formula>
    </cfRule>
  </conditionalFormatting>
  <conditionalFormatting sqref="B66 D66">
    <cfRule type="expression" dxfId="2850" priority="975">
      <formula>IF($E66,TRUE)</formula>
    </cfRule>
  </conditionalFormatting>
  <conditionalFormatting sqref="B98">
    <cfRule type="expression" dxfId="2849" priority="974">
      <formula>IF($E98,TRUE)</formula>
    </cfRule>
  </conditionalFormatting>
  <conditionalFormatting sqref="B101">
    <cfRule type="expression" dxfId="2848" priority="973">
      <formula>IF($E101,TRUE)</formula>
    </cfRule>
  </conditionalFormatting>
  <conditionalFormatting sqref="B115 D115">
    <cfRule type="expression" dxfId="2847" priority="967">
      <formula>IF($E115,TRUE)</formula>
    </cfRule>
  </conditionalFormatting>
  <conditionalFormatting sqref="B73 D73">
    <cfRule type="expression" dxfId="2846" priority="958">
      <formula>IF($E73,TRUE)</formula>
    </cfRule>
  </conditionalFormatting>
  <conditionalFormatting sqref="B74:B78">
    <cfRule type="expression" dxfId="2845" priority="955">
      <formula>IF(AND($E74=FALSE,OR($I74&lt;&gt;"",$L74&lt;&gt;"")),TRUE,FALSE)</formula>
    </cfRule>
    <cfRule type="expression" dxfId="2844" priority="956">
      <formula>IF(AND($E74=TRUE,$I74&lt;&gt;"",$L74&lt;&gt;""),TRUE,FALSE)</formula>
    </cfRule>
    <cfRule type="expression" dxfId="2843" priority="957">
      <formula>IF(AND($E74=TRUE,OR($I74="",$L74="")),TRUE,FALSE)</formula>
    </cfRule>
  </conditionalFormatting>
  <conditionalFormatting sqref="B83">
    <cfRule type="expression" dxfId="2842" priority="944">
      <formula>IF($E83,TRUE)</formula>
    </cfRule>
  </conditionalFormatting>
  <conditionalFormatting sqref="B87">
    <cfRule type="expression" dxfId="2841" priority="943">
      <formula>IF($E87,TRUE)</formula>
    </cfRule>
  </conditionalFormatting>
  <conditionalFormatting sqref="N79:O79">
    <cfRule type="containsText" dxfId="2840" priority="949" operator="containsText" text="Not Compliant">
      <formula>NOT(ISERROR(SEARCH("Not Compliant",N79)))</formula>
    </cfRule>
    <cfRule type="expression" dxfId="2839" priority="950">
      <formula>IF(AND($E79=TRUE,$I79="",$N79="Compliant"),TRUE,FALSE)</formula>
    </cfRule>
    <cfRule type="expression" dxfId="2838" priority="951">
      <formula>IF(AND($E79=TRUE,$I79&lt;&gt;"",$N79="Compliant"),TRUE,FALSE)</formula>
    </cfRule>
    <cfRule type="expression" dxfId="2837" priority="952">
      <formula>IF($N79&lt;&gt;"",TRUE,FALSE)</formula>
    </cfRule>
    <cfRule type="expression" dxfId="2836" priority="953">
      <formula>IF(AND($E79=FALSE,$N79&lt;&gt;""),TRUE,FALSE)</formula>
    </cfRule>
    <cfRule type="expression" dxfId="2835" priority="954">
      <formula>IF(AND($I79&lt;&gt;"",$N79&lt;&gt;""),TRUE,FALSE)</formula>
    </cfRule>
  </conditionalFormatting>
  <conditionalFormatting sqref="B81 D81">
    <cfRule type="expression" dxfId="2834" priority="938">
      <formula>IF($E81,TRUE)</formula>
    </cfRule>
  </conditionalFormatting>
  <conditionalFormatting sqref="D12:D13">
    <cfRule type="expression" dxfId="2833" priority="902">
      <formula>IF($D12="Compliant",TRUE)</formula>
    </cfRule>
    <cfRule type="expression" dxfId="2832" priority="903">
      <formula>IF($D12=" ",TRUE)</formula>
    </cfRule>
    <cfRule type="expression" dxfId="2831" priority="909">
      <formula>IF($D12="Not Compliant",TRUE)</formula>
    </cfRule>
  </conditionalFormatting>
  <conditionalFormatting sqref="D39">
    <cfRule type="expression" dxfId="2830" priority="891">
      <formula>IF($D39="Compliant",TRUE)</formula>
    </cfRule>
    <cfRule type="expression" dxfId="2829" priority="892">
      <formula>IF($D39=" ",TRUE)</formula>
    </cfRule>
    <cfRule type="expression" dxfId="2828" priority="898">
      <formula>IF($D39="Not Compliant",TRUE)</formula>
    </cfRule>
  </conditionalFormatting>
  <conditionalFormatting sqref="B37:B39">
    <cfRule type="expression" dxfId="2827" priority="888">
      <formula>IF(AND($E37=FALSE,OR($I37&lt;&gt;"",$L37&lt;&gt;"")),TRUE,FALSE)</formula>
    </cfRule>
    <cfRule type="expression" dxfId="2826" priority="889">
      <formula>IF(AND($E37=TRUE,$I37&lt;&gt;"",$L37&lt;&gt;""),TRUE,FALSE)</formula>
    </cfRule>
    <cfRule type="expression" dxfId="2825" priority="890">
      <formula>IF(AND($E37=TRUE,OR($I37="",$L37="")),TRUE,FALSE)</formula>
    </cfRule>
  </conditionalFormatting>
  <conditionalFormatting sqref="B84:B86">
    <cfRule type="expression" dxfId="2824" priority="877">
      <formula>IF(AND($E84=FALSE,OR($I84&lt;&gt;"",$L84&lt;&gt;"")),TRUE,FALSE)</formula>
    </cfRule>
    <cfRule type="expression" dxfId="2823" priority="878">
      <formula>IF(AND($E84=TRUE,$I84&lt;&gt;"",$L84&lt;&gt;""),TRUE,FALSE)</formula>
    </cfRule>
    <cfRule type="expression" dxfId="2822" priority="879">
      <formula>IF(AND($E84=TRUE,OR($I84="",$L84="")),TRUE,FALSE)</formula>
    </cfRule>
  </conditionalFormatting>
  <conditionalFormatting sqref="N43">
    <cfRule type="expression" dxfId="2821" priority="838">
      <formula>IF($N43="Compliant",TRUE)</formula>
    </cfRule>
    <cfRule type="expression" dxfId="2820" priority="839">
      <formula>IF($N43="FE with work-a-round",TRUE)</formula>
    </cfRule>
    <cfRule type="expression" dxfId="2819" priority="840">
      <formula>IF($N43="Functionally Equivalent",TRUE)</formula>
    </cfRule>
    <cfRule type="expression" dxfId="2818" priority="841">
      <formula>IF($N43="Likely to become compliant",TRUE)</formula>
    </cfRule>
    <cfRule type="expression" dxfId="2817" priority="842">
      <formula>IF($N43="Partly Compliant",TRUE)</formula>
    </cfRule>
    <cfRule type="expression" dxfId="2816" priority="843">
      <formula>IF($N43="Unknown/Missing",TRUE)</formula>
    </cfRule>
    <cfRule type="expression" dxfId="2815" priority="844">
      <formula>IF($N43="Not Required/Applicable",TRUE)</formula>
    </cfRule>
    <cfRule type="expression" dxfId="2814" priority="845">
      <formula>IF($N43="Not Compliant",TRUE)</formula>
    </cfRule>
    <cfRule type="expression" dxfId="2813" priority="846">
      <formula>IF($N43=" ",TRUE)</formula>
    </cfRule>
  </conditionalFormatting>
  <conditionalFormatting sqref="V43">
    <cfRule type="expression" dxfId="2812" priority="829">
      <formula>IF(V43="Compliant",TRUE)</formula>
    </cfRule>
    <cfRule type="expression" dxfId="2811" priority="830">
      <formula>IF(V43="FE with work-a-round",TRUE)</formula>
    </cfRule>
    <cfRule type="expression" dxfId="2810" priority="831">
      <formula>IF(V43="Functionally Equivalent",TRUE)</formula>
    </cfRule>
    <cfRule type="expression" dxfId="2809" priority="832">
      <formula>IF(V43="Likely to become compliant",TRUE)</formula>
    </cfRule>
    <cfRule type="expression" dxfId="2808" priority="833">
      <formula>IF(V43="Partly Compliant",TRUE)</formula>
    </cfRule>
    <cfRule type="expression" dxfId="2807" priority="834">
      <formula>IF(V43="Unknown/Missing",TRUE)</formula>
    </cfRule>
    <cfRule type="expression" dxfId="2806" priority="835">
      <formula>IF(V43="Not Required/Applicable",TRUE)</formula>
    </cfRule>
    <cfRule type="expression" dxfId="2805" priority="836">
      <formula>IF(V43="Not Compliant",TRUE)</formula>
    </cfRule>
    <cfRule type="expression" dxfId="2804" priority="837">
      <formula>IF($N43=" ",TRUE)</formula>
    </cfRule>
  </conditionalFormatting>
  <conditionalFormatting sqref="N73">
    <cfRule type="expression" dxfId="2803" priority="784">
      <formula>IF($N73="Compliant",TRUE)</formula>
    </cfRule>
    <cfRule type="expression" dxfId="2802" priority="785">
      <formula>IF($N73="FE with work-a-round",TRUE)</formula>
    </cfRule>
    <cfRule type="expression" dxfId="2801" priority="786">
      <formula>IF($N73="Functionally Equivalent",TRUE)</formula>
    </cfRule>
    <cfRule type="expression" dxfId="2800" priority="787">
      <formula>IF($N73="Likely to become compliant",TRUE)</formula>
    </cfRule>
    <cfRule type="expression" dxfId="2799" priority="788">
      <formula>IF($N73="Partly Compliant",TRUE)</formula>
    </cfRule>
    <cfRule type="expression" dxfId="2798" priority="789">
      <formula>IF($N73="Unknown/Missing",TRUE)</formula>
    </cfRule>
    <cfRule type="expression" dxfId="2797" priority="790">
      <formula>IF($N73="Not Required/Applicable",TRUE)</formula>
    </cfRule>
    <cfRule type="expression" dxfId="2796" priority="791">
      <formula>IF($N73="Not Compliant",TRUE)</formula>
    </cfRule>
    <cfRule type="expression" dxfId="2795" priority="792">
      <formula>IF($N73=" ",TRUE)</formula>
    </cfRule>
  </conditionalFormatting>
  <conditionalFormatting sqref="Q73">
    <cfRule type="expression" dxfId="2794" priority="765">
      <formula>IF(R73=TRUE,TRUE,FALSE)</formula>
    </cfRule>
  </conditionalFormatting>
  <conditionalFormatting sqref="Q73">
    <cfRule type="expression" dxfId="2793" priority="764">
      <formula>IF(R73=FALSE,TRUE,FALSE)</formula>
    </cfRule>
  </conditionalFormatting>
  <conditionalFormatting sqref="Q43">
    <cfRule type="expression" dxfId="2792" priority="757">
      <formula>IF(R43=TRUE,TRUE,FALSE)</formula>
    </cfRule>
  </conditionalFormatting>
  <conditionalFormatting sqref="Q43">
    <cfRule type="expression" dxfId="2791" priority="756">
      <formula>IF(R43=FALSE,TRUE,FALSE)</formula>
    </cfRule>
  </conditionalFormatting>
  <conditionalFormatting sqref="V30:V33 Q30:Q33 N30:N33">
    <cfRule type="expression" dxfId="2790" priority="752">
      <formula>IF(O30=FALSE,TRUE,FALSE)</formula>
    </cfRule>
    <cfRule type="expression" dxfId="2789" priority="753">
      <formula>IF(O30=TRUE,TRUE,FALSE)</formula>
    </cfRule>
  </conditionalFormatting>
  <conditionalFormatting sqref="N39">
    <cfRule type="expression" dxfId="2788" priority="743">
      <formula>IF($N39="Compliant",TRUE)</formula>
    </cfRule>
    <cfRule type="expression" dxfId="2787" priority="744">
      <formula>IF($N39="FE with work-a-round",TRUE)</formula>
    </cfRule>
    <cfRule type="expression" dxfId="2786" priority="745">
      <formula>IF($N39="Functionally Equivalent",TRUE)</formula>
    </cfRule>
    <cfRule type="expression" dxfId="2785" priority="746">
      <formula>IF($N39="Likely to become compliant",TRUE)</formula>
    </cfRule>
    <cfRule type="expression" dxfId="2784" priority="747">
      <formula>IF($N39="Partly Compliant",TRUE)</formula>
    </cfRule>
    <cfRule type="expression" dxfId="2783" priority="748">
      <formula>IF($N39="Unknown/Missing",TRUE)</formula>
    </cfRule>
    <cfRule type="expression" dxfId="2782" priority="749">
      <formula>IF($N39="Not Required/Applicable",TRUE)</formula>
    </cfRule>
    <cfRule type="expression" dxfId="2781" priority="750">
      <formula>IF($N39="Not Compliant",TRUE)</formula>
    </cfRule>
    <cfRule type="expression" dxfId="2780" priority="751">
      <formula>IF($N39=" ",TRUE)</formula>
    </cfRule>
  </conditionalFormatting>
  <conditionalFormatting sqref="V39">
    <cfRule type="expression" dxfId="2779" priority="734">
      <formula>IF(V39="Compliant",TRUE)</formula>
    </cfRule>
    <cfRule type="expression" dxfId="2778" priority="735">
      <formula>IF(V39="FE with work-a-round",TRUE)</formula>
    </cfRule>
    <cfRule type="expression" dxfId="2777" priority="736">
      <formula>IF(V39="Functionally Equivalent",TRUE)</formula>
    </cfRule>
    <cfRule type="expression" dxfId="2776" priority="737">
      <formula>IF(V39="Likely to become compliant",TRUE)</formula>
    </cfRule>
    <cfRule type="expression" dxfId="2775" priority="738">
      <formula>IF(V39="Partly Compliant",TRUE)</formula>
    </cfRule>
    <cfRule type="expression" dxfId="2774" priority="739">
      <formula>IF(V39="Unknown/Missing",TRUE)</formula>
    </cfRule>
    <cfRule type="expression" dxfId="2773" priority="740">
      <formula>IF(V39="Not Required/Applicable",TRUE)</formula>
    </cfRule>
    <cfRule type="expression" dxfId="2772" priority="741">
      <formula>IF(V39="Not Compliant",TRUE)</formula>
    </cfRule>
    <cfRule type="expression" dxfId="2771" priority="742">
      <formula>IF($N39=" ",TRUE)</formula>
    </cfRule>
  </conditionalFormatting>
  <conditionalFormatting sqref="N11">
    <cfRule type="expression" dxfId="2770" priority="689">
      <formula>IF($N11="Compliant",TRUE)</formula>
    </cfRule>
    <cfRule type="expression" dxfId="2769" priority="690">
      <formula>IF($N11="FE with work-a-round",TRUE)</formula>
    </cfRule>
    <cfRule type="expression" dxfId="2768" priority="691">
      <formula>IF($N11="Functionally Equivalent",TRUE)</formula>
    </cfRule>
    <cfRule type="expression" dxfId="2767" priority="692">
      <formula>IF($N11="Likely to become compliant",TRUE)</formula>
    </cfRule>
    <cfRule type="expression" dxfId="2766" priority="693">
      <formula>IF($N11="Partly Compliant",TRUE)</formula>
    </cfRule>
    <cfRule type="expression" dxfId="2765" priority="694">
      <formula>IF($N11="Unknown/Missing",TRUE)</formula>
    </cfRule>
    <cfRule type="expression" dxfId="2764" priority="695">
      <formula>IF($N11="Not Required/Applicable",TRUE)</formula>
    </cfRule>
    <cfRule type="expression" dxfId="2763" priority="696">
      <formula>IF($N11="Not Compliant",TRUE)</formula>
    </cfRule>
    <cfRule type="expression" dxfId="2762" priority="697">
      <formula>IF($N11=" ",TRUE)</formula>
    </cfRule>
  </conditionalFormatting>
  <conditionalFormatting sqref="N8">
    <cfRule type="expression" dxfId="2761" priority="680">
      <formula>IF($N8="Compliant",TRUE)</formula>
    </cfRule>
    <cfRule type="expression" dxfId="2760" priority="681">
      <formula>IF($N8="FE with work-a-round",TRUE)</formula>
    </cfRule>
    <cfRule type="expression" dxfId="2759" priority="682">
      <formula>IF($N8="Functionally Equivalent",TRUE)</formula>
    </cfRule>
    <cfRule type="expression" dxfId="2758" priority="683">
      <formula>IF($N8="Likely to become compliant",TRUE)</formula>
    </cfRule>
    <cfRule type="expression" dxfId="2757" priority="684">
      <formula>IF($N8="Partly Compliant",TRUE)</formula>
    </cfRule>
    <cfRule type="expression" dxfId="2756" priority="685">
      <formula>IF($N8="Unknown/Missing",TRUE)</formula>
    </cfRule>
    <cfRule type="expression" dxfId="2755" priority="686">
      <formula>IF($N8="Not Required/Applicable",TRUE)</formula>
    </cfRule>
    <cfRule type="expression" dxfId="2754" priority="687">
      <formula>IF($N8="Not Compliant",TRUE)</formula>
    </cfRule>
    <cfRule type="expression" dxfId="2753" priority="688">
      <formula>IF($N8=" ",TRUE)</formula>
    </cfRule>
  </conditionalFormatting>
  <conditionalFormatting sqref="Q8">
    <cfRule type="expression" dxfId="2752" priority="671">
      <formula>IF(Q8="Compliant",TRUE)</formula>
    </cfRule>
    <cfRule type="expression" dxfId="2751" priority="672">
      <formula>IF(Q8="FE with work-a-round",TRUE)</formula>
    </cfRule>
    <cfRule type="expression" dxfId="2750" priority="673">
      <formula>IF(Q8="Functionally Equivalent",TRUE)</formula>
    </cfRule>
    <cfRule type="expression" dxfId="2749" priority="674">
      <formula>IF(Q8="Likely to become compliant",TRUE)</formula>
    </cfRule>
    <cfRule type="expression" dxfId="2748" priority="675">
      <formula>IF(Q8="Partly Compliant",TRUE)</formula>
    </cfRule>
    <cfRule type="expression" dxfId="2747" priority="676">
      <formula>IF(Q8="Unknown/Missing",TRUE)</formula>
    </cfRule>
    <cfRule type="expression" dxfId="2746" priority="677">
      <formula>IF(Q8="Not Required/Applicable",TRUE)</formula>
    </cfRule>
    <cfRule type="expression" dxfId="2745" priority="678">
      <formula>IF(Q8="Not Compliant",TRUE)</formula>
    </cfRule>
    <cfRule type="expression" dxfId="2744" priority="679">
      <formula>IF($N8=" ",TRUE)</formula>
    </cfRule>
  </conditionalFormatting>
  <conditionalFormatting sqref="Q11">
    <cfRule type="expression" dxfId="2743" priority="662">
      <formula>IF(Q11="Compliant",TRUE)</formula>
    </cfRule>
    <cfRule type="expression" dxfId="2742" priority="663">
      <formula>IF(Q11="FE with work-a-round",TRUE)</formula>
    </cfRule>
    <cfRule type="expression" dxfId="2741" priority="664">
      <formula>IF(Q11="Functionally Equivalent",TRUE)</formula>
    </cfRule>
    <cfRule type="expression" dxfId="2740" priority="665">
      <formula>IF(Q11="Likely to become compliant",TRUE)</formula>
    </cfRule>
    <cfRule type="expression" dxfId="2739" priority="666">
      <formula>IF(Q11="Partly Compliant",TRUE)</formula>
    </cfRule>
    <cfRule type="expression" dxfId="2738" priority="667">
      <formula>IF(Q11="Unknown/Missing",TRUE)</formula>
    </cfRule>
    <cfRule type="expression" dxfId="2737" priority="668">
      <formula>IF(Q11="Not Required/Applicable",TRUE)</formula>
    </cfRule>
    <cfRule type="expression" dxfId="2736" priority="669">
      <formula>IF(Q11="Not Compliant",TRUE)</formula>
    </cfRule>
    <cfRule type="expression" dxfId="2735" priority="670">
      <formula>IF($N11=" ",TRUE)</formula>
    </cfRule>
  </conditionalFormatting>
  <conditionalFormatting sqref="V8">
    <cfRule type="expression" dxfId="2734" priority="653">
      <formula>IF(V8="Compliant",TRUE)</formula>
    </cfRule>
    <cfRule type="expression" dxfId="2733" priority="654">
      <formula>IF(V8="FE with work-a-round",TRUE)</formula>
    </cfRule>
    <cfRule type="expression" dxfId="2732" priority="655">
      <formula>IF(V8="Functionally Equivalent",TRUE)</formula>
    </cfRule>
    <cfRule type="expression" dxfId="2731" priority="656">
      <formula>IF(V8="Likely to become compliant",TRUE)</formula>
    </cfRule>
    <cfRule type="expression" dxfId="2730" priority="657">
      <formula>IF(V8="Partly Compliant",TRUE)</formula>
    </cfRule>
    <cfRule type="expression" dxfId="2729" priority="658">
      <formula>IF(V8="Unknown/Missing",TRUE)</formula>
    </cfRule>
    <cfRule type="expression" dxfId="2728" priority="659">
      <formula>IF(V8="Not Required/Applicable",TRUE)</formula>
    </cfRule>
    <cfRule type="expression" dxfId="2727" priority="660">
      <formula>IF(V8="Not Compliant",TRUE)</formula>
    </cfRule>
    <cfRule type="expression" dxfId="2726" priority="661">
      <formula>IF($N8=" ",TRUE)</formula>
    </cfRule>
  </conditionalFormatting>
  <conditionalFormatting sqref="V11">
    <cfRule type="expression" dxfId="2725" priority="644">
      <formula>IF(V11="Compliant",TRUE)</formula>
    </cfRule>
    <cfRule type="expression" dxfId="2724" priority="645">
      <formula>IF(V11="FE with work-a-round",TRUE)</formula>
    </cfRule>
    <cfRule type="expression" dxfId="2723" priority="646">
      <formula>IF(V11="Functionally Equivalent",TRUE)</formula>
    </cfRule>
    <cfRule type="expression" dxfId="2722" priority="647">
      <formula>IF(V11="Likely to become compliant",TRUE)</formula>
    </cfRule>
    <cfRule type="expression" dxfId="2721" priority="648">
      <formula>IF(V11="Partly Compliant",TRUE)</formula>
    </cfRule>
    <cfRule type="expression" dxfId="2720" priority="649">
      <formula>IF(V11="Unknown/Missing",TRUE)</formula>
    </cfRule>
    <cfRule type="expression" dxfId="2719" priority="650">
      <formula>IF(V11="Not Required/Applicable",TRUE)</formula>
    </cfRule>
    <cfRule type="expression" dxfId="2718" priority="651">
      <formula>IF(V11="Not Compliant",TRUE)</formula>
    </cfRule>
    <cfRule type="expression" dxfId="2717" priority="652">
      <formula>IF($N11=" ",TRUE)</formula>
    </cfRule>
  </conditionalFormatting>
  <conditionalFormatting sqref="B9:B10">
    <cfRule type="expression" dxfId="2716" priority="623">
      <formula>IF(AND($E9=FALSE,$F$8=1),TRUE,FALSE)</formula>
    </cfRule>
    <cfRule type="expression" dxfId="2715" priority="640">
      <formula>IF(AND($E9=TRUE,$F$8=2),TRUE,FALSE)</formula>
    </cfRule>
    <cfRule type="expression" dxfId="2714" priority="641">
      <formula>IF(AND($E9=FALSE,OR($I9&lt;&gt;"",$L9&lt;&gt;"")),TRUE,FALSE)</formula>
    </cfRule>
    <cfRule type="expression" dxfId="2713" priority="642">
      <formula>IF(AND($E9=TRUE,$I9&lt;&gt;"",$L9&lt;&gt;""),TRUE,FALSE)</formula>
    </cfRule>
    <cfRule type="expression" dxfId="2712" priority="643">
      <formula>IF(AND($E9=TRUE,OR($I9="",$L9="")),TRUE,FALSE)</formula>
    </cfRule>
  </conditionalFormatting>
  <conditionalFormatting sqref="B11 D11">
    <cfRule type="expression" dxfId="2711" priority="637">
      <formula>IF($F$11&gt;1,TRUE)</formula>
    </cfRule>
    <cfRule type="expression" dxfId="2710" priority="639">
      <formula>IF(AND($F$11=1,$E11=TRUE),TRUE)</formula>
    </cfRule>
  </conditionalFormatting>
  <conditionalFormatting sqref="B12:B13">
    <cfRule type="expression" dxfId="2709" priority="632">
      <formula>IF(AND($E12=FALSE,$F$11=1),TRUE,FALSE)</formula>
    </cfRule>
    <cfRule type="expression" dxfId="2708" priority="633">
      <formula>IF(AND($E12=TRUE,$F$11=2),TRUE,FALSE)</formula>
    </cfRule>
    <cfRule type="expression" dxfId="2707" priority="634">
      <formula>IF(AND($E12=FALSE,OR($I12&lt;&gt;"",$L12&lt;&gt;"")),TRUE,FALSE)</formula>
    </cfRule>
    <cfRule type="expression" dxfId="2706" priority="635">
      <formula>IF(AND($E12=TRUE,$I12&lt;&gt;"",$L12&lt;&gt;""),TRUE,FALSE)</formula>
    </cfRule>
    <cfRule type="expression" dxfId="2705" priority="636">
      <formula>IF(AND($E12=TRUE,OR($I12="",$L12="")),TRUE,FALSE)</formula>
    </cfRule>
  </conditionalFormatting>
  <conditionalFormatting sqref="D9:D10">
    <cfRule type="expression" dxfId="2704" priority="624">
      <formula>IF($D9="Compliant",TRUE)</formula>
    </cfRule>
    <cfRule type="expression" dxfId="2703" priority="625">
      <formula>IF($D9=" ",TRUE)</formula>
    </cfRule>
    <cfRule type="expression" dxfId="2702" priority="631">
      <formula>IF($D9="Not Compliant",TRUE)</formula>
    </cfRule>
  </conditionalFormatting>
  <conditionalFormatting sqref="Q48">
    <cfRule type="expression" dxfId="2701" priority="613">
      <formula>IF(R48=TRUE,TRUE,FALSE)</formula>
    </cfRule>
  </conditionalFormatting>
  <conditionalFormatting sqref="Q48">
    <cfRule type="expression" dxfId="2700" priority="612">
      <formula>IF(R48=FALSE,TRUE,FALSE)</formula>
    </cfRule>
  </conditionalFormatting>
  <conditionalFormatting sqref="Q53">
    <cfRule type="expression" dxfId="2699" priority="602">
      <formula>IF(R53=TRUE,TRUE,FALSE)</formula>
    </cfRule>
  </conditionalFormatting>
  <conditionalFormatting sqref="Q53">
    <cfRule type="expression" dxfId="2698" priority="601">
      <formula>IF(R53=FALSE,TRUE,FALSE)</formula>
    </cfRule>
  </conditionalFormatting>
  <conditionalFormatting sqref="Q57">
    <cfRule type="expression" dxfId="2697" priority="591">
      <formula>IF(R57=TRUE,TRUE,FALSE)</formula>
    </cfRule>
  </conditionalFormatting>
  <conditionalFormatting sqref="Q57">
    <cfRule type="expression" dxfId="2696" priority="590">
      <formula>IF(R57=FALSE,TRUE,FALSE)</formula>
    </cfRule>
  </conditionalFormatting>
  <conditionalFormatting sqref="N61">
    <cfRule type="expression" dxfId="2695" priority="581">
      <formula>IF($N61="Compliant",TRUE)</formula>
    </cfRule>
    <cfRule type="expression" dxfId="2694" priority="582">
      <formula>IF($N61="FE with work-a-round",TRUE)</formula>
    </cfRule>
    <cfRule type="expression" dxfId="2693" priority="583">
      <formula>IF($N61="Functionally Equivalent",TRUE)</formula>
    </cfRule>
    <cfRule type="expression" dxfId="2692" priority="584">
      <formula>IF($N61="Likely to become compliant",TRUE)</formula>
    </cfRule>
    <cfRule type="expression" dxfId="2691" priority="585">
      <formula>IF($N61="Partly Compliant",TRUE)</formula>
    </cfRule>
    <cfRule type="expression" dxfId="2690" priority="586">
      <formula>IF($N61="Unknown/Missing",TRUE)</formula>
    </cfRule>
    <cfRule type="expression" dxfId="2689" priority="587">
      <formula>IF($N61="Not Required/Applicable",TRUE)</formula>
    </cfRule>
    <cfRule type="expression" dxfId="2688" priority="588">
      <formula>IF($N61="Not Compliant",TRUE)</formula>
    </cfRule>
    <cfRule type="expression" dxfId="2687" priority="589">
      <formula>IF($N61=" ",TRUE)</formula>
    </cfRule>
  </conditionalFormatting>
  <conditionalFormatting sqref="V61">
    <cfRule type="expression" dxfId="2686" priority="572">
      <formula>IF(V61="Compliant",TRUE)</formula>
    </cfRule>
    <cfRule type="expression" dxfId="2685" priority="573">
      <formula>IF(V61="FE with work-a-round",TRUE)</formula>
    </cfRule>
    <cfRule type="expression" dxfId="2684" priority="574">
      <formula>IF(V61="Functionally Equivalent",TRUE)</formula>
    </cfRule>
    <cfRule type="expression" dxfId="2683" priority="575">
      <formula>IF(V61="Likely to become compliant",TRUE)</formula>
    </cfRule>
    <cfRule type="expression" dxfId="2682" priority="576">
      <formula>IF(V61="Partly Compliant",TRUE)</formula>
    </cfRule>
    <cfRule type="expression" dxfId="2681" priority="577">
      <formula>IF(V61="Unknown/Missing",TRUE)</formula>
    </cfRule>
    <cfRule type="expression" dxfId="2680" priority="578">
      <formula>IF(V61="Not Required/Applicable",TRUE)</formula>
    </cfRule>
    <cfRule type="expression" dxfId="2679" priority="579">
      <formula>IF(V61="Not Compliant",TRUE)</formula>
    </cfRule>
    <cfRule type="expression" dxfId="2678" priority="580">
      <formula>IF($N61=" ",TRUE)</formula>
    </cfRule>
  </conditionalFormatting>
  <conditionalFormatting sqref="N48">
    <cfRule type="expression" dxfId="2677" priority="554">
      <formula>IF($N48="Compliant",TRUE)</formula>
    </cfRule>
    <cfRule type="expression" dxfId="2676" priority="555">
      <formula>IF($N48="FE with work-a-round",TRUE)</formula>
    </cfRule>
    <cfRule type="expression" dxfId="2675" priority="556">
      <formula>IF($N48="Functionally Equivalent",TRUE)</formula>
    </cfRule>
    <cfRule type="expression" dxfId="2674" priority="557">
      <formula>IF($N48="Likely to become compliant",TRUE)</formula>
    </cfRule>
    <cfRule type="expression" dxfId="2673" priority="558">
      <formula>IF($N48="Partly Compliant",TRUE)</formula>
    </cfRule>
    <cfRule type="expression" dxfId="2672" priority="559">
      <formula>IF($N48="Unknown/Missing",TRUE)</formula>
    </cfRule>
    <cfRule type="expression" dxfId="2671" priority="560">
      <formula>IF($N48="Not Required/Applicable",TRUE)</formula>
    </cfRule>
    <cfRule type="expression" dxfId="2670" priority="561">
      <formula>IF($N48="Not Compliant",TRUE)</formula>
    </cfRule>
    <cfRule type="expression" dxfId="2669" priority="562">
      <formula>IF($N48=" ",TRUE)</formula>
    </cfRule>
  </conditionalFormatting>
  <conditionalFormatting sqref="N65 N57 N53">
    <cfRule type="expression" dxfId="2668" priority="545">
      <formula>IF($N53="Compliant",TRUE)</formula>
    </cfRule>
    <cfRule type="expression" dxfId="2667" priority="546">
      <formula>IF($N53="FE with work-a-round",TRUE)</formula>
    </cfRule>
    <cfRule type="expression" dxfId="2666" priority="547">
      <formula>IF($N53="Functionally Equivalent",TRUE)</formula>
    </cfRule>
    <cfRule type="expression" dxfId="2665" priority="548">
      <formula>IF($N53="Likely to become compliant",TRUE)</formula>
    </cfRule>
    <cfRule type="expression" dxfId="2664" priority="549">
      <formula>IF($N53="Partly Compliant",TRUE)</formula>
    </cfRule>
    <cfRule type="expression" dxfId="2663" priority="550">
      <formula>IF($N53="Unknown/Missing",TRUE)</formula>
    </cfRule>
    <cfRule type="expression" dxfId="2662" priority="551">
      <formula>IF($N53="Not Required/Applicable",TRUE)</formula>
    </cfRule>
    <cfRule type="expression" dxfId="2661" priority="552">
      <formula>IF($N53="Not Compliant",TRUE)</formula>
    </cfRule>
    <cfRule type="expression" dxfId="2660" priority="553">
      <formula>IF($N53=" ",TRUE)</formula>
    </cfRule>
  </conditionalFormatting>
  <conditionalFormatting sqref="Q66">
    <cfRule type="expression" dxfId="2659" priority="535">
      <formula>IF(R66=TRUE,TRUE,FALSE)</formula>
    </cfRule>
  </conditionalFormatting>
  <conditionalFormatting sqref="Q66">
    <cfRule type="expression" dxfId="2658" priority="534">
      <formula>IF(R66=FALSE,TRUE,FALSE)</formula>
    </cfRule>
  </conditionalFormatting>
  <conditionalFormatting sqref="Q65">
    <cfRule type="expression" dxfId="2657" priority="533">
      <formula>IF(R65=TRUE,TRUE,FALSE)</formula>
    </cfRule>
  </conditionalFormatting>
  <conditionalFormatting sqref="Q65">
    <cfRule type="expression" dxfId="2656" priority="532">
      <formula>IF(R65=FALSE,TRUE,FALSE)</formula>
    </cfRule>
  </conditionalFormatting>
  <conditionalFormatting sqref="O81">
    <cfRule type="expression" dxfId="2655" priority="528">
      <formula>IF(AND($E81=TRUE,$I81="Valid Entry required below - Check amber box",#REF!="Compliant"),TRUE,FALSE)</formula>
    </cfRule>
    <cfRule type="expression" dxfId="2654" priority="529">
      <formula>IF(AND($E81=TRUE,$I81="Valid Entry made below",#REF!="Compliant"),TRUE,FALSE)</formula>
    </cfRule>
    <cfRule type="expression" dxfId="2653" priority="530">
      <formula>IF(AND($E81=FALSE,#REF!&lt;&gt;""),TRUE,FALSE)</formula>
    </cfRule>
    <cfRule type="expression" dxfId="2652" priority="531">
      <formula>IF(AND($I81&lt;&gt;"",#REF!&lt;&gt;""),TRUE,FALSE)</formula>
    </cfRule>
  </conditionalFormatting>
  <conditionalFormatting sqref="N81">
    <cfRule type="expression" dxfId="2651" priority="526">
      <formula>IF(O81=FALSE,TRUE,FALSE)</formula>
    </cfRule>
    <cfRule type="expression" dxfId="2650" priority="527">
      <formula>IF(O81=TRUE,TRUE,FALSE)</formula>
    </cfRule>
  </conditionalFormatting>
  <conditionalFormatting sqref="Q81">
    <cfRule type="expression" dxfId="2649" priority="525">
      <formula>IF(R81=TRUE,TRUE,FALSE)</formula>
    </cfRule>
  </conditionalFormatting>
  <conditionalFormatting sqref="V81">
    <cfRule type="expression" dxfId="2648" priority="522">
      <formula>IF(W81=FALSE,TRUE,FALSE)</formula>
    </cfRule>
    <cfRule type="expression" dxfId="2647" priority="523">
      <formula>IF(W81=TRUE,TRUE,FALSE)</formula>
    </cfRule>
  </conditionalFormatting>
  <conditionalFormatting sqref="Q81">
    <cfRule type="expression" dxfId="2646" priority="524">
      <formula>IF(R81=FALSE,TRUE,FALSE)</formula>
    </cfRule>
  </conditionalFormatting>
  <conditionalFormatting sqref="N83">
    <cfRule type="expression" dxfId="2645" priority="513">
      <formula>IF($N83="Compliant",TRUE)</formula>
    </cfRule>
    <cfRule type="expression" dxfId="2644" priority="514">
      <formula>IF($N83="FE with work-a-round",TRUE)</formula>
    </cfRule>
    <cfRule type="expression" dxfId="2643" priority="515">
      <formula>IF($N83="Functionally Equivalent",TRUE)</formula>
    </cfRule>
    <cfRule type="expression" dxfId="2642" priority="516">
      <formula>IF($N83="Likely to become compliant",TRUE)</formula>
    </cfRule>
    <cfRule type="expression" dxfId="2641" priority="517">
      <formula>IF($N83="Partly Compliant",TRUE)</formula>
    </cfRule>
    <cfRule type="expression" dxfId="2640" priority="518">
      <formula>IF($N83="Unknown/Missing",TRUE)</formula>
    </cfRule>
    <cfRule type="expression" dxfId="2639" priority="519">
      <formula>IF($N83="Not Required/Applicable",TRUE)</formula>
    </cfRule>
    <cfRule type="expression" dxfId="2638" priority="520">
      <formula>IF($N83="Not Compliant",TRUE)</formula>
    </cfRule>
    <cfRule type="expression" dxfId="2637" priority="521">
      <formula>IF($N83=" ",TRUE)</formula>
    </cfRule>
  </conditionalFormatting>
  <conditionalFormatting sqref="Q83">
    <cfRule type="expression" dxfId="2636" priority="503">
      <formula>IF(R83=TRUE,TRUE,FALSE)</formula>
    </cfRule>
  </conditionalFormatting>
  <conditionalFormatting sqref="Q83">
    <cfRule type="expression" dxfId="2635" priority="502">
      <formula>IF(R83=FALSE,TRUE,FALSE)</formula>
    </cfRule>
  </conditionalFormatting>
  <conditionalFormatting sqref="N87">
    <cfRule type="expression" dxfId="2634" priority="493">
      <formula>IF($N87="Compliant",TRUE)</formula>
    </cfRule>
    <cfRule type="expression" dxfId="2633" priority="494">
      <formula>IF($N87="FE with work-a-round",TRUE)</formula>
    </cfRule>
    <cfRule type="expression" dxfId="2632" priority="495">
      <formula>IF($N87="Functionally Equivalent",TRUE)</formula>
    </cfRule>
    <cfRule type="expression" dxfId="2631" priority="496">
      <formula>IF($N87="Likely to become compliant",TRUE)</formula>
    </cfRule>
    <cfRule type="expression" dxfId="2630" priority="497">
      <formula>IF($N87="Partly Compliant",TRUE)</formula>
    </cfRule>
    <cfRule type="expression" dxfId="2629" priority="498">
      <formula>IF($N87="Unknown/Missing",TRUE)</formula>
    </cfRule>
    <cfRule type="expression" dxfId="2628" priority="499">
      <formula>IF($N87="Not Required/Applicable",TRUE)</formula>
    </cfRule>
    <cfRule type="expression" dxfId="2627" priority="500">
      <formula>IF($N87="Not Compliant",TRUE)</formula>
    </cfRule>
    <cfRule type="expression" dxfId="2626" priority="501">
      <formula>IF($N87=" ",TRUE)</formula>
    </cfRule>
  </conditionalFormatting>
  <conditionalFormatting sqref="Q87:Q88">
    <cfRule type="expression" dxfId="2625" priority="483">
      <formula>IF(R87=TRUE,TRUE,FALSE)</formula>
    </cfRule>
  </conditionalFormatting>
  <conditionalFormatting sqref="Q87:Q88">
    <cfRule type="expression" dxfId="2624" priority="482">
      <formula>IF(R87=FALSE,TRUE,FALSE)</formula>
    </cfRule>
  </conditionalFormatting>
  <conditionalFormatting sqref="N94">
    <cfRule type="expression" dxfId="2623" priority="473">
      <formula>IF($N94="Compliant",TRUE)</formula>
    </cfRule>
    <cfRule type="expression" dxfId="2622" priority="474">
      <formula>IF($N94="FE with work-a-round",TRUE)</formula>
    </cfRule>
    <cfRule type="expression" dxfId="2621" priority="475">
      <formula>IF($N94="Functionally Equivalent",TRUE)</formula>
    </cfRule>
    <cfRule type="expression" dxfId="2620" priority="476">
      <formula>IF($N94="Likely to become compliant",TRUE)</formula>
    </cfRule>
    <cfRule type="expression" dxfId="2619" priority="477">
      <formula>IF($N94="Partly Compliant",TRUE)</formula>
    </cfRule>
    <cfRule type="expression" dxfId="2618" priority="478">
      <formula>IF($N94="Unknown/Missing",TRUE)</formula>
    </cfRule>
    <cfRule type="expression" dxfId="2617" priority="479">
      <formula>IF($N94="Not Required/Applicable",TRUE)</formula>
    </cfRule>
    <cfRule type="expression" dxfId="2616" priority="480">
      <formula>IF($N94="Not Compliant",TRUE)</formula>
    </cfRule>
    <cfRule type="expression" dxfId="2615" priority="481">
      <formula>IF($N94=" ",TRUE)</formula>
    </cfRule>
  </conditionalFormatting>
  <conditionalFormatting sqref="Q94">
    <cfRule type="expression" dxfId="2614" priority="463">
      <formula>IF(R94=TRUE,TRUE,FALSE)</formula>
    </cfRule>
  </conditionalFormatting>
  <conditionalFormatting sqref="Q94">
    <cfRule type="expression" dxfId="2613" priority="462">
      <formula>IF(R94=FALSE,TRUE,FALSE)</formula>
    </cfRule>
  </conditionalFormatting>
  <conditionalFormatting sqref="N98">
    <cfRule type="expression" dxfId="2612" priority="453">
      <formula>IF($N98="Compliant",TRUE)</formula>
    </cfRule>
    <cfRule type="expression" dxfId="2611" priority="454">
      <formula>IF($N98="FE with work-a-round",TRUE)</formula>
    </cfRule>
    <cfRule type="expression" dxfId="2610" priority="455">
      <formula>IF($N98="Functionally Equivalent",TRUE)</formula>
    </cfRule>
    <cfRule type="expression" dxfId="2609" priority="456">
      <formula>IF($N98="Likely to become compliant",TRUE)</formula>
    </cfRule>
    <cfRule type="expression" dxfId="2608" priority="457">
      <formula>IF($N98="Partly Compliant",TRUE)</formula>
    </cfRule>
    <cfRule type="expression" dxfId="2607" priority="458">
      <formula>IF($N98="Unknown/Missing",TRUE)</formula>
    </cfRule>
    <cfRule type="expression" dxfId="2606" priority="459">
      <formula>IF($N98="Not Required/Applicable",TRUE)</formula>
    </cfRule>
    <cfRule type="expression" dxfId="2605" priority="460">
      <formula>IF($N98="Not Compliant",TRUE)</formula>
    </cfRule>
    <cfRule type="expression" dxfId="2604" priority="461">
      <formula>IF($N98=" ",TRUE)</formula>
    </cfRule>
  </conditionalFormatting>
  <conditionalFormatting sqref="Q98">
    <cfRule type="expression" dxfId="2603" priority="443">
      <formula>IF(R98=TRUE,TRUE,FALSE)</formula>
    </cfRule>
  </conditionalFormatting>
  <conditionalFormatting sqref="Q98">
    <cfRule type="expression" dxfId="2602" priority="442">
      <formula>IF(R98=FALSE,TRUE,FALSE)</formula>
    </cfRule>
  </conditionalFormatting>
  <conditionalFormatting sqref="N101">
    <cfRule type="expression" dxfId="2601" priority="433">
      <formula>IF($N101="Compliant",TRUE)</formula>
    </cfRule>
    <cfRule type="expression" dxfId="2600" priority="434">
      <formula>IF($N101="FE with work-a-round",TRUE)</formula>
    </cfRule>
    <cfRule type="expression" dxfId="2599" priority="435">
      <formula>IF($N101="Functionally Equivalent",TRUE)</formula>
    </cfRule>
    <cfRule type="expression" dxfId="2598" priority="436">
      <formula>IF($N101="Likely to become compliant",TRUE)</formula>
    </cfRule>
    <cfRule type="expression" dxfId="2597" priority="437">
      <formula>IF($N101="Partly Compliant",TRUE)</formula>
    </cfRule>
    <cfRule type="expression" dxfId="2596" priority="438">
      <formula>IF($N101="Unknown/Missing",TRUE)</formula>
    </cfRule>
    <cfRule type="expression" dxfId="2595" priority="439">
      <formula>IF($N101="Not Required/Applicable",TRUE)</formula>
    </cfRule>
    <cfRule type="expression" dxfId="2594" priority="440">
      <formula>IF($N101="Not Compliant",TRUE)</formula>
    </cfRule>
    <cfRule type="expression" dxfId="2593" priority="441">
      <formula>IF($N101=" ",TRUE)</formula>
    </cfRule>
  </conditionalFormatting>
  <conditionalFormatting sqref="Q101">
    <cfRule type="expression" dxfId="2592" priority="423">
      <formula>IF(R101=TRUE,TRUE,FALSE)</formula>
    </cfRule>
  </conditionalFormatting>
  <conditionalFormatting sqref="Q101">
    <cfRule type="expression" dxfId="2591" priority="422">
      <formula>IF(R101=FALSE,TRUE,FALSE)</formula>
    </cfRule>
  </conditionalFormatting>
  <conditionalFormatting sqref="N110">
    <cfRule type="expression" dxfId="2590" priority="413">
      <formula>IF($N110="Compliant",TRUE)</formula>
    </cfRule>
    <cfRule type="expression" dxfId="2589" priority="414">
      <formula>IF($N110="FE with work-a-round",TRUE)</formula>
    </cfRule>
    <cfRule type="expression" dxfId="2588" priority="415">
      <formula>IF($N110="Functionally Equivalent",TRUE)</formula>
    </cfRule>
    <cfRule type="expression" dxfId="2587" priority="416">
      <formula>IF($N110="Likely to become compliant",TRUE)</formula>
    </cfRule>
    <cfRule type="expression" dxfId="2586" priority="417">
      <formula>IF($N110="Partly Compliant",TRUE)</formula>
    </cfRule>
    <cfRule type="expression" dxfId="2585" priority="418">
      <formula>IF($N110="Unknown/Missing",TRUE)</formula>
    </cfRule>
    <cfRule type="expression" dxfId="2584" priority="419">
      <formula>IF($N110="Not Required/Applicable",TRUE)</formula>
    </cfRule>
    <cfRule type="expression" dxfId="2583" priority="420">
      <formula>IF($N110="Not Compliant",TRUE)</formula>
    </cfRule>
    <cfRule type="expression" dxfId="2582" priority="421">
      <formula>IF($N110=" ",TRUE)</formula>
    </cfRule>
  </conditionalFormatting>
  <conditionalFormatting sqref="N111">
    <cfRule type="expression" dxfId="2581" priority="386">
      <formula>IF($N111="Compliant",TRUE)</formula>
    </cfRule>
    <cfRule type="expression" dxfId="2580" priority="387">
      <formula>IF($N111="FE with work-a-round",TRUE)</formula>
    </cfRule>
    <cfRule type="expression" dxfId="2579" priority="388">
      <formula>IF($N111="Functionally Equivalent",TRUE)</formula>
    </cfRule>
    <cfRule type="expression" dxfId="2578" priority="389">
      <formula>IF($N111="Likely to become compliant",TRUE)</formula>
    </cfRule>
    <cfRule type="expression" dxfId="2577" priority="390">
      <formula>IF($N111="Partly Compliant",TRUE)</formula>
    </cfRule>
    <cfRule type="expression" dxfId="2576" priority="391">
      <formula>IF($N111="Unknown/Missing",TRUE)</formula>
    </cfRule>
    <cfRule type="expression" dxfId="2575" priority="392">
      <formula>IF($N111="Not Required/Applicable",TRUE)</formula>
    </cfRule>
    <cfRule type="expression" dxfId="2574" priority="393">
      <formula>IF($N111="Not Compliant",TRUE)</formula>
    </cfRule>
    <cfRule type="expression" dxfId="2573" priority="394">
      <formula>IF($N111=" ",TRUE)</formula>
    </cfRule>
  </conditionalFormatting>
  <conditionalFormatting sqref="O115">
    <cfRule type="expression" dxfId="2572" priority="364">
      <formula>IF(AND($E115=TRUE,$I115="Valid Entry required below - Check amber box",#REF!="Compliant"),TRUE,FALSE)</formula>
    </cfRule>
    <cfRule type="expression" dxfId="2571" priority="365">
      <formula>IF(AND($E115=TRUE,$I115="Valid Entry made below",#REF!="Compliant"),TRUE,FALSE)</formula>
    </cfRule>
    <cfRule type="expression" dxfId="2570" priority="366">
      <formula>IF(AND($E115=FALSE,#REF!&lt;&gt;""),TRUE,FALSE)</formula>
    </cfRule>
    <cfRule type="expression" dxfId="2569" priority="367">
      <formula>IF(AND($I115&lt;&gt;"",#REF!&lt;&gt;""),TRUE,FALSE)</formula>
    </cfRule>
  </conditionalFormatting>
  <conditionalFormatting sqref="N115">
    <cfRule type="expression" dxfId="2568" priority="362">
      <formula>IF(O115=FALSE,TRUE,FALSE)</formula>
    </cfRule>
    <cfRule type="expression" dxfId="2567" priority="363">
      <formula>IF(O115=TRUE,TRUE,FALSE)</formula>
    </cfRule>
  </conditionalFormatting>
  <conditionalFormatting sqref="Q115">
    <cfRule type="expression" dxfId="2566" priority="361">
      <formula>IF(R115=TRUE,TRUE,FALSE)</formula>
    </cfRule>
  </conditionalFormatting>
  <conditionalFormatting sqref="V115">
    <cfRule type="expression" dxfId="2565" priority="358">
      <formula>IF(W115=FALSE,TRUE,FALSE)</formula>
    </cfRule>
    <cfRule type="expression" dxfId="2564" priority="359">
      <formula>IF(W115=TRUE,TRUE,FALSE)</formula>
    </cfRule>
  </conditionalFormatting>
  <conditionalFormatting sqref="Q115">
    <cfRule type="expression" dxfId="2563" priority="360">
      <formula>IF(R115=FALSE,TRUE,FALSE)</formula>
    </cfRule>
  </conditionalFormatting>
  <conditionalFormatting sqref="N116">
    <cfRule type="expression" dxfId="2562" priority="349">
      <formula>IF($N116="Compliant",TRUE)</formula>
    </cfRule>
    <cfRule type="expression" dxfId="2561" priority="350">
      <formula>IF($N116="FE with work-a-round",TRUE)</formula>
    </cfRule>
    <cfRule type="expression" dxfId="2560" priority="351">
      <formula>IF($N116="Functionally Equivalent",TRUE)</formula>
    </cfRule>
    <cfRule type="expression" dxfId="2559" priority="352">
      <formula>IF($N116="Likely to become compliant",TRUE)</formula>
    </cfRule>
    <cfRule type="expression" dxfId="2558" priority="353">
      <formula>IF($N116="Partly Compliant",TRUE)</formula>
    </cfRule>
    <cfRule type="expression" dxfId="2557" priority="354">
      <formula>IF($N116="Unknown/Missing",TRUE)</formula>
    </cfRule>
    <cfRule type="expression" dxfId="2556" priority="355">
      <formula>IF($N116="Not Required/Applicable",TRUE)</formula>
    </cfRule>
    <cfRule type="expression" dxfId="2555" priority="356">
      <formula>IF($N116="Not Compliant",TRUE)</formula>
    </cfRule>
    <cfRule type="expression" dxfId="2554" priority="357">
      <formula>IF($N116=" ",TRUE)</formula>
    </cfRule>
  </conditionalFormatting>
  <conditionalFormatting sqref="Q116">
    <cfRule type="expression" dxfId="2553" priority="339">
      <formula>IF(R116=TRUE,TRUE,FALSE)</formula>
    </cfRule>
  </conditionalFormatting>
  <conditionalFormatting sqref="Q116">
    <cfRule type="expression" dxfId="2552" priority="338">
      <formula>IF(R116=FALSE,TRUE,FALSE)</formula>
    </cfRule>
  </conditionalFormatting>
  <conditionalFormatting sqref="N120">
    <cfRule type="expression" dxfId="2551" priority="329">
      <formula>IF($N120="Compliant",TRUE)</formula>
    </cfRule>
    <cfRule type="expression" dxfId="2550" priority="330">
      <formula>IF($N120="FE with work-a-round",TRUE)</formula>
    </cfRule>
    <cfRule type="expression" dxfId="2549" priority="331">
      <formula>IF($N120="Functionally Equivalent",TRUE)</formula>
    </cfRule>
    <cfRule type="expression" dxfId="2548" priority="332">
      <formula>IF($N120="Likely to become compliant",TRUE)</formula>
    </cfRule>
    <cfRule type="expression" dxfId="2547" priority="333">
      <formula>IF($N120="Partly Compliant",TRUE)</formula>
    </cfRule>
    <cfRule type="expression" dxfId="2546" priority="334">
      <formula>IF($N120="Unknown/Missing",TRUE)</formula>
    </cfRule>
    <cfRule type="expression" dxfId="2545" priority="335">
      <formula>IF($N120="Not Required/Applicable",TRUE)</formula>
    </cfRule>
    <cfRule type="expression" dxfId="2544" priority="336">
      <formula>IF($N120="Not Compliant",TRUE)</formula>
    </cfRule>
    <cfRule type="expression" dxfId="2543" priority="337">
      <formula>IF($N120=" ",TRUE)</formula>
    </cfRule>
  </conditionalFormatting>
  <conditionalFormatting sqref="Q120">
    <cfRule type="expression" dxfId="2542" priority="319">
      <formula>IF(R120=TRUE,TRUE,FALSE)</formula>
    </cfRule>
  </conditionalFormatting>
  <conditionalFormatting sqref="Q120">
    <cfRule type="expression" dxfId="2541" priority="318">
      <formula>IF(R120=FALSE,TRUE,FALSE)</formula>
    </cfRule>
  </conditionalFormatting>
  <conditionalFormatting sqref="O162">
    <cfRule type="expression" dxfId="2540" priority="314">
      <formula>IF(AND($E162=TRUE,$I162="Valid Entry required below - Check amber box",#REF!="Compliant"),TRUE,FALSE)</formula>
    </cfRule>
    <cfRule type="expression" dxfId="2539" priority="315">
      <formula>IF(AND($E162=TRUE,$I162="Valid Entry made below",#REF!="Compliant"),TRUE,FALSE)</formula>
    </cfRule>
    <cfRule type="expression" dxfId="2538" priority="316">
      <formula>IF(AND($E162=FALSE,#REF!&lt;&gt;""),TRUE,FALSE)</formula>
    </cfRule>
    <cfRule type="expression" dxfId="2537" priority="317">
      <formula>IF(AND($I162&lt;&gt;"",#REF!&lt;&gt;""),TRUE,FALSE)</formula>
    </cfRule>
  </conditionalFormatting>
  <conditionalFormatting sqref="N162">
    <cfRule type="expression" dxfId="2536" priority="312">
      <formula>IF(O162=FALSE,TRUE,FALSE)</formula>
    </cfRule>
    <cfRule type="expression" dxfId="2535" priority="313">
      <formula>IF(O162=TRUE,TRUE,FALSE)</formula>
    </cfRule>
  </conditionalFormatting>
  <conditionalFormatting sqref="Q162">
    <cfRule type="expression" dxfId="2534" priority="311">
      <formula>IF(R162=TRUE,TRUE,FALSE)</formula>
    </cfRule>
  </conditionalFormatting>
  <conditionalFormatting sqref="V162">
    <cfRule type="expression" dxfId="2533" priority="308">
      <formula>IF(W162=FALSE,TRUE,FALSE)</formula>
    </cfRule>
    <cfRule type="expression" dxfId="2532" priority="309">
      <formula>IF(W162=TRUE,TRUE,FALSE)</formula>
    </cfRule>
  </conditionalFormatting>
  <conditionalFormatting sqref="Q162">
    <cfRule type="expression" dxfId="2531" priority="310">
      <formula>IF(R162=FALSE,TRUE,FALSE)</formula>
    </cfRule>
  </conditionalFormatting>
  <conditionalFormatting sqref="N163">
    <cfRule type="expression" dxfId="2530" priority="299">
      <formula>IF($N163="Compliant",TRUE)</formula>
    </cfRule>
    <cfRule type="expression" dxfId="2529" priority="300">
      <formula>IF($N163="FE with work-a-round",TRUE)</formula>
    </cfRule>
    <cfRule type="expression" dxfId="2528" priority="301">
      <formula>IF($N163="Functionally Equivalent",TRUE)</formula>
    </cfRule>
    <cfRule type="expression" dxfId="2527" priority="302">
      <formula>IF($N163="Likely to become compliant",TRUE)</formula>
    </cfRule>
    <cfRule type="expression" dxfId="2526" priority="303">
      <formula>IF($N163="Partly Compliant",TRUE)</formula>
    </cfRule>
    <cfRule type="expression" dxfId="2525" priority="304">
      <formula>IF($N163="Unknown/Missing",TRUE)</formula>
    </cfRule>
    <cfRule type="expression" dxfId="2524" priority="305">
      <formula>IF($N163="Not Required/Applicable",TRUE)</formula>
    </cfRule>
    <cfRule type="expression" dxfId="2523" priority="306">
      <formula>IF($N163="Not Compliant",TRUE)</formula>
    </cfRule>
    <cfRule type="expression" dxfId="2522" priority="307">
      <formula>IF($N163=" ",TRUE)</formula>
    </cfRule>
  </conditionalFormatting>
  <conditionalFormatting sqref="Q163">
    <cfRule type="expression" dxfId="2521" priority="289">
      <formula>IF(R163=TRUE,TRUE,FALSE)</formula>
    </cfRule>
  </conditionalFormatting>
  <conditionalFormatting sqref="Q163">
    <cfRule type="expression" dxfId="2520" priority="288">
      <formula>IF(R163=FALSE,TRUE,FALSE)</formula>
    </cfRule>
  </conditionalFormatting>
  <conditionalFormatting sqref="N173">
    <cfRule type="expression" dxfId="2519" priority="279">
      <formula>IF($N173="Compliant",TRUE)</formula>
    </cfRule>
    <cfRule type="expression" dxfId="2518" priority="280">
      <formula>IF($N173="FE with work-a-round",TRUE)</formula>
    </cfRule>
    <cfRule type="expression" dxfId="2517" priority="281">
      <formula>IF($N173="Functionally Equivalent",TRUE)</formula>
    </cfRule>
    <cfRule type="expression" dxfId="2516" priority="282">
      <formula>IF($N173="Likely to become compliant",TRUE)</formula>
    </cfRule>
    <cfRule type="expression" dxfId="2515" priority="283">
      <formula>IF($N173="Partly Compliant",TRUE)</formula>
    </cfRule>
    <cfRule type="expression" dxfId="2514" priority="284">
      <formula>IF($N173="Unknown/Missing",TRUE)</formula>
    </cfRule>
    <cfRule type="expression" dxfId="2513" priority="285">
      <formula>IF($N173="Not Required/Applicable",TRUE)</formula>
    </cfRule>
    <cfRule type="expression" dxfId="2512" priority="286">
      <formula>IF($N173="Not Compliant",TRUE)</formula>
    </cfRule>
    <cfRule type="expression" dxfId="2511" priority="287">
      <formula>IF($N173=" ",TRUE)</formula>
    </cfRule>
  </conditionalFormatting>
  <conditionalFormatting sqref="Q173">
    <cfRule type="expression" dxfId="2510" priority="269">
      <formula>IF(R173=TRUE,TRUE,FALSE)</formula>
    </cfRule>
  </conditionalFormatting>
  <conditionalFormatting sqref="Q173">
    <cfRule type="expression" dxfId="2509" priority="268">
      <formula>IF(R173=FALSE,TRUE,FALSE)</formula>
    </cfRule>
  </conditionalFormatting>
  <conditionalFormatting sqref="O188">
    <cfRule type="expression" dxfId="2508" priority="264">
      <formula>IF(AND($E188=TRUE,$I188="Valid Entry required below - Check amber box",#REF!="Compliant"),TRUE,FALSE)</formula>
    </cfRule>
    <cfRule type="expression" dxfId="2507" priority="265">
      <formula>IF(AND($E188=TRUE,$I188="Valid Entry made below",#REF!="Compliant"),TRUE,FALSE)</formula>
    </cfRule>
    <cfRule type="expression" dxfId="2506" priority="266">
      <formula>IF(AND($E188=FALSE,#REF!&lt;&gt;""),TRUE,FALSE)</formula>
    </cfRule>
    <cfRule type="expression" dxfId="2505" priority="267">
      <formula>IF(AND($I188&lt;&gt;"",#REF!&lt;&gt;""),TRUE,FALSE)</formula>
    </cfRule>
  </conditionalFormatting>
  <conditionalFormatting sqref="N188">
    <cfRule type="expression" dxfId="2504" priority="262">
      <formula>IF(O188=FALSE,TRUE,FALSE)</formula>
    </cfRule>
    <cfRule type="expression" dxfId="2503" priority="263">
      <formula>IF(O188=TRUE,TRUE,FALSE)</formula>
    </cfRule>
  </conditionalFormatting>
  <conditionalFormatting sqref="Q188">
    <cfRule type="expression" dxfId="2502" priority="261">
      <formula>IF(R188=TRUE,TRUE,FALSE)</formula>
    </cfRule>
  </conditionalFormatting>
  <conditionalFormatting sqref="V188">
    <cfRule type="expression" dxfId="2501" priority="258">
      <formula>IF(W188=FALSE,TRUE,FALSE)</formula>
    </cfRule>
    <cfRule type="expression" dxfId="2500" priority="259">
      <formula>IF(W188=TRUE,TRUE,FALSE)</formula>
    </cfRule>
  </conditionalFormatting>
  <conditionalFormatting sqref="Q188">
    <cfRule type="expression" dxfId="2499" priority="260">
      <formula>IF(R188=FALSE,TRUE,FALSE)</formula>
    </cfRule>
  </conditionalFormatting>
  <conditionalFormatting sqref="N189">
    <cfRule type="expression" dxfId="2498" priority="249">
      <formula>IF($N189="Compliant",TRUE)</formula>
    </cfRule>
    <cfRule type="expression" dxfId="2497" priority="250">
      <formula>IF($N189="FE with work-a-round",TRUE)</formula>
    </cfRule>
    <cfRule type="expression" dxfId="2496" priority="251">
      <formula>IF($N189="Functionally Equivalent",TRUE)</formula>
    </cfRule>
    <cfRule type="expression" dxfId="2495" priority="252">
      <formula>IF($N189="Likely to become compliant",TRUE)</formula>
    </cfRule>
    <cfRule type="expression" dxfId="2494" priority="253">
      <formula>IF($N189="Partly Compliant",TRUE)</formula>
    </cfRule>
    <cfRule type="expression" dxfId="2493" priority="254">
      <formula>IF($N189="Unknown/Missing",TRUE)</formula>
    </cfRule>
    <cfRule type="expression" dxfId="2492" priority="255">
      <formula>IF($N189="Not Required/Applicable",TRUE)</formula>
    </cfRule>
    <cfRule type="expression" dxfId="2491" priority="256">
      <formula>IF($N189="Not Compliant",TRUE)</formula>
    </cfRule>
    <cfRule type="expression" dxfId="2490" priority="257">
      <formula>IF($N189=" ",TRUE)</formula>
    </cfRule>
  </conditionalFormatting>
  <conditionalFormatting sqref="Q189">
    <cfRule type="expression" dxfId="2489" priority="239">
      <formula>IF(R189=TRUE,TRUE,FALSE)</formula>
    </cfRule>
  </conditionalFormatting>
  <conditionalFormatting sqref="Q189">
    <cfRule type="expression" dxfId="2488" priority="238">
      <formula>IF(R189=FALSE,TRUE,FALSE)</formula>
    </cfRule>
  </conditionalFormatting>
  <conditionalFormatting sqref="N194">
    <cfRule type="expression" dxfId="2487" priority="229">
      <formula>IF($N194="Compliant",TRUE)</formula>
    </cfRule>
    <cfRule type="expression" dxfId="2486" priority="230">
      <formula>IF($N194="FE with work-a-round",TRUE)</formula>
    </cfRule>
    <cfRule type="expression" dxfId="2485" priority="231">
      <formula>IF($N194="Functionally Equivalent",TRUE)</formula>
    </cfRule>
    <cfRule type="expression" dxfId="2484" priority="232">
      <formula>IF($N194="Likely to become compliant",TRUE)</formula>
    </cfRule>
    <cfRule type="expression" dxfId="2483" priority="233">
      <formula>IF($N194="Partly Compliant",TRUE)</formula>
    </cfRule>
    <cfRule type="expression" dxfId="2482" priority="234">
      <formula>IF($N194="Unknown/Missing",TRUE)</formula>
    </cfRule>
    <cfRule type="expression" dxfId="2481" priority="235">
      <formula>IF($N194="Not Required/Applicable",TRUE)</formula>
    </cfRule>
    <cfRule type="expression" dxfId="2480" priority="236">
      <formula>IF($N194="Not Compliant",TRUE)</formula>
    </cfRule>
    <cfRule type="expression" dxfId="2479" priority="237">
      <formula>IF($N194=" ",TRUE)</formula>
    </cfRule>
  </conditionalFormatting>
  <conditionalFormatting sqref="Q194">
    <cfRule type="expression" dxfId="2478" priority="219">
      <formula>IF(R194=TRUE,TRUE,FALSE)</formula>
    </cfRule>
  </conditionalFormatting>
  <conditionalFormatting sqref="Q194">
    <cfRule type="expression" dxfId="2477" priority="218">
      <formula>IF(R194=FALSE,TRUE,FALSE)</formula>
    </cfRule>
  </conditionalFormatting>
  <conditionalFormatting sqref="B194 D194 B188:B189 D188:D189 B173 D173 B162:B163 D162:D163">
    <cfRule type="expression" dxfId="2476" priority="125">
      <formula>IF($E162,TRUE)</formula>
    </cfRule>
  </conditionalFormatting>
  <conditionalFormatting sqref="B195:B201 B190:B193 B174:B187 B164:B172">
    <cfRule type="expression" dxfId="2475" priority="122">
      <formula>IF(AND($E164=FALSE,OR($I164&lt;&gt;"",$L164&lt;&gt;"")),TRUE,FALSE)</formula>
    </cfRule>
    <cfRule type="expression" dxfId="2474" priority="123">
      <formula>IF(AND($E164=TRUE,$I164&lt;&gt;"",$L164&lt;&gt;""),TRUE,FALSE)</formula>
    </cfRule>
    <cfRule type="expression" dxfId="2473" priority="124">
      <formula>IF(AND($E164=TRUE,OR($I164="",$L164="")),TRUE,FALSE)</formula>
    </cfRule>
  </conditionalFormatting>
  <conditionalFormatting sqref="V194 V189 V173 V163 V120 V116 V110:V111 V101 V98 V94 V87 V83 V73 V65 V57 V53 V48">
    <cfRule type="expression" dxfId="2472" priority="77">
      <formula>IF(V48="Compliant",TRUE)</formula>
    </cfRule>
    <cfRule type="expression" dxfId="2471" priority="78">
      <formula>IF(V48="FE with work-a-round",TRUE)</formula>
    </cfRule>
    <cfRule type="expression" dxfId="2470" priority="79">
      <formula>IF(V48="Functionally Equivalent",TRUE)</formula>
    </cfRule>
    <cfRule type="expression" dxfId="2469" priority="80">
      <formula>IF(V48="Likely to become compliant",TRUE)</formula>
    </cfRule>
    <cfRule type="expression" dxfId="2468" priority="81">
      <formula>IF(V48="Partly Compliant",TRUE)</formula>
    </cfRule>
    <cfRule type="expression" dxfId="2467" priority="82">
      <formula>IF(V48="Unknown/Missing",TRUE)</formula>
    </cfRule>
    <cfRule type="expression" dxfId="2466" priority="83">
      <formula>IF(V48="Not Required/Applicable",TRUE)</formula>
    </cfRule>
    <cfRule type="expression" dxfId="2465" priority="84">
      <formula>IF(V48="Not Compliant",TRUE)</formula>
    </cfRule>
    <cfRule type="expression" dxfId="2464" priority="85">
      <formula>IF($N48=" ",TRUE)</formula>
    </cfRule>
  </conditionalFormatting>
  <conditionalFormatting sqref="Q195:Q201 Q190:Q193 Q174:Q187 Q164:Q172 Q121:Q158 Q117:Q119 Q110:Q111 Q102:Q107 Q99:Q100 Q95:Q97 Q89:Q93 Q84:Q86 Q74:Q77 Q67:Q69 Q58:Q61 Q54:Q56 Q49:Q52 Q44:Q47 Q39">
    <cfRule type="expression" dxfId="2463" priority="59">
      <formula>IF(Q39="Compliant",TRUE)</formula>
    </cfRule>
    <cfRule type="expression" dxfId="2462" priority="60">
      <formula>IF(Q39="FE with work-a-round",TRUE)</formula>
    </cfRule>
    <cfRule type="expression" dxfId="2461" priority="61">
      <formula>IF(Q39="Functionally Equivalent",TRUE)</formula>
    </cfRule>
    <cfRule type="expression" dxfId="2460" priority="62">
      <formula>IF($Q39="Likely to become compliant",TRUE)</formula>
    </cfRule>
    <cfRule type="expression" dxfId="2459" priority="63">
      <formula>IF($Q39="Partly Compliant",TRUE)</formula>
    </cfRule>
    <cfRule type="expression" dxfId="2458" priority="64">
      <formula>IF($Q39="Unknown/Missing",TRUE)</formula>
    </cfRule>
    <cfRule type="expression" dxfId="2457" priority="65">
      <formula>IF($Q39="Not Required/Applicable",TRUE)</formula>
    </cfRule>
    <cfRule type="expression" dxfId="2456" priority="66">
      <formula>IF(Q39="Not Compliant",TRUE)</formula>
    </cfRule>
    <cfRule type="expression" dxfId="2455" priority="67">
      <formula>IF(Q39=" ",TRUE)</formula>
    </cfRule>
  </conditionalFormatting>
  <conditionalFormatting sqref="D24:D26">
    <cfRule type="beginsWith" dxfId="2454" priority="51" operator="beginsWith" text="Likely">
      <formula>LEFT(D24,LEN("Likely"))="Likely"</formula>
    </cfRule>
    <cfRule type="beginsWith" dxfId="2453" priority="52" operator="beginsWith" text="Not Applicable">
      <formula>LEFT(D24,LEN("Not Applicable"))="Not Applicable"</formula>
    </cfRule>
    <cfRule type="beginsWith" dxfId="2452" priority="53" operator="beginsWith" text="Applicable">
      <formula>LEFT(D24,LEN("Applicable"))="Applicable"</formula>
    </cfRule>
    <cfRule type="beginsWith" dxfId="2451" priority="54" operator="beginsWith" text="Partly">
      <formula>LEFT(D24,LEN("Partly"))="Partly"</formula>
    </cfRule>
    <cfRule type="beginsWith" dxfId="2450" priority="55" operator="beginsWith" text="Missing">
      <formula>LEFT(D24,LEN("Missing"))="Missing"</formula>
    </cfRule>
    <cfRule type="beginsWith" dxfId="2449" priority="56" operator="beginsWith" text="Not">
      <formula>LEFT(D24,LEN("Not"))="Not"</formula>
    </cfRule>
    <cfRule type="beginsWith" dxfId="2448" priority="57" operator="beginsWith" text="Compliant">
      <formula>LEFT(D24,LEN("Compliant"))="Compliant"</formula>
    </cfRule>
    <cfRule type="containsText" dxfId="2447" priority="58" operator="containsText" text="Equivalent">
      <formula>NOT(ISERROR(SEARCH("Equivalent",D24)))</formula>
    </cfRule>
  </conditionalFormatting>
  <conditionalFormatting sqref="N24:N26">
    <cfRule type="beginsWith" dxfId="2446" priority="43" operator="beginsWith" text="Likely">
      <formula>LEFT(N24,LEN("Likely"))="Likely"</formula>
    </cfRule>
    <cfRule type="beginsWith" dxfId="2445" priority="44" operator="beginsWith" text="Not Applicable">
      <formula>LEFT(N24,LEN("Not Applicable"))="Not Applicable"</formula>
    </cfRule>
    <cfRule type="beginsWith" dxfId="2444" priority="45" operator="beginsWith" text="Applicable">
      <formula>LEFT(N24,LEN("Applicable"))="Applicable"</formula>
    </cfRule>
    <cfRule type="beginsWith" dxfId="2443" priority="46" operator="beginsWith" text="Partly">
      <formula>LEFT(N24,LEN("Partly"))="Partly"</formula>
    </cfRule>
    <cfRule type="beginsWith" dxfId="2442" priority="47" operator="beginsWith" text="Missing">
      <formula>LEFT(N24,LEN("Missing"))="Missing"</formula>
    </cfRule>
    <cfRule type="beginsWith" dxfId="2441" priority="48" operator="beginsWith" text="Not">
      <formula>LEFT(N24,LEN("Not"))="Not"</formula>
    </cfRule>
    <cfRule type="beginsWith" dxfId="2440" priority="49" operator="beginsWith" text="Compliant">
      <formula>LEFT(N24,LEN("Compliant"))="Compliant"</formula>
    </cfRule>
    <cfRule type="containsText" dxfId="2439" priority="50" operator="containsText" text="Equivalent">
      <formula>NOT(ISERROR(SEARCH("Equivalent",N24)))</formula>
    </cfRule>
  </conditionalFormatting>
  <conditionalFormatting sqref="V24:V26">
    <cfRule type="beginsWith" dxfId="2438" priority="35" operator="beginsWith" text="Likely">
      <formula>LEFT(V24,LEN("Likely"))="Likely"</formula>
    </cfRule>
    <cfRule type="beginsWith" dxfId="2437" priority="36" operator="beginsWith" text="Not Applicable">
      <formula>LEFT(V24,LEN("Not Applicable"))="Not Applicable"</formula>
    </cfRule>
    <cfRule type="beginsWith" dxfId="2436" priority="37" operator="beginsWith" text="Applicable">
      <formula>LEFT(V24,LEN("Applicable"))="Applicable"</formula>
    </cfRule>
    <cfRule type="beginsWith" dxfId="2435" priority="38" operator="beginsWith" text="Partly">
      <formula>LEFT(V24,LEN("Partly"))="Partly"</formula>
    </cfRule>
    <cfRule type="beginsWith" dxfId="2434" priority="39" operator="beginsWith" text="Missing">
      <formula>LEFT(V24,LEN("Missing"))="Missing"</formula>
    </cfRule>
    <cfRule type="beginsWith" dxfId="2433" priority="40" operator="beginsWith" text="Not">
      <formula>LEFT(V24,LEN("Not"))="Not"</formula>
    </cfRule>
    <cfRule type="beginsWith" dxfId="2432" priority="41" operator="beginsWith" text="Compliant">
      <formula>LEFT(V24,LEN("Compliant"))="Compliant"</formula>
    </cfRule>
    <cfRule type="containsText" dxfId="2431" priority="42" operator="containsText" text="Equivalent">
      <formula>NOT(ISERROR(SEARCH("Equivalent",V24)))</formula>
    </cfRule>
  </conditionalFormatting>
  <conditionalFormatting sqref="Q24:Q26">
    <cfRule type="beginsWith" dxfId="2430" priority="27" operator="beginsWith" text="Likely">
      <formula>LEFT(Q24,LEN("Likely"))="Likely"</formula>
    </cfRule>
    <cfRule type="beginsWith" dxfId="2429" priority="28" operator="beginsWith" text="Not Applicable">
      <formula>LEFT(Q24,LEN("Not Applicable"))="Not Applicable"</formula>
    </cfRule>
    <cfRule type="beginsWith" dxfId="2428" priority="29" operator="beginsWith" text="Applicable">
      <formula>LEFT(Q24,LEN("Applicable"))="Applicable"</formula>
    </cfRule>
    <cfRule type="beginsWith" dxfId="2427" priority="30" operator="beginsWith" text="Partly">
      <formula>LEFT(Q24,LEN("Partly"))="Partly"</formula>
    </cfRule>
    <cfRule type="beginsWith" dxfId="2426" priority="31" operator="beginsWith" text="Missing">
      <formula>LEFT(Q24,LEN("Missing"))="Missing"</formula>
    </cfRule>
    <cfRule type="beginsWith" dxfId="2425" priority="32" operator="beginsWith" text="Not">
      <formula>LEFT(Q24,LEN("Not"))="Not"</formula>
    </cfRule>
    <cfRule type="beginsWith" dxfId="2424" priority="33" operator="beginsWith" text="Compliant">
      <formula>LEFT(Q24,LEN("Compliant"))="Compliant"</formula>
    </cfRule>
    <cfRule type="containsText" dxfId="2423" priority="34" operator="containsText" text="Equivalent">
      <formula>NOT(ISERROR(SEARCH("Equivalent",Q24)))</formula>
    </cfRule>
  </conditionalFormatting>
  <conditionalFormatting sqref="D17:D20">
    <cfRule type="beginsWith" dxfId="2422" priority="19" operator="beginsWith" text="Likely">
      <formula>LEFT(D17,LEN("Likely"))="Likely"</formula>
    </cfRule>
    <cfRule type="beginsWith" dxfId="2421" priority="20" operator="beginsWith" text="Not Applicable">
      <formula>LEFT(D17,LEN("Not Applicable"))="Not Applicable"</formula>
    </cfRule>
    <cfRule type="beginsWith" dxfId="2420" priority="21" operator="beginsWith" text="Applicable">
      <formula>LEFT(D17,LEN("Applicable"))="Applicable"</formula>
    </cfRule>
    <cfRule type="beginsWith" dxfId="2419" priority="22" operator="beginsWith" text="Partly">
      <formula>LEFT(D17,LEN("Partly"))="Partly"</formula>
    </cfRule>
    <cfRule type="beginsWith" dxfId="2418" priority="23" operator="beginsWith" text="Missing">
      <formula>LEFT(D17,LEN("Missing"))="Missing"</formula>
    </cfRule>
    <cfRule type="beginsWith" dxfId="2417" priority="24" operator="beginsWith" text="Not">
      <formula>LEFT(D17,LEN("Not"))="Not"</formula>
    </cfRule>
    <cfRule type="beginsWith" dxfId="2416" priority="25" operator="beginsWith" text="Compliant">
      <formula>LEFT(D17,LEN("Compliant"))="Compliant"</formula>
    </cfRule>
    <cfRule type="containsText" dxfId="2415" priority="26" operator="containsText" text="Equivalent">
      <formula>NOT(ISERROR(SEARCH("Equivalent",D17)))</formula>
    </cfRule>
  </conditionalFormatting>
  <conditionalFormatting sqref="V17:V20 Q17:Q20 N17:N20">
    <cfRule type="beginsWith" dxfId="2414" priority="11" operator="beginsWith" text="Likely">
      <formula>LEFT(N17,LEN("Likely"))="Likely"</formula>
    </cfRule>
    <cfRule type="beginsWith" dxfId="2413" priority="12" operator="beginsWith" text="Not Applicable">
      <formula>LEFT(N17,LEN("Not Applicable"))="Not Applicable"</formula>
    </cfRule>
    <cfRule type="beginsWith" dxfId="2412" priority="13" operator="beginsWith" text="Applicable">
      <formula>LEFT(N17,LEN("Applicable"))="Applicable"</formula>
    </cfRule>
    <cfRule type="beginsWith" dxfId="2411" priority="14" operator="beginsWith" text="Partly">
      <formula>LEFT(N17,LEN("Partly"))="Partly"</formula>
    </cfRule>
    <cfRule type="beginsWith" dxfId="2410" priority="15" operator="beginsWith" text="Missing">
      <formula>LEFT(N17,LEN("Missing"))="Missing"</formula>
    </cfRule>
    <cfRule type="beginsWith" dxfId="2409" priority="16" operator="beginsWith" text="Not">
      <formula>LEFT(N17,LEN("Not"))="Not"</formula>
    </cfRule>
    <cfRule type="beginsWith" dxfId="2408" priority="17" operator="beginsWith" text="Compliant">
      <formula>LEFT(N17,LEN("Compliant"))="Compliant"</formula>
    </cfRule>
    <cfRule type="containsText" dxfId="2407" priority="18" operator="containsText" text="Equivalent">
      <formula>NOT(ISERROR(SEARCH("Equivalent",N17)))</formula>
    </cfRule>
  </conditionalFormatting>
  <conditionalFormatting sqref="V37:V38 Q37:Q38 N37:N38 D37:D38">
    <cfRule type="beginsWith" dxfId="2406" priority="3" operator="beginsWith" text="Likely">
      <formula>LEFT(D37,LEN("Likely"))="Likely"</formula>
    </cfRule>
    <cfRule type="beginsWith" dxfId="2405" priority="4" operator="beginsWith" text="Not Applicable">
      <formula>LEFT(D37,LEN("Not Applicable"))="Not Applicable"</formula>
    </cfRule>
    <cfRule type="beginsWith" dxfId="2404" priority="5" operator="beginsWith" text="Applicable">
      <formula>LEFT(D37,LEN("Applicable"))="Applicable"</formula>
    </cfRule>
    <cfRule type="beginsWith" dxfId="2403" priority="6" operator="beginsWith" text="Partly">
      <formula>LEFT(D37,LEN("Partly"))="Partly"</formula>
    </cfRule>
    <cfRule type="beginsWith" dxfId="2402" priority="7" operator="beginsWith" text="Missing">
      <formula>LEFT(D37,LEN("Missing"))="Missing"</formula>
    </cfRule>
    <cfRule type="beginsWith" dxfId="2401" priority="8" operator="beginsWith" text="Not">
      <formula>LEFT(D37,LEN("Not"))="Not"</formula>
    </cfRule>
    <cfRule type="beginsWith" dxfId="2400" priority="9" operator="beginsWith" text="Compliant">
      <formula>LEFT(D37,LEN("Compliant"))="Compliant"</formula>
    </cfRule>
    <cfRule type="containsText" dxfId="2399" priority="10" operator="containsText" text="Equivalent">
      <formula>NOT(ISERROR(SEARCH("Equivalent",D37)))</formula>
    </cfRule>
  </conditionalFormatting>
  <conditionalFormatting sqref="D44:D45 D49:D52 D54:D56 D58:D60 D74:D77 D84:D86 D89:D93 D95:D97 D99:D100 D102:D107 D110:D111 D117:D119 D121:D158 D164:D172 D174:D187 D190:D193 D195:D201">
    <cfRule type="expression" dxfId="2398" priority="1101">
      <formula>IF($D44="Compliant",TRUE)</formula>
    </cfRule>
    <cfRule type="expression" dxfId="2397" priority="1102">
      <formula>IF($D44=" ",TRUE)</formula>
    </cfRule>
    <cfRule type="expression" dxfId="2396" priority="1108">
      <formula>IF($D44="Not Compliant",TRUE)</formula>
    </cfRule>
  </conditionalFormatting>
  <dataValidations count="2">
    <dataValidation type="list" allowBlank="1" showInputMessage="1" showErrorMessage="1" sqref="S129:S140 S121:S126 S112:S114 S102:S109 S117:S119">
      <formula1>MAO_Compliance_Submission</formula1>
    </dataValidation>
    <dataValidation type="list" allowBlank="1" showInputMessage="1" showErrorMessage="1" sqref="U129:U140 U121:U126 U112:U114 U102:U109 U117:U119">
      <formula1>Final_Compliance</formula1>
    </dataValidation>
  </dataValidations>
  <pageMargins left="0.7" right="0.7" top="0.75" bottom="0.75" header="0.3" footer="0.3"/>
  <pageSetup paperSize="9"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35" id="{F7EA3740-B4B4-42C2-9BA1-8F1F17169866}">
            <xm:f>ISNUMBER(SEARCH($D46,Dropdowns!$D$18))</xm:f>
            <x14:dxf>
              <fill>
                <patternFill>
                  <bgColor rgb="FFFFFF00"/>
                </patternFill>
              </fill>
            </x14:dxf>
          </x14:cfRule>
          <x14:cfRule type="expression" priority="1036" id="{C31E461F-9FCC-410B-9CFF-CBB1AF9467A4}">
            <xm:f>ISNUMBER(SEARCH($D46,Dropdowns!$D$19))</xm:f>
            <x14:dxf>
              <fill>
                <patternFill>
                  <bgColor theme="6" tint="0.39994506668294322"/>
                </patternFill>
              </fill>
            </x14:dxf>
          </x14:cfRule>
          <x14:cfRule type="expression" priority="1037" id="{970B3C0E-3412-4882-B838-E5147A1C4F04}">
            <xm:f>ISNUMBER(SEARCH($D46,Dropdowns!$D$20))</xm:f>
            <x14:dxf>
              <fill>
                <patternFill>
                  <bgColor theme="6" tint="0.39994506668294322"/>
                </patternFill>
              </fill>
            </x14:dxf>
          </x14:cfRule>
          <x14:cfRule type="expression" priority="1038" id="{5D826B5F-7BC0-4511-A085-803462B17BB3}">
            <xm:f>ISNUMBER(SEARCH($D46,Dropdowns!$D$21))</xm:f>
            <x14:dxf>
              <fill>
                <patternFill>
                  <bgColor rgb="FFFFFF00"/>
                </patternFill>
              </fill>
            </x14:dxf>
          </x14:cfRule>
          <x14:cfRule type="expression" priority="1039" id="{A405F28C-45CB-4B34-AF95-79C1A4764426}">
            <xm:f>ISNUMBER(SEARCH($D46,Dropdowns!$D$23))</xm:f>
            <x14:dxf>
              <fill>
                <patternFill>
                  <bgColor rgb="FFFFFF00"/>
                </patternFill>
              </fill>
            </x14:dxf>
          </x14:cfRule>
          <xm:sqref>D46:D47</xm:sqref>
        </x14:conditionalFormatting>
        <x14:conditionalFormatting xmlns:xm="http://schemas.microsoft.com/office/excel/2006/main">
          <x14:cfRule type="expression" priority="904" id="{C754C185-95E7-4DE9-B7DB-B1D30D93AC73}">
            <xm:f>ISNUMBER(SEARCH($D12,Dropdowns!$D$18))</xm:f>
            <x14:dxf>
              <fill>
                <patternFill>
                  <bgColor rgb="FFFFFF00"/>
                </patternFill>
              </fill>
            </x14:dxf>
          </x14:cfRule>
          <x14:cfRule type="expression" priority="905" id="{9B333331-B771-4DFA-B79D-67A610748F33}">
            <xm:f>ISNUMBER(SEARCH($D12,Dropdowns!$D$19))</xm:f>
            <x14:dxf>
              <fill>
                <patternFill>
                  <bgColor theme="6" tint="0.39994506668294322"/>
                </patternFill>
              </fill>
            </x14:dxf>
          </x14:cfRule>
          <x14:cfRule type="expression" priority="906" id="{0F0AB06A-64AE-4435-8B0C-4C1B9F5B4A8A}">
            <xm:f>ISNUMBER(SEARCH($D12,Dropdowns!$D$20))</xm:f>
            <x14:dxf>
              <fill>
                <patternFill>
                  <bgColor theme="6" tint="0.39994506668294322"/>
                </patternFill>
              </fill>
            </x14:dxf>
          </x14:cfRule>
          <x14:cfRule type="expression" priority="907" id="{A9D17F45-23D9-4680-8F19-A34DE24DCC70}">
            <xm:f>ISNUMBER(SEARCH($D12,Dropdowns!$D$21))</xm:f>
            <x14:dxf>
              <fill>
                <patternFill>
                  <bgColor rgb="FFFFFF00"/>
                </patternFill>
              </fill>
            </x14:dxf>
          </x14:cfRule>
          <x14:cfRule type="expression" priority="908" id="{D4EBED6E-E723-4415-AFD1-649C18AA2224}">
            <xm:f>ISNUMBER(SEARCH($D12,Dropdowns!$D$23))</xm:f>
            <x14:dxf>
              <fill>
                <patternFill>
                  <bgColor rgb="FFFFFF00"/>
                </patternFill>
              </fill>
            </x14:dxf>
          </x14:cfRule>
          <xm:sqref>D12:D13</xm:sqref>
        </x14:conditionalFormatting>
        <x14:conditionalFormatting xmlns:xm="http://schemas.microsoft.com/office/excel/2006/main">
          <x14:cfRule type="expression" priority="893" id="{FE494C65-F657-49CB-AF4D-B3C16C041D2C}">
            <xm:f>ISNUMBER(SEARCH($D39,Dropdowns!$D$18))</xm:f>
            <x14:dxf>
              <fill>
                <patternFill>
                  <bgColor rgb="FFFFFF00"/>
                </patternFill>
              </fill>
            </x14:dxf>
          </x14:cfRule>
          <x14:cfRule type="expression" priority="894" id="{EB9DB8CA-08A1-42C8-A6C0-B107EF6FDF68}">
            <xm:f>ISNUMBER(SEARCH($D39,Dropdowns!$D$19))</xm:f>
            <x14:dxf>
              <fill>
                <patternFill>
                  <bgColor theme="6" tint="0.39994506668294322"/>
                </patternFill>
              </fill>
            </x14:dxf>
          </x14:cfRule>
          <x14:cfRule type="expression" priority="895" id="{5B5DCE68-963D-42A4-9967-A62089AEF084}">
            <xm:f>ISNUMBER(SEARCH($D39,Dropdowns!$D$20))</xm:f>
            <x14:dxf>
              <fill>
                <patternFill>
                  <bgColor theme="6" tint="0.39994506668294322"/>
                </patternFill>
              </fill>
            </x14:dxf>
          </x14:cfRule>
          <x14:cfRule type="expression" priority="896" id="{4B7FE917-B124-492C-8589-36A9AB4F37C5}">
            <xm:f>ISNUMBER(SEARCH($D39,Dropdowns!$D$21))</xm:f>
            <x14:dxf>
              <fill>
                <patternFill>
                  <bgColor rgb="FFFFFF00"/>
                </patternFill>
              </fill>
            </x14:dxf>
          </x14:cfRule>
          <x14:cfRule type="expression" priority="897" id="{E00CE294-7BD9-4259-BCE2-960BF9431AF6}">
            <xm:f>ISNUMBER(SEARCH($D39,Dropdowns!$D$23))</xm:f>
            <x14:dxf>
              <fill>
                <patternFill>
                  <bgColor rgb="FFFFFF00"/>
                </patternFill>
              </fill>
            </x14:dxf>
          </x14:cfRule>
          <xm:sqref>D39</xm:sqref>
        </x14:conditionalFormatting>
        <x14:conditionalFormatting xmlns:xm="http://schemas.microsoft.com/office/excel/2006/main">
          <x14:cfRule type="expression" priority="626" id="{9A0E564D-2AA9-4805-83AE-1CD99334A95D}">
            <xm:f>ISNUMBER(SEARCH($D9,Dropdowns!$D$18))</xm:f>
            <x14:dxf>
              <fill>
                <patternFill>
                  <bgColor rgb="FFFFFF00"/>
                </patternFill>
              </fill>
            </x14:dxf>
          </x14:cfRule>
          <x14:cfRule type="expression" priority="627" id="{68E895E8-04C9-4D13-AFA3-3469DD306F35}">
            <xm:f>ISNUMBER(SEARCH($D9,Dropdowns!$D$19))</xm:f>
            <x14:dxf>
              <fill>
                <patternFill>
                  <bgColor theme="6" tint="0.39994506668294322"/>
                </patternFill>
              </fill>
            </x14:dxf>
          </x14:cfRule>
          <x14:cfRule type="expression" priority="628" id="{D880A291-9FF2-4FB5-AC6E-D0DE81AC74DF}">
            <xm:f>ISNUMBER(SEARCH($D9,Dropdowns!$D$20))</xm:f>
            <x14:dxf>
              <fill>
                <patternFill>
                  <bgColor theme="6" tint="0.39994506668294322"/>
                </patternFill>
              </fill>
            </x14:dxf>
          </x14:cfRule>
          <x14:cfRule type="expression" priority="629" id="{0AD1A564-EBE0-4D84-8DA5-6DCB213A6FF6}">
            <xm:f>ISNUMBER(SEARCH($D9,Dropdowns!$D$21))</xm:f>
            <x14:dxf>
              <fill>
                <patternFill>
                  <bgColor rgb="FFFFFF00"/>
                </patternFill>
              </fill>
            </x14:dxf>
          </x14:cfRule>
          <x14:cfRule type="expression" priority="630" id="{96AC6628-B3E2-4A6E-928F-9788DE3D371D}">
            <xm:f>ISNUMBER(SEARCH($D9,Dropdowns!$D$23))</xm:f>
            <x14:dxf>
              <fill>
                <patternFill>
                  <bgColor rgb="FFFFFF00"/>
                </patternFill>
              </fill>
            </x14:dxf>
          </x14:cfRule>
          <xm:sqref>D9:D10</xm:sqref>
        </x14:conditionalFormatting>
        <x14:conditionalFormatting xmlns:xm="http://schemas.microsoft.com/office/excel/2006/main">
          <x14:cfRule type="expression" priority="1103" id="{FD9C83A8-11BC-4CED-BBC7-CE83582798C5}">
            <xm:f>ISNUMBER(SEARCH($D44,Dropdowns!$D$18))</xm:f>
            <x14:dxf>
              <fill>
                <patternFill>
                  <bgColor rgb="FFFFFF00"/>
                </patternFill>
              </fill>
            </x14:dxf>
          </x14:cfRule>
          <x14:cfRule type="expression" priority="1104" id="{7AE013E1-FD6E-455E-8AEF-D187506F6B97}">
            <xm:f>ISNUMBER(SEARCH($D44,Dropdowns!$D$19))</xm:f>
            <x14:dxf>
              <fill>
                <patternFill>
                  <bgColor theme="6" tint="0.39994506668294322"/>
                </patternFill>
              </fill>
            </x14:dxf>
          </x14:cfRule>
          <x14:cfRule type="expression" priority="1105" id="{84F68770-BABC-4F00-B080-64CF80F5AF67}">
            <xm:f>ISNUMBER(SEARCH($D44,Dropdowns!$D$20))</xm:f>
            <x14:dxf>
              <fill>
                <patternFill>
                  <bgColor theme="6" tint="0.39994506668294322"/>
                </patternFill>
              </fill>
            </x14:dxf>
          </x14:cfRule>
          <x14:cfRule type="expression" priority="1106" id="{E706B1D4-DB7D-4E37-9369-F374BE04E208}">
            <xm:f>ISNUMBER(SEARCH($D44,Dropdowns!$D$21))</xm:f>
            <x14:dxf>
              <fill>
                <patternFill>
                  <bgColor rgb="FFFFFF00"/>
                </patternFill>
              </fill>
            </x14:dxf>
          </x14:cfRule>
          <x14:cfRule type="expression" priority="1107" id="{B55AA6CD-C30B-4D22-B762-6845839923B0}">
            <xm:f>ISNUMBER(SEARCH($D44,Dropdowns!$D$23))</xm:f>
            <x14:dxf>
              <fill>
                <patternFill>
                  <bgColor rgb="FFFFFF00"/>
                </patternFill>
              </fill>
            </x14:dxf>
          </x14:cfRule>
          <xm:sqref>D44:D45 D49:D52 D54:D56 D58:D60 D74:D77 D84:D86 D89:D93 D95:D97 D99:D100 D102:D107 D110:D111 D117:D119 D121:D158 D164:D172 D174:D187 D190:D193 D195:D201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Dropdowns!$G$11:$G$16</xm:f>
          </x14:formula1>
          <xm:sqref>X24:X25 X29 V189 V48 V11 V83 V101 V161:W161 V57 V173 V65 V163 V43 V8 V53 V61 V73 V63:W64 V194 V87 V94 V98 V110:V111 V116 V120 V39</xm:sqref>
        </x14:dataValidation>
        <x14:dataValidation type="list" allowBlank="1" showInputMessage="1" showErrorMessage="1">
          <x14:formula1>
            <xm:f>Dropdowns!$E$11:$E$15</xm:f>
          </x14:formula1>
          <xm:sqref>Q67:Q69 V29:W29 Q190:Q193 Q195:Q201 Q174:Q187 Q44:Q47 Q49:Q52 Q54:Q56 Q58:Q61 Q74:Q77 Q84:Q86 Q89:Q93 Q95:Q97 Q99:Q100 Q102:Q107 Q110:Q111 Q117:Q119 Q121:Q158 Q164:Q172 Q39</xm:sqref>
        </x14:dataValidation>
        <x14:dataValidation type="list" allowBlank="1" showInputMessage="1" showErrorMessage="1">
          <x14:formula1>
            <xm:f>Dropdowns!$E$7:$E$9</xm:f>
          </x14:formula1>
          <xm:sqref>V14:W16</xm:sqref>
        </x14:dataValidation>
        <x14:dataValidation type="list" allowBlank="1" showInputMessage="1" showErrorMessage="1">
          <x14:formula1>
            <xm:f>Dropdowns!$C$11:$C$13</xm:f>
          </x14:formula1>
          <xm:sqref>N27:P27 O21 V21:X23 P21:P23 O23 X26:X27 V27:W27 D24:D26 N24:N26 V24:V26 Q24:Q26 D17:D20 N17:N20 Q17:Q20 V17:V20 D37:D38 N37:N38 Q37:Q38 V37:V38</xm:sqref>
        </x14:dataValidation>
        <x14:dataValidation type="list" allowBlank="1" showInputMessage="1" showErrorMessage="1">
          <x14:formula1>
            <xm:f>Dropdowns!$D$11:$D$13</xm:f>
          </x14:formula1>
          <xm:sqref>P14:P16 P9:P10 N15:O15 X14:X20</xm:sqref>
        </x14:dataValidation>
        <x14:dataValidation type="list" allowBlank="1" showInputMessage="1" showErrorMessage="1">
          <x14:formula1>
            <xm:f>Dropdowns!$F$9:$F$12</xm:f>
          </x14:formula1>
          <xm:sqref>N161:O161 N63:O64</xm:sqref>
        </x14:dataValidation>
        <x14:dataValidation type="list" allowBlank="1" showInputMessage="1" showErrorMessage="1">
          <x14:formula1>
            <xm:f>Dropdowns!$G$7:$G$9</xm:f>
          </x14:formula1>
          <xm:sqref>N14:O14</xm:sqref>
        </x14:dataValidation>
        <x14:dataValidation type="list" allowBlank="1" showInputMessage="1" showErrorMessage="1">
          <x14:formula1>
            <xm:f>Dropdowns!$C$16:$C$19</xm:f>
          </x14:formula1>
          <xm:sqref>V72:W72 V40:W42 V34:W36</xm:sqref>
        </x14:dataValidation>
        <x14:dataValidation type="list" allowBlank="1" showInputMessage="1" showErrorMessage="1">
          <x14:formula1>
            <xm:f>Dropdowns!$D$16:$D$23</xm:f>
          </x14:formula1>
          <xm:sqref>D9:D10 D12:D13 D49:D52 D67:D69 D44:D47 D54:D56 D58:D60 D121:D158 D89:D93 D95:D97 D99:D100 D102:D107 D110:D111 D117:D119 D39 Q8 Q11 D164:D172 D84:D86 D195:D201 D190:D193 D174:D187 D74:D77</xm:sqref>
        </x14:dataValidation>
        <x14:dataValidation type="list" allowBlank="1" showInputMessage="1" showErrorMessage="1">
          <x14:formula1>
            <xm:f>Dropdowns!$F$2:$F$8</xm:f>
          </x14:formula1>
          <xm:sqref>N189 N194 N73 N173 N43 N11 N8 N61 N48 N53 N57 N65 N83 N87 N94 N98 N101 N110:N111 N116 N120 N163 N39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F156"/>
  <sheetViews>
    <sheetView zoomScale="75" zoomScaleNormal="75" workbookViewId="0">
      <pane xSplit="8" ySplit="5" topLeftCell="I6" activePane="bottomRight" state="frozen"/>
      <selection activeCell="B1" sqref="B1"/>
      <selection pane="topRight" activeCell="I1" sqref="I1"/>
      <selection pane="bottomLeft" activeCell="B4" sqref="B4"/>
      <selection pane="bottomRight" activeCell="I8" sqref="I8"/>
    </sheetView>
  </sheetViews>
  <sheetFormatPr defaultColWidth="8.8984375" defaultRowHeight="14.5" x14ac:dyDescent="0.3"/>
  <cols>
    <col min="1" max="1" width="12.19921875" style="1384" hidden="1" customWidth="1"/>
    <col min="2" max="3" width="43.796875" style="1384" customWidth="1"/>
    <col min="4" max="4" width="29" style="1384" customWidth="1"/>
    <col min="5" max="5" width="10.796875" style="1558" hidden="1" customWidth="1"/>
    <col min="6" max="6" width="8.796875" style="1384" hidden="1" customWidth="1"/>
    <col min="7" max="7" width="8.3984375" style="1384" hidden="1" customWidth="1"/>
    <col min="8" max="8" width="7.296875" style="1384" hidden="1" customWidth="1"/>
    <col min="9" max="9" width="59" style="1384" customWidth="1"/>
    <col min="10" max="10" width="10.19921875" style="1384" hidden="1" customWidth="1"/>
    <col min="11" max="11" width="10.3984375" style="1384" hidden="1" customWidth="1"/>
    <col min="12" max="12" width="26.19921875" style="1387" customWidth="1"/>
    <col min="13" max="13" width="26.19921875" style="1384" customWidth="1"/>
    <col min="14" max="14" width="31.19921875" style="1414" customWidth="1"/>
    <col min="15" max="15" width="10.69921875" style="1384" hidden="1" customWidth="1"/>
    <col min="16" max="16" width="47.69921875" style="1384" customWidth="1"/>
    <col min="17" max="17" width="29" style="1558" customWidth="1"/>
    <col min="18" max="18" width="8.796875" style="1557" hidden="1" customWidth="1"/>
    <col min="19" max="19" width="55.19921875" style="1384" customWidth="1"/>
    <col min="20" max="20" width="26.296875" style="1384" customWidth="1"/>
    <col min="21" max="21" width="43.796875" style="1384" customWidth="1"/>
    <col min="22" max="22" width="27.19921875" style="1558" customWidth="1"/>
    <col min="23" max="23" width="9.296875" style="1384" hidden="1" customWidth="1"/>
    <col min="24" max="24" width="49" style="1384" customWidth="1"/>
    <col min="25" max="25" width="31.19921875" style="1384" customWidth="1"/>
    <col min="26" max="26" width="26.19921875" style="1384" customWidth="1"/>
    <col min="27" max="16384" width="8.8984375" style="1384"/>
  </cols>
  <sheetData>
    <row r="1" spans="1:26" ht="68.25" customHeight="1" x14ac:dyDescent="0.3">
      <c r="A1"/>
      <c r="B1" s="4521"/>
      <c r="C1" s="4521"/>
      <c r="D1" s="4521"/>
    </row>
    <row r="2" spans="1:26" ht="97.5" customHeight="1" x14ac:dyDescent="0.3">
      <c r="A2"/>
      <c r="B2" s="4398" t="s">
        <v>2280</v>
      </c>
      <c r="C2" s="4494"/>
      <c r="D2" s="4494"/>
    </row>
    <row r="3" spans="1:26" x14ac:dyDescent="0.3">
      <c r="A3"/>
      <c r="B3" s="4643"/>
      <c r="C3" s="4643"/>
      <c r="D3" s="4643"/>
    </row>
    <row r="4" spans="1:26" ht="42.75" customHeight="1" thickBot="1" x14ac:dyDescent="0.35">
      <c r="A4" s="4502" t="s">
        <v>1875</v>
      </c>
      <c r="B4" s="4502"/>
      <c r="C4" s="4502"/>
      <c r="D4" s="4502"/>
      <c r="E4" s="204"/>
      <c r="F4" s="651"/>
      <c r="G4" s="651"/>
      <c r="H4" s="651"/>
      <c r="I4" s="651"/>
      <c r="J4" s="651"/>
      <c r="K4" s="651"/>
      <c r="L4" s="651"/>
      <c r="M4" s="651"/>
      <c r="N4" s="204"/>
      <c r="O4" s="1438"/>
      <c r="P4" s="1387"/>
      <c r="Q4" s="1559"/>
      <c r="R4" s="3067"/>
      <c r="S4" s="1387"/>
      <c r="T4" s="1387"/>
      <c r="U4" s="1387"/>
    </row>
    <row r="5" spans="1:26" s="225" customFormat="1" ht="44.25" customHeight="1" thickTop="1" thickBot="1" x14ac:dyDescent="0.35">
      <c r="A5" s="1114"/>
      <c r="B5" s="1114" t="s">
        <v>1872</v>
      </c>
      <c r="C5" s="1114" t="s">
        <v>1873</v>
      </c>
      <c r="D5" s="1114" t="s">
        <v>1236</v>
      </c>
      <c r="E5" s="1114"/>
      <c r="F5" s="1114"/>
      <c r="G5" s="1115"/>
      <c r="H5" s="1114"/>
      <c r="I5" s="1114" t="s">
        <v>458</v>
      </c>
      <c r="J5" s="1115"/>
      <c r="K5" s="1115"/>
      <c r="L5" s="1114" t="s">
        <v>408</v>
      </c>
      <c r="M5" s="1114" t="s">
        <v>466</v>
      </c>
      <c r="N5" s="1115" t="s">
        <v>465</v>
      </c>
      <c r="O5" s="1115"/>
      <c r="P5" s="1114" t="s">
        <v>1221</v>
      </c>
      <c r="Q5" s="1114" t="s">
        <v>1212</v>
      </c>
      <c r="R5" s="1115"/>
      <c r="S5" s="1114" t="s">
        <v>396</v>
      </c>
      <c r="T5" s="1114" t="s">
        <v>409</v>
      </c>
      <c r="U5" s="1114" t="s">
        <v>1211</v>
      </c>
      <c r="V5" s="1114" t="s">
        <v>1824</v>
      </c>
      <c r="W5" s="1114"/>
      <c r="X5" s="1114" t="s">
        <v>10</v>
      </c>
      <c r="Y5" s="1114" t="s">
        <v>11</v>
      </c>
      <c r="Z5" s="1116" t="s">
        <v>12</v>
      </c>
    </row>
    <row r="6" spans="1:26" s="2" customFormat="1" ht="19" thickTop="1" x14ac:dyDescent="0.3">
      <c r="A6" s="4480" t="s">
        <v>704</v>
      </c>
      <c r="B6" s="4481"/>
      <c r="C6" s="4481"/>
      <c r="D6" s="618"/>
      <c r="E6" s="618"/>
      <c r="F6" s="618"/>
      <c r="G6" s="618"/>
      <c r="H6" s="618"/>
      <c r="I6" s="618"/>
      <c r="J6" s="618"/>
      <c r="K6" s="618"/>
      <c r="L6" s="618"/>
      <c r="M6" s="618"/>
      <c r="N6" s="496"/>
      <c r="O6" s="618"/>
      <c r="P6" s="4481"/>
      <c r="Q6" s="4481"/>
      <c r="R6" s="4481"/>
      <c r="S6" s="4481"/>
      <c r="T6" s="4481"/>
      <c r="U6" s="4580"/>
      <c r="V6" s="4481"/>
      <c r="W6" s="4481"/>
      <c r="X6" s="4563"/>
      <c r="Y6" s="4577"/>
      <c r="Z6" s="4580"/>
    </row>
    <row r="7" spans="1:26" s="3640" customFormat="1" ht="19" thickBot="1" x14ac:dyDescent="0.35">
      <c r="B7" s="3887"/>
      <c r="D7" s="3754"/>
      <c r="E7" s="3720"/>
      <c r="F7" s="3754"/>
      <c r="G7" s="3754"/>
      <c r="H7" s="3754"/>
      <c r="I7" s="3722"/>
      <c r="J7" s="3754"/>
      <c r="K7" s="3754"/>
      <c r="L7" s="3754"/>
      <c r="M7" s="3754"/>
      <c r="N7" s="3720"/>
      <c r="O7" s="3754"/>
      <c r="P7" s="3722"/>
      <c r="Q7" s="3721"/>
      <c r="R7" s="4210"/>
      <c r="S7" s="3723"/>
      <c r="T7" s="3724"/>
      <c r="U7" s="3724"/>
      <c r="V7" s="3720"/>
      <c r="W7" s="3725"/>
      <c r="X7" s="4211"/>
      <c r="Y7" s="4212"/>
      <c r="Z7" s="4213"/>
    </row>
    <row r="8" spans="1:26" s="1429" customFormat="1" ht="44.5" thickTop="1" thickBot="1" x14ac:dyDescent="0.35">
      <c r="A8" s="310" t="s">
        <v>705</v>
      </c>
      <c r="B8" s="1857" t="s">
        <v>400</v>
      </c>
      <c r="C8" s="1709" t="s">
        <v>707</v>
      </c>
      <c r="D8" s="463"/>
      <c r="E8" s="464" t="b">
        <f>IF(D8="Applicable",TRUE,FALSE)</f>
        <v>0</v>
      </c>
      <c r="F8" s="336"/>
      <c r="G8" s="336"/>
      <c r="H8" s="336"/>
      <c r="I8" s="336"/>
      <c r="J8" s="336"/>
      <c r="K8" s="336"/>
      <c r="L8" s="336"/>
      <c r="M8" s="640"/>
      <c r="N8" s="463"/>
      <c r="O8" s="462" t="b">
        <f>IF(N8="Applicable",TRUE,FALSE)</f>
        <v>0</v>
      </c>
      <c r="P8" s="462"/>
      <c r="Q8" s="463"/>
      <c r="R8" s="892" t="b">
        <f>IF(Q8="Applicable",TRUE,FALSE)</f>
        <v>0</v>
      </c>
      <c r="S8" s="336"/>
      <c r="T8" s="336"/>
      <c r="U8" s="640"/>
      <c r="V8" s="463"/>
      <c r="W8" s="703" t="b">
        <f>IF(V8="Applicable",TRUE,FALSE)</f>
        <v>0</v>
      </c>
      <c r="X8" s="464"/>
      <c r="Y8" s="336"/>
      <c r="Z8" s="337"/>
    </row>
    <row r="9" spans="1:26" s="3640" customFormat="1" ht="15.5" thickTop="1" thickBot="1" x14ac:dyDescent="0.35">
      <c r="A9" s="3636"/>
      <c r="B9" s="3636"/>
      <c r="C9" s="3636"/>
      <c r="D9" s="3636"/>
      <c r="E9" s="3634"/>
      <c r="F9" s="3636"/>
      <c r="G9" s="3636"/>
      <c r="H9" s="3636"/>
      <c r="I9" s="3636"/>
      <c r="J9" s="3636"/>
      <c r="K9" s="3636"/>
      <c r="L9" s="3636"/>
      <c r="M9" s="3636"/>
      <c r="N9" s="3634"/>
      <c r="O9" s="3636"/>
      <c r="P9" s="3639"/>
      <c r="Q9" s="3635"/>
      <c r="R9" s="3643"/>
      <c r="S9" s="3639"/>
      <c r="T9" s="3639"/>
      <c r="U9" s="3639"/>
      <c r="V9" s="3635"/>
      <c r="W9" s="3639"/>
      <c r="X9" s="3639"/>
      <c r="Y9" s="3639"/>
      <c r="Z9" s="3639"/>
    </row>
    <row r="10" spans="1:26" s="1394" customFormat="1" ht="44.5" thickTop="1" thickBot="1" x14ac:dyDescent="0.35">
      <c r="A10" s="57"/>
      <c r="B10" s="3339" t="s">
        <v>824</v>
      </c>
      <c r="C10" s="3340" t="s">
        <v>475</v>
      </c>
      <c r="D10" s="3343" t="s">
        <v>1233</v>
      </c>
      <c r="E10" s="524" t="b">
        <f>E17</f>
        <v>0</v>
      </c>
      <c r="F10" s="478"/>
      <c r="G10" s="3276"/>
      <c r="H10" s="3276"/>
      <c r="I10" s="3277"/>
      <c r="J10" s="3276"/>
      <c r="K10" s="3276"/>
      <c r="L10" s="3278"/>
      <c r="M10" s="3279"/>
      <c r="N10" s="4170" t="s">
        <v>1233</v>
      </c>
      <c r="O10" s="524"/>
      <c r="P10" s="3280"/>
      <c r="Q10" s="4084" t="s">
        <v>1233</v>
      </c>
      <c r="R10" s="729" t="b">
        <f>R17</f>
        <v>0</v>
      </c>
      <c r="S10" s="406"/>
      <c r="T10" s="406"/>
      <c r="U10" s="1211"/>
      <c r="V10" s="4084" t="s">
        <v>1233</v>
      </c>
      <c r="W10" s="524" t="b">
        <f>W17</f>
        <v>0</v>
      </c>
      <c r="X10" s="600"/>
      <c r="Y10" s="406"/>
      <c r="Z10" s="1398"/>
    </row>
    <row r="11" spans="1:26" s="1394" customFormat="1" ht="30" thickTop="1" thickBot="1" x14ac:dyDescent="0.35">
      <c r="A11" s="2566" t="s">
        <v>403</v>
      </c>
      <c r="B11" s="3341" t="s">
        <v>825</v>
      </c>
      <c r="C11" s="2397" t="s">
        <v>474</v>
      </c>
      <c r="D11" s="2999" t="s">
        <v>1233</v>
      </c>
      <c r="E11" s="162" t="b">
        <f>E49</f>
        <v>0</v>
      </c>
      <c r="F11" s="281"/>
      <c r="G11" s="3281"/>
      <c r="H11" s="3281"/>
      <c r="I11" s="3282"/>
      <c r="J11" s="3281"/>
      <c r="K11" s="3281"/>
      <c r="L11" s="3283"/>
      <c r="M11" s="2434"/>
      <c r="N11" s="4170" t="s">
        <v>1233</v>
      </c>
      <c r="O11" s="162" t="b">
        <f>O49</f>
        <v>0</v>
      </c>
      <c r="P11" s="3284"/>
      <c r="Q11" s="4085" t="s">
        <v>1233</v>
      </c>
      <c r="R11" s="730" t="b">
        <f>R49</f>
        <v>0</v>
      </c>
      <c r="S11" s="471"/>
      <c r="T11" s="471"/>
      <c r="U11" s="1218"/>
      <c r="V11" s="4085" t="s">
        <v>1233</v>
      </c>
      <c r="W11" s="162" t="b">
        <f>W49</f>
        <v>0</v>
      </c>
      <c r="X11" s="1245"/>
      <c r="Y11" s="471"/>
      <c r="Z11" s="1406"/>
    </row>
    <row r="12" spans="1:26" s="1394" customFormat="1" ht="44.5" thickTop="1" thickBot="1" x14ac:dyDescent="0.35">
      <c r="A12" s="57"/>
      <c r="B12" s="3341" t="s">
        <v>826</v>
      </c>
      <c r="C12" s="2397" t="s">
        <v>822</v>
      </c>
      <c r="D12" s="2999" t="s">
        <v>1233</v>
      </c>
      <c r="E12" s="162" t="b">
        <f>E58</f>
        <v>0</v>
      </c>
      <c r="F12" s="444"/>
      <c r="G12" s="444"/>
      <c r="H12" s="444"/>
      <c r="I12" s="2232"/>
      <c r="J12" s="444"/>
      <c r="K12" s="444"/>
      <c r="L12" s="2233"/>
      <c r="M12" s="2235"/>
      <c r="N12" s="4170" t="s">
        <v>1233</v>
      </c>
      <c r="O12" s="162" t="b">
        <f>O58</f>
        <v>0</v>
      </c>
      <c r="P12" s="3285"/>
      <c r="Q12" s="4085" t="s">
        <v>1233</v>
      </c>
      <c r="R12" s="730" t="b">
        <f>R58</f>
        <v>0</v>
      </c>
      <c r="S12" s="471"/>
      <c r="T12" s="471"/>
      <c r="U12" s="1218"/>
      <c r="V12" s="4085" t="s">
        <v>1233</v>
      </c>
      <c r="W12" s="162" t="b">
        <f>W58</f>
        <v>0</v>
      </c>
      <c r="X12" s="1245"/>
      <c r="Y12" s="471"/>
      <c r="Z12" s="1406"/>
    </row>
    <row r="13" spans="1:26" s="1394" customFormat="1" ht="30" thickTop="1" thickBot="1" x14ac:dyDescent="0.35">
      <c r="A13" s="57"/>
      <c r="B13" s="3342" t="s">
        <v>827</v>
      </c>
      <c r="C13" s="2911" t="s">
        <v>823</v>
      </c>
      <c r="D13" s="3344" t="s">
        <v>1233</v>
      </c>
      <c r="E13" s="518" t="b">
        <f>E85</f>
        <v>0</v>
      </c>
      <c r="F13" s="572"/>
      <c r="G13" s="572"/>
      <c r="H13" s="572"/>
      <c r="I13" s="2231"/>
      <c r="J13" s="572"/>
      <c r="K13" s="572"/>
      <c r="L13" s="2234"/>
      <c r="M13" s="2236"/>
      <c r="N13" s="4167" t="s">
        <v>1233</v>
      </c>
      <c r="O13" s="518" t="b">
        <f>O85</f>
        <v>0</v>
      </c>
      <c r="P13" s="3286"/>
      <c r="Q13" s="4086" t="s">
        <v>1233</v>
      </c>
      <c r="R13" s="731" t="b">
        <f>R85</f>
        <v>0</v>
      </c>
      <c r="S13" s="1224"/>
      <c r="T13" s="1224"/>
      <c r="U13" s="1225"/>
      <c r="V13" s="4086" t="s">
        <v>1233</v>
      </c>
      <c r="W13" s="518" t="b">
        <f>W85</f>
        <v>0</v>
      </c>
      <c r="X13" s="2597"/>
      <c r="Y13" s="1224"/>
      <c r="Z13" s="1411"/>
    </row>
    <row r="14" spans="1:26" s="4215" customFormat="1" ht="15" thickTop="1" x14ac:dyDescent="0.3">
      <c r="A14" s="4214"/>
      <c r="C14" s="4214"/>
      <c r="E14" s="3677"/>
      <c r="F14" s="4214"/>
      <c r="G14" s="4214"/>
      <c r="H14" s="4214"/>
      <c r="I14" s="4216"/>
      <c r="J14" s="4216"/>
      <c r="K14" s="4216"/>
      <c r="L14" s="4216"/>
      <c r="M14" s="4216"/>
      <c r="N14" s="4214"/>
      <c r="O14" s="4214"/>
      <c r="Q14" s="4017"/>
      <c r="R14" s="4214"/>
      <c r="S14" s="4216"/>
      <c r="T14" s="4216"/>
      <c r="U14" s="4216"/>
      <c r="V14" s="4018"/>
      <c r="W14" s="4216"/>
      <c r="X14" s="4216"/>
      <c r="Y14" s="4216"/>
      <c r="Z14" s="4216"/>
    </row>
    <row r="15" spans="1:26" s="3650" customFormat="1" ht="18.5" x14ac:dyDescent="0.3">
      <c r="A15" s="4482" t="s">
        <v>1135</v>
      </c>
      <c r="B15" s="4483"/>
      <c r="C15" s="4483"/>
      <c r="D15" s="4483"/>
      <c r="E15" s="4483"/>
      <c r="F15" s="4483"/>
      <c r="G15" s="4483"/>
      <c r="H15" s="4483"/>
      <c r="I15" s="4483"/>
      <c r="J15" s="4483"/>
      <c r="K15" s="4483"/>
      <c r="L15" s="4483"/>
      <c r="M15" s="4483"/>
      <c r="N15" s="4483"/>
      <c r="O15" s="3669"/>
      <c r="P15" s="3683"/>
      <c r="Q15" s="4030"/>
      <c r="R15" s="4217"/>
      <c r="S15" s="3684"/>
      <c r="T15" s="3685"/>
      <c r="U15" s="3685"/>
      <c r="V15" s="3880"/>
      <c r="W15" s="3669"/>
      <c r="X15" s="3683"/>
      <c r="Y15" s="3684"/>
      <c r="Z15" s="3685"/>
    </row>
    <row r="16" spans="1:26" s="4220" customFormat="1" ht="15" thickBot="1" x14ac:dyDescent="0.35">
      <c r="A16" s="4218"/>
      <c r="B16" s="4218"/>
      <c r="C16" s="4218"/>
      <c r="D16" s="4218"/>
      <c r="E16" s="4021"/>
      <c r="F16" s="4218"/>
      <c r="G16" s="4218"/>
      <c r="H16" s="4218"/>
      <c r="I16" s="4218"/>
      <c r="J16" s="4218"/>
      <c r="K16" s="4218"/>
      <c r="L16" s="4219"/>
      <c r="M16" s="4218"/>
      <c r="N16" s="4218"/>
      <c r="O16" s="4218"/>
      <c r="P16" s="4218"/>
      <c r="Q16" s="4021"/>
      <c r="R16" s="4218"/>
      <c r="S16" s="4218"/>
      <c r="T16" s="4218"/>
      <c r="U16" s="4218"/>
      <c r="V16" s="4022"/>
      <c r="Y16" s="4218"/>
      <c r="Z16" s="4218"/>
    </row>
    <row r="17" spans="1:26" s="1539" customFormat="1" ht="30" thickTop="1" thickBot="1" x14ac:dyDescent="0.35">
      <c r="A17" s="27" t="s">
        <v>747</v>
      </c>
      <c r="B17" s="1857" t="s">
        <v>415</v>
      </c>
      <c r="C17" s="1856" t="s">
        <v>746</v>
      </c>
      <c r="D17" s="1925" t="s">
        <v>1853</v>
      </c>
      <c r="E17" s="2265" t="b">
        <f>IF(AND(E18=TRUE,E22=TRUE,E29=TRUE),TRUE,FALSE)</f>
        <v>0</v>
      </c>
      <c r="F17" s="2025">
        <f>SUM(F18,F22,F29)</f>
        <v>0</v>
      </c>
      <c r="G17" s="2025">
        <f>SUM(G18,G21,G30,G47,G50)</f>
        <v>0</v>
      </c>
      <c r="H17" s="2025">
        <f>SUM(H18,H21,H30,H47,H50)</f>
        <v>0</v>
      </c>
      <c r="I17" s="2025" t="str">
        <f xml:space="preserve">
IF(F17&gt;7,"Too Many Entries - Check Red Lines",
IF(G17&lt;F17,"Valid Entry required below - Check Amber Line/s",
IF(AND(E17=FALSE,G17=0,H17=0),"Nothing Entered below Yet",
IF(G17&lt;F17,"Valid Entry required below - Check Amber Line/s",
IF(AND(G17=0,H17&gt;0),"**Non-Valid Entry/ies below - Check Yellow Line/s",
IF(AND(G17&gt;0,H17&gt;0),"**Valid and Non-Valid Entries made below - Check Yellow Line/s",
IF(AND(E17=FALSE,F17&lt;7),"Not all requirements addressed below - Check Pink Line/s",
IF(AND(E17=FALSE,G17&lt;7,G17&gt;0,H17=0),"More entries to come",
IF(AND(E17,TRUE,G17=7,H17=0),"Valid Entries made below"
)))))))))</f>
        <v>Nothing Entered below Yet</v>
      </c>
      <c r="J17" s="1856">
        <f>SUM(J18,J21,J30,J47,J50)</f>
        <v>0</v>
      </c>
      <c r="K17" s="1856">
        <f>SUM(K18,K21,K30,K47,K50)</f>
        <v>0</v>
      </c>
      <c r="L17" s="2026" t="str">
        <f xml:space="preserve">
IF(J17&gt;7,"Too Many Entries - Check Red Lines",
IF(AND(E17=FALSE,J17=0,K17=0,E17=TRUE),"Nothing Required Below",
IF(J17&lt;F17,"Valid Entry required below - Check Amber Line/s",
IF(AND(E17=FALSE,J17=0,K17=0),"Nothing Entered below Yet",
IF(AND(J17=0,K17&gt;0),"**Non-Valid Entry/ies below - Check Yellow Line/s",
IF(AND(J17&gt;0,K17&gt;0),"**Valid and Non-Valid Entries made below - Check Yellow Line/s",
IF(AND(E17=FALSE,J17&lt;7),"Not all requirements addressed below - Check Pink Line/s",
IF(AND(E17=FALSE,J17&lt;7,J17&gt;0,K17=0),"More entries to come",
IF(AND(E17,TRUE,J17=7,K17=0),"Valid Entries made below"
)))))))))</f>
        <v>Nothing Entered below Yet</v>
      </c>
      <c r="M17" s="1778"/>
      <c r="N17" s="4138" t="s">
        <v>565</v>
      </c>
      <c r="O17" s="331" t="b">
        <f>IF(AND(O18=TRUE,O22=TRUE,O29=TRUE,O33=TRUE),TRUE,FALSE)</f>
        <v>0</v>
      </c>
      <c r="P17" s="463"/>
      <c r="Q17" s="4138" t="s">
        <v>565</v>
      </c>
      <c r="R17" s="909" t="b">
        <f>IF(AND(R18=TRUE,R22=TRUE,R29=TRUE),TRUE,FALSE)</f>
        <v>0</v>
      </c>
      <c r="S17" s="335"/>
      <c r="T17" s="336"/>
      <c r="U17" s="337"/>
      <c r="V17" s="4138" t="s">
        <v>565</v>
      </c>
      <c r="W17" s="704" t="b">
        <f>IF(AND(W18=TRUE,W22=TRUE,W29=TRUE,W33=TRUE),TRUE,FALSE)</f>
        <v>0</v>
      </c>
      <c r="X17" s="335"/>
      <c r="Y17" s="1769"/>
      <c r="Z17" s="1770"/>
    </row>
    <row r="18" spans="1:26" s="1539" customFormat="1" ht="44.5" customHeight="1" thickTop="1" x14ac:dyDescent="0.3">
      <c r="A18" s="27" t="s">
        <v>708</v>
      </c>
      <c r="B18" s="3345" t="s">
        <v>415</v>
      </c>
      <c r="C18" s="2186" t="s">
        <v>706</v>
      </c>
      <c r="D18" s="3350" t="s">
        <v>565</v>
      </c>
      <c r="E18" s="1922" t="b">
        <f>IF(AND(E19=TRUE,E20=TRUE,E21=TRUE),TRUE,FALSE)</f>
        <v>0</v>
      </c>
      <c r="F18" s="1647">
        <f>COUNTIF(E19:E21,TRUE)</f>
        <v>0</v>
      </c>
      <c r="G18" s="1647">
        <f>COUNTIFS(E19:E21,TRUE,G19:G21,"Not Blank")</f>
        <v>0</v>
      </c>
      <c r="H18" s="1647">
        <f>COUNTIFS(E19:E21,FALSE,G19:G21,"Not Blank")</f>
        <v>0</v>
      </c>
      <c r="I18" s="2155" t="str">
        <f xml:space="preserve">
IF(F18&gt;3,"Too Many Entries - Check Red Lines",
IF(G18&lt;F18,"Valid Entry required below - Check Amber Line/s",
IF(AND(E18=FALSE,G18=0,H18=0),"Nothing Entered below Yet",
IF(G18&lt;F18,"Valid Entry required below - Check Amber Line/s",
IF(AND(G18=0,H18&gt;0),"**Non-Valid Entry/ies below - Check Yellow Line/s",
IF(AND(G18&gt;0,H18&gt;0),"**Valid and Non-Valid Entries made below - Check Yellow Line/s",
IF(AND(E18=FALSE,F18&lt;3),"Not all requirements addressed below - Check Pink Line/s",
IF(AND(E18=FALSE,G18&lt;3,G18&gt;0,H18=0),"More entries to come",
IF(AND(E18,TRUE,G18=3,H18=0),"Valid Entries made below"
)))))))))</f>
        <v>Nothing Entered below Yet</v>
      </c>
      <c r="J18" s="1647">
        <f>COUNTIFS(E19:E21,TRUE,J19:J21,"Not Blank")</f>
        <v>0</v>
      </c>
      <c r="K18" s="1647">
        <f>COUNTIFS(E19:E21,FALSE,J19:J21,"Not Blank")</f>
        <v>0</v>
      </c>
      <c r="L18" s="2155" t="str">
        <f xml:space="preserve">
IF(J18&gt;3,"Too Many Entries - Check Red Lines",
IF(AND(E18=FALSE,J18=0,K18=0,E18=TRUE),"Nothing Required Below",
IF(J18&lt;F18,"Valid Entry required below - Check Amber Line/s",
IF(AND(E18=FALSE,J18=0,K18=0),"Nothing Entered below Yet",
IF(AND(J18=0,K18&gt;0),"**Non-Valid Entry/ies below - Check Yellow Line/s",
IF(AND(J18&gt;0,K18&gt;0),"**Valid and Non-Valid Entries made below - Check Yellow Line/s",
IF(AND(E18=FALSE,J18&lt;3),"Not all requirements addressed below - Check Pink Line/s",
IF(AND(E18=FALSE,J18&lt;3,J18&gt;0,K18=0),"More entries to come",
IF(AND(E18,TRUE,J18=3,K18=0),"Valid Entries made below"
)))))))))</f>
        <v>Nothing Entered below Yet</v>
      </c>
      <c r="M18" s="2176"/>
      <c r="N18" s="4822" t="s">
        <v>3</v>
      </c>
      <c r="O18" s="4838" t="b">
        <f>IF(OR(N18="Compliant",N18="FE with work-a-round",N18="Functionally Equivalent"),TRUE,FALSE)</f>
        <v>0</v>
      </c>
      <c r="P18" s="308"/>
      <c r="Q18" s="4221" t="s">
        <v>565</v>
      </c>
      <c r="R18" s="737" t="b">
        <f>IF(AND(R19=TRUE,R20=TRUE,R21=TRUE),TRUE,FALSE)</f>
        <v>0</v>
      </c>
      <c r="S18" s="1540"/>
      <c r="T18" s="1540"/>
      <c r="U18" s="2636"/>
      <c r="V18" s="4800" t="s">
        <v>3</v>
      </c>
      <c r="W18" s="4811" t="b">
        <f>IF(OR(V18="Compliant",V18="FE with work-a-round",V18="Functionally Equivalent",V18="Not Required/Applicable"),TRUE,FALSE)</f>
        <v>0</v>
      </c>
      <c r="X18" s="1082"/>
      <c r="Y18" s="3287"/>
      <c r="Z18" s="3288"/>
    </row>
    <row r="19" spans="1:26" s="1394" customFormat="1" ht="29" x14ac:dyDescent="0.3">
      <c r="A19" s="2566" t="s">
        <v>174</v>
      </c>
      <c r="B19" s="3346"/>
      <c r="C19" s="3347" t="s">
        <v>2057</v>
      </c>
      <c r="D19" s="1067" t="s">
        <v>3</v>
      </c>
      <c r="E19" s="67" t="b">
        <f>IF(D19="Compliant",TRUE,FALSE)</f>
        <v>0</v>
      </c>
      <c r="F19" s="44"/>
      <c r="G19" s="44" t="str">
        <f>IF(I19&lt;&gt;"", "Not Blank", "")</f>
        <v/>
      </c>
      <c r="H19" s="44"/>
      <c r="I19" s="42"/>
      <c r="J19" s="44" t="str">
        <f>IF(L19&lt;&gt;"", "Not Blank", "")</f>
        <v/>
      </c>
      <c r="K19" s="44"/>
      <c r="L19" s="42"/>
      <c r="M19" s="128"/>
      <c r="N19" s="4801"/>
      <c r="O19" s="4726"/>
      <c r="P19" s="3289"/>
      <c r="Q19" s="2237" t="s">
        <v>3</v>
      </c>
      <c r="R19" s="737" t="b">
        <f>IF(OR(Q19="Compliant",Q19="FE with work-a-round",Q19="Functionally Equivalent"),TRUE,FALSE)</f>
        <v>0</v>
      </c>
      <c r="S19" s="471"/>
      <c r="T19" s="471"/>
      <c r="U19" s="1218"/>
      <c r="V19" s="4801"/>
      <c r="W19" s="4513"/>
      <c r="X19" s="2776"/>
      <c r="Y19" s="1431"/>
      <c r="Z19" s="1432"/>
    </row>
    <row r="20" spans="1:26" s="1394" customFormat="1" ht="29" x14ac:dyDescent="0.3">
      <c r="A20" s="2566" t="s">
        <v>175</v>
      </c>
      <c r="B20" s="3346"/>
      <c r="C20" s="3347" t="s">
        <v>709</v>
      </c>
      <c r="D20" s="319" t="s">
        <v>3</v>
      </c>
      <c r="E20" s="67" t="b">
        <f>IF(D20="Compliant",TRUE,FALSE)</f>
        <v>0</v>
      </c>
      <c r="F20" s="44"/>
      <c r="G20" s="44" t="str">
        <f>IF(I20&lt;&gt;"", "Not Blank", "")</f>
        <v/>
      </c>
      <c r="H20" s="44"/>
      <c r="I20" s="44"/>
      <c r="J20" s="44" t="str">
        <f>IF(L20&lt;&gt;"", "Not Blank", "")</f>
        <v/>
      </c>
      <c r="K20" s="44"/>
      <c r="L20" s="44"/>
      <c r="M20" s="122"/>
      <c r="N20" s="4801"/>
      <c r="O20" s="4726"/>
      <c r="P20" s="3290"/>
      <c r="Q20" s="1062" t="s">
        <v>3</v>
      </c>
      <c r="R20" s="737" t="b">
        <f>IF(OR(Q20="Compliant",Q20="FE with work-a-round",Q20="Functionally Equivalent"),TRUE,FALSE)</f>
        <v>0</v>
      </c>
      <c r="S20" s="471"/>
      <c r="T20" s="471"/>
      <c r="U20" s="1218"/>
      <c r="V20" s="4801"/>
      <c r="W20" s="4513"/>
      <c r="X20" s="2776"/>
      <c r="Y20" s="1431"/>
      <c r="Z20" s="1432"/>
    </row>
    <row r="21" spans="1:26" s="1394" customFormat="1" ht="44" thickBot="1" x14ac:dyDescent="0.35">
      <c r="A21" s="2566" t="s">
        <v>176</v>
      </c>
      <c r="B21" s="3348"/>
      <c r="C21" s="3349" t="s">
        <v>710</v>
      </c>
      <c r="D21" s="849" t="s">
        <v>3</v>
      </c>
      <c r="E21" s="78" t="b">
        <f>IF(D21="Compliant",TRUE,FALSE)</f>
        <v>0</v>
      </c>
      <c r="F21" s="79"/>
      <c r="G21" s="79" t="str">
        <f>IF(I21&lt;&gt;"", "Not Blank", "")</f>
        <v/>
      </c>
      <c r="H21" s="79"/>
      <c r="I21" s="79"/>
      <c r="J21" s="79" t="str">
        <f>IF(L21&lt;&gt;"", "Not Blank", "")</f>
        <v/>
      </c>
      <c r="K21" s="79"/>
      <c r="L21" s="79"/>
      <c r="M21" s="127"/>
      <c r="N21" s="4823"/>
      <c r="O21" s="4839"/>
      <c r="P21" s="3291"/>
      <c r="Q21" s="1063" t="s">
        <v>3</v>
      </c>
      <c r="R21" s="737" t="b">
        <f>IF(OR(Q21="Compliant",Q21="FE with work-a-round",Q21="Functionally Equivalent"),TRUE,FALSE)</f>
        <v>0</v>
      </c>
      <c r="S21" s="1425"/>
      <c r="T21" s="1425"/>
      <c r="U21" s="3054"/>
      <c r="V21" s="4802"/>
      <c r="W21" s="4812"/>
      <c r="X21" s="3292"/>
      <c r="Y21" s="1426"/>
      <c r="Z21" s="1427"/>
    </row>
    <row r="22" spans="1:26" s="1414" customFormat="1" ht="29.5" customHeight="1" thickTop="1" x14ac:dyDescent="0.3">
      <c r="A22" s="3293" t="s">
        <v>754</v>
      </c>
      <c r="B22" s="1495" t="s">
        <v>749</v>
      </c>
      <c r="C22" s="2052" t="s">
        <v>748</v>
      </c>
      <c r="D22" s="3351" t="s">
        <v>565</v>
      </c>
      <c r="E22" s="1929" t="b">
        <f>+IF(OR(E23=TRUE,E24=TRUE,E25=TRUE,E26=TRUE,E27=TRUE,E28=TRUE),TRUE,FALSE)</f>
        <v>0</v>
      </c>
      <c r="F22" s="1514">
        <f>COUNTIFS(E23:E28,TRUE)</f>
        <v>0</v>
      </c>
      <c r="G22" s="1514">
        <f>COUNTIFS(E23:E27,TRUE,G23:G27,"Not Blank")+COUNTIFS(E28,TRUE,G28,2)</f>
        <v>0</v>
      </c>
      <c r="H22" s="1514">
        <f>COUNTIFS(E23:E27,FALSE,G23:G27,"Not Blank")+COUNTIFS(E28,FALSE,G28,"&gt;0")</f>
        <v>0</v>
      </c>
      <c r="I22" s="2155" t="str">
        <f xml:space="preserve">
IF(F22&gt;1,"Too Many Entries - Check Red Lines",
IF(G22&lt;F22,"Valid Entry required below - Check Amber Line/s",
IF(AND(E22=FALSE,G22=0,H22=0),"Nothing Entered below Yet",
IF(G22&lt;F22,"Valid Entry required below - Check Amber Line/s",
IF(AND(G22=0,H22&gt;0),"**Non-Valid Entry/ies below - Check Yellow Line/s",
IF(AND(G22&gt;0,H22&gt;0),"**Valid and Non-Valid Entries made below - Check Yellow Line/s",
IF(AND(E22=FALSE,F22&lt;1),"Not all requirements addressed below - Check Pink Line/s",
IF(AND(E22=FALSE,G22&lt;1,G22&gt;0,H22=0),"More entries to come",
IF(AND(E22,TRUE,G22=1,H22=0),"Valid Entries made below"
)))))))))</f>
        <v>Nothing Entered below Yet</v>
      </c>
      <c r="J22" s="2155">
        <f>COUNTIFS(E23:E27,TRUE,J23:J27,"Not Blank")+COUNTIFS(E28,TRUE,J28,2)</f>
        <v>0</v>
      </c>
      <c r="K22" s="2155">
        <f>COUNTIFS(E23:E27,FALSE,J23:J27,"Not Blank")+COUNTIFS(E28,FALSE,K28,"&gt;0")</f>
        <v>0</v>
      </c>
      <c r="L22" s="2155" t="str">
        <f xml:space="preserve">
IF(J22&gt;1,"Too Many Entries - Check Red Lines",
IF(AND(E22=FALSE,J22=0,K22=0,E22=TRUE),"Nothing Required Below",
IF(J22&lt;F22,"Valid Entry required below - Check Amber Line/s",
IF(AND(E22=FALSE,J22=0,K22=0),"Nothing Entered below Yet",
IF(AND(J22=0,K22&gt;0),"**Non-Valid Entry/ies below - Check Yellow Line/s",
IF(AND(J22&gt;0,K22&gt;0),"**Valid and Non-Valid Entries made below - Check Yellow Line/s",
IF(AND(E22=FALSE,J22&lt;1),"Not all requirements addressed below - Check Pink Line/s",
IF(AND(E22=FALSE,J22&lt;1,J22&gt;0,K22=0),"More entries to come",
IF(AND(E22,TRUE,J22=1,K22=0),"Valid Entries made below"
)))))))))</f>
        <v>Nothing Entered below Yet</v>
      </c>
      <c r="M22" s="2176"/>
      <c r="N22" s="4822" t="s">
        <v>3</v>
      </c>
      <c r="O22" s="4836" t="b">
        <f>IF(OR(N22="Compliant",N22="FE with work-a-round",N22="Functionally Equivalent"),TRUE,FALSE)</f>
        <v>0</v>
      </c>
      <c r="P22" s="807"/>
      <c r="Q22" s="4175" t="s">
        <v>565</v>
      </c>
      <c r="R22" s="67" t="b">
        <f>+IF(OR(R23=TRUE,R24=TRUE,R25=TRUE,R26=TRUE,R27=TRUE,R28=TRUE),TRUE,FALSE)</f>
        <v>0</v>
      </c>
      <c r="S22" s="111"/>
      <c r="T22" s="111"/>
      <c r="U22" s="120"/>
      <c r="V22" s="4800" t="s">
        <v>3</v>
      </c>
      <c r="W22" s="4811" t="b">
        <f>IF(OR(V22="Compliant",V22="FE with work-a-round",V22="Functionally Equivalent",V22="Not Required/Applicable"),TRUE,FALSE)</f>
        <v>0</v>
      </c>
      <c r="X22" s="138"/>
      <c r="Y22" s="111"/>
      <c r="Z22" s="120"/>
    </row>
    <row r="23" spans="1:26" s="1394" customFormat="1" ht="58" x14ac:dyDescent="0.3">
      <c r="A23" s="2974" t="s">
        <v>174</v>
      </c>
      <c r="B23" s="2050"/>
      <c r="C23" s="3347" t="s">
        <v>750</v>
      </c>
      <c r="D23" s="319" t="s">
        <v>3</v>
      </c>
      <c r="E23" s="67" t="b">
        <f t="shared" ref="E23:E28" si="0">IF(D23="Compliant",TRUE,FALSE)</f>
        <v>0</v>
      </c>
      <c r="F23" s="44"/>
      <c r="G23" s="44" t="str">
        <f t="shared" ref="G23:G28" si="1">IF(I23&lt;&gt;"", "Not Blank", "")</f>
        <v/>
      </c>
      <c r="H23" s="44"/>
      <c r="I23" s="42"/>
      <c r="J23" s="42"/>
      <c r="K23" s="42"/>
      <c r="L23" s="42"/>
      <c r="M23" s="128"/>
      <c r="N23" s="4801"/>
      <c r="O23" s="4530"/>
      <c r="P23" s="3289"/>
      <c r="Q23" s="2238" t="s">
        <v>3</v>
      </c>
      <c r="R23" s="737" t="b">
        <f t="shared" ref="R23:R28" si="2">IF(OR(Q23="Compliant",Q23="FE with work-a-round",Q23="Functionally Equivalent"),TRUE,FALSE)</f>
        <v>0</v>
      </c>
      <c r="S23" s="471"/>
      <c r="T23" s="471"/>
      <c r="U23" s="1218"/>
      <c r="V23" s="4801"/>
      <c r="W23" s="4513"/>
      <c r="X23" s="2776"/>
      <c r="Y23" s="1431"/>
      <c r="Z23" s="1432"/>
    </row>
    <row r="24" spans="1:26" s="1394" customFormat="1" ht="43.5" x14ac:dyDescent="0.3">
      <c r="A24" s="2974" t="s">
        <v>175</v>
      </c>
      <c r="B24" s="2050"/>
      <c r="C24" s="3347" t="s">
        <v>751</v>
      </c>
      <c r="D24" s="319" t="s">
        <v>3</v>
      </c>
      <c r="E24" s="67" t="b">
        <f t="shared" si="0"/>
        <v>0</v>
      </c>
      <c r="F24" s="44"/>
      <c r="G24" s="44" t="str">
        <f t="shared" si="1"/>
        <v/>
      </c>
      <c r="H24" s="44"/>
      <c r="I24" s="44"/>
      <c r="J24" s="44" t="str">
        <f>IF(L24&lt;&gt;"", "Not Blank", "")</f>
        <v/>
      </c>
      <c r="K24" s="44"/>
      <c r="L24" s="44"/>
      <c r="M24" s="122"/>
      <c r="N24" s="4801"/>
      <c r="O24" s="4530"/>
      <c r="P24" s="3290"/>
      <c r="Q24" s="1062" t="s">
        <v>3</v>
      </c>
      <c r="R24" s="737" t="b">
        <f t="shared" si="2"/>
        <v>0</v>
      </c>
      <c r="S24" s="471"/>
      <c r="T24" s="471"/>
      <c r="U24" s="1218"/>
      <c r="V24" s="4801"/>
      <c r="W24" s="4513"/>
      <c r="X24" s="2776"/>
      <c r="Y24" s="1431"/>
      <c r="Z24" s="1432"/>
    </row>
    <row r="25" spans="1:26" s="1394" customFormat="1" ht="58" x14ac:dyDescent="0.3">
      <c r="A25" s="2974" t="s">
        <v>176</v>
      </c>
      <c r="B25" s="2050"/>
      <c r="C25" s="3347" t="s">
        <v>752</v>
      </c>
      <c r="D25" s="319" t="s">
        <v>3</v>
      </c>
      <c r="E25" s="67" t="b">
        <f t="shared" si="0"/>
        <v>0</v>
      </c>
      <c r="F25" s="44"/>
      <c r="G25" s="44" t="str">
        <f t="shared" si="1"/>
        <v/>
      </c>
      <c r="H25" s="44"/>
      <c r="I25" s="44"/>
      <c r="J25" s="44" t="str">
        <f>IF(L25&lt;&gt;"", "Not Blank", "")</f>
        <v/>
      </c>
      <c r="K25" s="44"/>
      <c r="L25" s="44"/>
      <c r="M25" s="122"/>
      <c r="N25" s="4801"/>
      <c r="O25" s="4530"/>
      <c r="P25" s="3290"/>
      <c r="Q25" s="1062" t="s">
        <v>3</v>
      </c>
      <c r="R25" s="737" t="b">
        <f t="shared" si="2"/>
        <v>0</v>
      </c>
      <c r="S25" s="471"/>
      <c r="T25" s="471"/>
      <c r="U25" s="1218"/>
      <c r="V25" s="4801"/>
      <c r="W25" s="4513"/>
      <c r="X25" s="2776"/>
      <c r="Y25" s="1431"/>
      <c r="Z25" s="1432"/>
    </row>
    <row r="26" spans="1:26" s="1394" customFormat="1" ht="58" x14ac:dyDescent="0.3">
      <c r="A26" s="2974" t="s">
        <v>177</v>
      </c>
      <c r="B26" s="2050"/>
      <c r="C26" s="3347" t="s">
        <v>753</v>
      </c>
      <c r="D26" s="319" t="s">
        <v>3</v>
      </c>
      <c r="E26" s="67" t="b">
        <f t="shared" si="0"/>
        <v>0</v>
      </c>
      <c r="F26" s="44"/>
      <c r="G26" s="44" t="str">
        <f t="shared" si="1"/>
        <v/>
      </c>
      <c r="H26" s="44"/>
      <c r="I26" s="44"/>
      <c r="J26" s="44" t="str">
        <f>IF(L26&lt;&gt;"", "Not Blank", "")</f>
        <v/>
      </c>
      <c r="K26" s="44"/>
      <c r="L26" s="44"/>
      <c r="M26" s="122"/>
      <c r="N26" s="4801"/>
      <c r="O26" s="4530"/>
      <c r="P26" s="3290"/>
      <c r="Q26" s="1062" t="s">
        <v>3</v>
      </c>
      <c r="R26" s="737" t="b">
        <f t="shared" si="2"/>
        <v>0</v>
      </c>
      <c r="S26" s="471"/>
      <c r="T26" s="471"/>
      <c r="U26" s="1218"/>
      <c r="V26" s="4801"/>
      <c r="W26" s="4513"/>
      <c r="X26" s="2776"/>
      <c r="Y26" s="1431"/>
      <c r="Z26" s="1432"/>
    </row>
    <row r="27" spans="1:26" s="1394" customFormat="1" ht="72.5" x14ac:dyDescent="0.3">
      <c r="A27" s="2974" t="s">
        <v>178</v>
      </c>
      <c r="B27" s="2050"/>
      <c r="C27" s="3347" t="s">
        <v>899</v>
      </c>
      <c r="D27" s="319" t="s">
        <v>3</v>
      </c>
      <c r="E27" s="67" t="b">
        <f t="shared" si="0"/>
        <v>0</v>
      </c>
      <c r="F27" s="44"/>
      <c r="G27" s="44" t="str">
        <f t="shared" si="1"/>
        <v/>
      </c>
      <c r="H27" s="44"/>
      <c r="I27" s="44"/>
      <c r="J27" s="44" t="str">
        <f>IF(L27&lt;&gt;"", "Not Blank", "")</f>
        <v/>
      </c>
      <c r="K27" s="44"/>
      <c r="L27" s="44"/>
      <c r="M27" s="122"/>
      <c r="N27" s="4801"/>
      <c r="O27" s="4530"/>
      <c r="P27" s="3290"/>
      <c r="Q27" s="1062" t="s">
        <v>3</v>
      </c>
      <c r="R27" s="737" t="b">
        <f t="shared" si="2"/>
        <v>0</v>
      </c>
      <c r="S27" s="471"/>
      <c r="T27" s="471"/>
      <c r="U27" s="1218"/>
      <c r="V27" s="4801"/>
      <c r="W27" s="4513"/>
      <c r="X27" s="2776"/>
      <c r="Y27" s="1431"/>
      <c r="Z27" s="1432"/>
    </row>
    <row r="28" spans="1:26" s="1394" customFormat="1" ht="58.5" thickBot="1" x14ac:dyDescent="0.35">
      <c r="A28" s="2974" t="s">
        <v>179</v>
      </c>
      <c r="B28" s="3352"/>
      <c r="C28" s="3349" t="s">
        <v>2056</v>
      </c>
      <c r="D28" s="849" t="s">
        <v>3</v>
      </c>
      <c r="E28" s="78" t="b">
        <f t="shared" si="0"/>
        <v>0</v>
      </c>
      <c r="F28" s="79"/>
      <c r="G28" s="79" t="str">
        <f t="shared" si="1"/>
        <v/>
      </c>
      <c r="H28" s="79"/>
      <c r="I28" s="79"/>
      <c r="J28" s="79" t="str">
        <f>IF(L28&lt;&gt;"", "Not Blank", "")</f>
        <v/>
      </c>
      <c r="K28" s="79"/>
      <c r="L28" s="79"/>
      <c r="M28" s="127"/>
      <c r="N28" s="4823"/>
      <c r="O28" s="4837"/>
      <c r="P28" s="3291"/>
      <c r="Q28" s="1063" t="s">
        <v>3</v>
      </c>
      <c r="R28" s="737" t="b">
        <f t="shared" si="2"/>
        <v>0</v>
      </c>
      <c r="S28" s="1425"/>
      <c r="T28" s="1425"/>
      <c r="U28" s="3054"/>
      <c r="V28" s="4802"/>
      <c r="W28" s="4812"/>
      <c r="X28" s="3292"/>
      <c r="Y28" s="1426"/>
      <c r="Z28" s="1427"/>
    </row>
    <row r="29" spans="1:26" s="1557" customFormat="1" ht="73" thickTop="1" x14ac:dyDescent="0.3">
      <c r="A29" s="1557" t="s">
        <v>755</v>
      </c>
      <c r="B29" s="1509" t="s">
        <v>756</v>
      </c>
      <c r="C29" s="3353" t="s">
        <v>1609</v>
      </c>
      <c r="D29" s="3354" t="s">
        <v>565</v>
      </c>
      <c r="E29" s="3355" t="b">
        <f>IF(AND(E30=TRUE,E31=TRUE,E32=TRUE),TRUE,FALSE)</f>
        <v>0</v>
      </c>
      <c r="F29" s="3356">
        <f>COUNTIF(E30:E32,TRUE)</f>
        <v>0</v>
      </c>
      <c r="G29" s="3356">
        <f>COUNTIFS(E30:E32,TRUE,G30:G32,"Not Blank")</f>
        <v>0</v>
      </c>
      <c r="H29" s="3356">
        <f>COUNTIFS(E30:E32,FALSE,G30:G32,"Not Blank")</f>
        <v>0</v>
      </c>
      <c r="I29" s="3357" t="str">
        <f xml:space="preserve">
IF(F29&gt;3,"Too Many Entries - Check Red Lines",
IF(G29&lt;F29,"Valid Entry required below - Check Amber Line/s",
IF(AND(E29=FALSE,G29=0,H29=0),"Nothing Entered below Yet",
IF(G29&lt;F29,"Valid Entry required below - Check Amber Line/s",
IF(AND(G29=0,H29&gt;0),"**Non-Valid Entry/ies below - Check Yellow Line/s",
IF(AND(G29&gt;0,H29&gt;0),"**Valid and Non-Valid Entries made below - Check Yellow Line/s",
IF(AND(E29=FALSE,F29&lt;3),"Not all requirements addressed below - Check Pink Line/s",
IF(AND(E29=FALSE,G29&lt;3,G29&gt;0,H29=0),"More entries to come",
IF(AND(E29,TRUE,G29=3,H29=0),"Valid Entries made below"
)))))))))</f>
        <v>Nothing Entered below Yet</v>
      </c>
      <c r="J29" s="3356">
        <f>COUNTIFS(E30:E32,TRUE,J30:J32,"Not Blank")</f>
        <v>0</v>
      </c>
      <c r="K29" s="3356">
        <f>COUNTIFS(E30:E32,FALSE,J30:J32,"Not Blank")</f>
        <v>0</v>
      </c>
      <c r="L29" s="3358" t="str">
        <f xml:space="preserve">
IF(J29&gt;3,"Too Many Entries - Check Red Lines",
IF(AND(E29=FALSE,J29=0,K29=0,E29=TRUE),"Nothing Required Below",
IF(J29&lt;F29,"Valid Entry required below - Check Amber Line/s",
IF(AND(E29=FALSE,J29=0,K29=0),"Nothing Entered below Yet",
IF(AND(J29=0,K29&gt;0),"**Non-Valid Entry/ies below - Check Yellow Line/s",
IF(AND(J29&gt;0,K29&gt;0),"**Valid and Non-Valid Entries made below - Check Yellow Line/s",
IF(AND(E29=FALSE,J29&lt;3),"Not all requirements addressed below - Check Pink Line/s",
IF(AND(E29=FALSE,J29&lt;3,J29&gt;0,K29=0),"More entries to come",
IF(AND(E29,TRUE,J29=3,K29=0),"Valid Entries made below"
)))))))))</f>
        <v>Nothing Entered below Yet</v>
      </c>
      <c r="M29" s="3294"/>
      <c r="N29" s="4822" t="s">
        <v>3</v>
      </c>
      <c r="O29" s="4824" t="b">
        <f>IF(OR(N29="Compliant",N29="FE with work-a-round",N29="Functionally Equivalent"),TRUE,FALSE)</f>
        <v>0</v>
      </c>
      <c r="P29" s="2619"/>
      <c r="Q29" s="4222" t="s">
        <v>565</v>
      </c>
      <c r="R29" s="2730" t="b">
        <f>IF(AND(R30=TRUE,R31=TRUE,R32=TRUE),TRUE,FALSE)</f>
        <v>0</v>
      </c>
      <c r="S29" s="3295"/>
      <c r="T29" s="3295"/>
      <c r="U29" s="3296"/>
      <c r="V29" s="4800" t="s">
        <v>3</v>
      </c>
      <c r="W29" s="4813" t="b">
        <f>IF(OR(V29="Compliant",V29="FE with work-a-round",V29="Functionally Equivalent",V29="Not Required/Applicable"),TRUE,FALSE)</f>
        <v>0</v>
      </c>
      <c r="X29" s="3297"/>
      <c r="Y29" s="3295"/>
      <c r="Z29" s="3296"/>
    </row>
    <row r="30" spans="1:26" ht="72.5" x14ac:dyDescent="0.3">
      <c r="B30" s="2050"/>
      <c r="C30" s="3347" t="s">
        <v>757</v>
      </c>
      <c r="D30" s="1013" t="s">
        <v>3</v>
      </c>
      <c r="E30" s="67" t="b">
        <f>IF(D30="Compliant",TRUE,FALSE)</f>
        <v>0</v>
      </c>
      <c r="F30" s="1443"/>
      <c r="G30" s="1443" t="str">
        <f>IF(I30&lt;&gt;"", "Not Blank", "")</f>
        <v/>
      </c>
      <c r="H30" s="1443"/>
      <c r="I30" s="1420"/>
      <c r="J30" s="1443" t="str">
        <f>IF(L30&lt;&gt;"", "Not Blank", "")</f>
        <v/>
      </c>
      <c r="K30" s="1443"/>
      <c r="L30" s="3298"/>
      <c r="M30" s="3299"/>
      <c r="N30" s="4801"/>
      <c r="O30" s="4825" t="b">
        <f>IF(OR(N30="Compliant",N30="FE with work-a-round",N30="Functionally Equivalent"),TRUE,FALSE)</f>
        <v>0</v>
      </c>
      <c r="P30" s="3300"/>
      <c r="Q30" s="2237" t="s">
        <v>3</v>
      </c>
      <c r="R30" s="737" t="b">
        <f>IF(OR(Q30="Compliant",Q30="FE with work-a-round",Q30="Functionally Equivalent"),TRUE,FALSE)</f>
        <v>0</v>
      </c>
      <c r="S30" s="1443"/>
      <c r="T30" s="1443"/>
      <c r="U30" s="2697"/>
      <c r="V30" s="4801"/>
      <c r="W30" s="4814"/>
      <c r="X30" s="2709"/>
      <c r="Y30" s="1443"/>
      <c r="Z30" s="2698"/>
    </row>
    <row r="31" spans="1:26" ht="43.5" x14ac:dyDescent="0.3">
      <c r="B31" s="2050"/>
      <c r="C31" s="3347" t="s">
        <v>758</v>
      </c>
      <c r="D31" s="319" t="s">
        <v>3</v>
      </c>
      <c r="E31" s="67" t="b">
        <f>IF(D31="Compliant",TRUE,FALSE)</f>
        <v>0</v>
      </c>
      <c r="F31" s="1443"/>
      <c r="G31" s="1443" t="str">
        <f>IF(I31&lt;&gt;"", "Not Blank", "")</f>
        <v/>
      </c>
      <c r="H31" s="1443"/>
      <c r="I31" s="44"/>
      <c r="J31" s="44"/>
      <c r="K31" s="44"/>
      <c r="L31" s="44"/>
      <c r="M31" s="2698"/>
      <c r="N31" s="4801"/>
      <c r="O31" s="4825" t="b">
        <f t="shared" ref="O31:O45" si="3">IF(N31="Compliant",TRUE,FALSE)</f>
        <v>0</v>
      </c>
      <c r="P31" s="3301"/>
      <c r="Q31" s="1062" t="s">
        <v>3</v>
      </c>
      <c r="R31" s="737" t="b">
        <f>IF(OR(Q31="Compliant",Q31="FE with work-a-round",Q31="Functionally Equivalent"),TRUE,FALSE)</f>
        <v>0</v>
      </c>
      <c r="S31" s="1443"/>
      <c r="T31" s="1443"/>
      <c r="U31" s="2697"/>
      <c r="V31" s="4801"/>
      <c r="W31" s="4814"/>
      <c r="X31" s="2709"/>
      <c r="Y31" s="1443"/>
      <c r="Z31" s="2698"/>
    </row>
    <row r="32" spans="1:26" ht="189" thickBot="1" x14ac:dyDescent="0.35">
      <c r="B32" s="3352"/>
      <c r="C32" s="3349" t="s">
        <v>1265</v>
      </c>
      <c r="D32" s="849" t="s">
        <v>3</v>
      </c>
      <c r="E32" s="78" t="b">
        <f>IF(D32="Compliant",TRUE,FALSE)</f>
        <v>0</v>
      </c>
      <c r="F32" s="1442"/>
      <c r="G32" s="1442" t="str">
        <f>IF(I32&lt;&gt;"", "Not Blank", "")</f>
        <v/>
      </c>
      <c r="H32" s="1442"/>
      <c r="I32" s="1442"/>
      <c r="J32" s="1442" t="str">
        <f>IF(L32&lt;&gt;"", "Not Blank", "")</f>
        <v/>
      </c>
      <c r="K32" s="1442"/>
      <c r="L32" s="3302"/>
      <c r="M32" s="3303"/>
      <c r="N32" s="4823"/>
      <c r="O32" s="4826" t="b">
        <f t="shared" si="3"/>
        <v>0</v>
      </c>
      <c r="P32" s="3304"/>
      <c r="Q32" s="1063" t="s">
        <v>3</v>
      </c>
      <c r="R32" s="737" t="b">
        <f>IF(OR(Q32="Compliant",Q32="FE with work-a-round",Q32="Functionally Equivalent"),TRUE,FALSE)</f>
        <v>0</v>
      </c>
      <c r="S32" s="1442"/>
      <c r="T32" s="1442"/>
      <c r="U32" s="2699"/>
      <c r="V32" s="4802"/>
      <c r="W32" s="4815"/>
      <c r="X32" s="3305"/>
      <c r="Y32" s="1442"/>
      <c r="Z32" s="3303"/>
    </row>
    <row r="33" spans="1:26" s="1559" customFormat="1" ht="59" thickTop="1" thickBot="1" x14ac:dyDescent="0.35">
      <c r="A33" s="1559" t="s">
        <v>206</v>
      </c>
      <c r="B33" s="1857" t="s">
        <v>1610</v>
      </c>
      <c r="C33" s="1809" t="s">
        <v>2059</v>
      </c>
      <c r="D33" s="1925" t="s">
        <v>565</v>
      </c>
      <c r="E33" s="2192" t="b">
        <f>IF(OR(E34,E43),TRUE,FALSE)</f>
        <v>0</v>
      </c>
      <c r="F33" s="1497">
        <f>COUNTIF(E34,TRUE)+COUNTIF(E43,TRUE)</f>
        <v>0</v>
      </c>
      <c r="G33" s="1497">
        <f>COUNTIFS(E34,TRUE,G34,"&lt;&gt;"&amp;0)+COUNTIFS(E43,TRUE,G43,"&lt;&gt;"&amp;0)</f>
        <v>0</v>
      </c>
      <c r="H33" s="1497">
        <f>COUNTIFS(E34,FALSE,H34,"&gt;"&amp;0)+COUNTIFS(E43,FALSE,H43,"&gt;"&amp;0)</f>
        <v>0</v>
      </c>
      <c r="I33" s="1497" t="str">
        <f xml:space="preserve">
IF(F33&gt;1,"Too Many Entries - Check Red Lines",
IF(AND(E33=FALSE,G33=0,H33=0,E33=TRUE),"Nothing Required Below",
IF(G33&lt;F33,"Valid Entry required below - Check Amber Line/s",
IF(AND(E33=FALSE,G33=0,H33=0),"Nothing Entered below Yet",
IF(G33&lt;F33,"Valid Entry required below - Check Amber Line/s",
IF(AND(G33=0,H33&gt;0),"**Non-Valid Entry/ies below - Check Yellow Line/s",
IF(AND(G33&gt;0,H33&gt;0),"**Valid and Non-Valid Entries made below - Check Yellow Line/s",
IF(AND(E33=FALSE,F33&lt;1),"Not all requirements addressed below - Check Pink Line/s",
IF(AND(E33=FALSE,G33&lt;1,G33&gt;0,H33=0),"More entries to come",
IF(AND(E33,TRUE,G33=1,H33=0),"Valid Entries made below"
))))))))))</f>
        <v>Nothing Entered below Yet</v>
      </c>
      <c r="J33" s="1497">
        <f>COUNTIFS(E34,TRUE,J34,"&lt;&gt;"&amp;0)+COUNTIFS(E43,TRUE,J43,"&lt;&gt;"&amp;0)</f>
        <v>0</v>
      </c>
      <c r="K33" s="1497">
        <f>COUNTIFS(E34,FALSE,K34,"&gt;"&amp;0)+COUNTIFS(E43,FALSE,K43,"&gt;"&amp;0)</f>
        <v>0</v>
      </c>
      <c r="L33" s="1497" t="str">
        <f xml:space="preserve">
IF(J33&gt;1,"Too Many Entries - Check Red Lines",
IF(AND(E33=FALSE,J33=0,K33=0,E33=TRUE),"Nothing Required Below",
IF(J33&lt;F33,"Valid Entry required below - Check Amber Line/s",
IF(AND(E33=FALSE,J33=0,K33=0),"Nothing Entered below Yet",
IF(AND(J33=0,K33&gt;0),"**Non-Valid Entry/ies below - Check Yellow Line/s",
IF(AND(J33&gt;0,K33&gt;0),"**Valid and Non-Valid Entries made below - Check Yellow Line/s",
IF(AND(E33=FALSE,J33&lt;1),"Not all requirements addressed below - Check Pink Line/s",
IF(AND(E33=FALSE,J33&lt;1,J33&gt;0,K33=0),"More entries to come",
IF(AND(E33,TRUE,J33=1,K33=0),"Valid Entries made below"
)))))))))</f>
        <v>Nothing Entered below Yet</v>
      </c>
      <c r="M33" s="1781"/>
      <c r="N33" s="4822" t="s">
        <v>3</v>
      </c>
      <c r="O33" s="4816" t="b">
        <f>IF(OR(N33="Compliant",N33="FE with work-a-round",N33="Functionally Equivalent"),TRUE,FALSE)</f>
        <v>0</v>
      </c>
      <c r="P33" s="3307"/>
      <c r="Q33" s="4223" t="s">
        <v>565</v>
      </c>
      <c r="R33" s="3308" t="b">
        <f>IF(OR(R34,R43),TRUE,FALSE)</f>
        <v>0</v>
      </c>
      <c r="S33" s="3309"/>
      <c r="T33" s="3078"/>
      <c r="U33" s="1781"/>
      <c r="V33" s="4800" t="s">
        <v>3</v>
      </c>
      <c r="W33" s="4816" t="b">
        <f>IF(OR(V33="Compliant",V33="FE with work-a-round",V33="Functionally Equivalent",V33="Not Required/Applicable"),TRUE,FALSE)</f>
        <v>0</v>
      </c>
      <c r="X33" s="3309"/>
      <c r="Y33" s="3078"/>
      <c r="Z33" s="1781"/>
    </row>
    <row r="34" spans="1:26" s="1559" customFormat="1" ht="44" thickTop="1" x14ac:dyDescent="0.3">
      <c r="A34" s="1559" t="s">
        <v>206</v>
      </c>
      <c r="B34" s="2065" t="s">
        <v>1623</v>
      </c>
      <c r="C34" s="2275" t="s">
        <v>1611</v>
      </c>
      <c r="D34" s="2149" t="s">
        <v>565</v>
      </c>
      <c r="E34" s="1922" t="b">
        <f>IF(AND(E35=TRUE,E36=TRUE,E37=TRUE,E38=TRUE,E39=TRUE,E40=TRUE,E41=TRUE,E42=TRUE),TRUE,FALSE)</f>
        <v>0</v>
      </c>
      <c r="F34" s="1647">
        <f>COUNTIF(E35:E42,TRUE)</f>
        <v>0</v>
      </c>
      <c r="G34" s="1647">
        <f>COUNTIFS(E35:E42,TRUE,G35:G42,"Not Blank")</f>
        <v>0</v>
      </c>
      <c r="H34" s="1806">
        <f>COUNTIFS(E35:E42,FALSE,G35:G42,"Not Blank")</f>
        <v>0</v>
      </c>
      <c r="I34" s="2239" t="str">
        <f xml:space="preserve">
IF(F34&gt;8,"Too Many Entries - Check Red Lines",
IF(AND(E34=FALSE,G34=0,H34=0,E33=TRUE),"Nothing Required Below",
IF(G34&lt;F34,"Valid Entry required below - Check Amber Line/s",
IF(AND(E34=FALSE,G34=0,H34=0),"Nothing Entered below Yet",
IF(G34&lt;F34,"Valid Entry required below - Check Amber Line/s",
IF(AND(G34=0,H34&gt;0),"**Non-Valid Entry/ies below - Check Yellow Line/s",
IF(AND(G34&gt;0,H34&gt;0),"**Valid and Non-Valid Entries made below - Check Yellow Line/s",
IF(AND(E34=FALSE,F34&lt;8),"Not all requirements addressed below - Check Pink Line/s",
IF(AND(E34=FALSE,G34&lt;8,G34&gt;0,H34=0),"More entries to come",
IF(AND(E34,TRUE,G34=8,H34=0),"Valid Entries made below"
))))))))))</f>
        <v>Nothing Entered below Yet</v>
      </c>
      <c r="J34" s="1647">
        <f>COUNTIFS(E35:E42,TRUE,J35:J42,"Not Blank")</f>
        <v>0</v>
      </c>
      <c r="K34" s="1647">
        <f>COUNTIFS(E35:E42,FALSE,J35:J42,"Not Blank")</f>
        <v>0</v>
      </c>
      <c r="L34" s="1648" t="str">
        <f xml:space="preserve">
IF(J34&gt;8,"Too Many Entries - Check Red Lines",
IF(AND(E34=FALSE,J34=0,K34=0,E34=TRUE),"Nothing Required Below",
IF(J34&lt;F34,"Valid Entry required below - Check Amber Line/s",
IF(AND(E34=FALSE,J34=0,K34=0),"Nothing Entered below Yet",
IF(AND(J34=0,K34&gt;0),"**Non-Valid Entry/ies below - Check Yellow Line/s",
IF(AND(J34&gt;0,K34&gt;0),"**Valid and Non-Valid Entries made below - Check Yellow Line/s",
IF(AND(E34=FALSE,J34&lt;8),"Not all requirements addressed below - Check Pink Line/s",
IF(AND(E34=FALSE,J34&lt;8,J34&gt;0,K34=0),"More entries to come",
IF(AND(E34,TRUE,J34=8,K34=0),"Valid Entries made below"
)))))))))</f>
        <v>Nothing Entered below Yet</v>
      </c>
      <c r="M34" s="3310"/>
      <c r="N34" s="4801"/>
      <c r="O34" s="4827" t="b">
        <f>IF(OR(N34="Compliant",N34="FE with work-a-round",N34="Functionally Equivalent"),TRUE,FALSE)</f>
        <v>0</v>
      </c>
      <c r="P34" s="3311"/>
      <c r="Q34" s="4224" t="s">
        <v>1739</v>
      </c>
      <c r="R34" s="3062" t="b">
        <f>IF(AND(R35=TRUE,R36=TRUE,R37=TRUE,R38=TRUE,R39=TRUE,R40=TRUE,R41=TRUE,R42=TRUE),TRUE,FALSE)</f>
        <v>0</v>
      </c>
      <c r="S34" s="2610"/>
      <c r="T34" s="2610"/>
      <c r="U34" s="2707"/>
      <c r="V34" s="4801"/>
      <c r="W34" s="4817"/>
      <c r="X34" s="2835"/>
      <c r="Y34" s="2610"/>
      <c r="Z34" s="2611"/>
    </row>
    <row r="35" spans="1:26" s="1559" customFormat="1" ht="87" x14ac:dyDescent="0.3">
      <c r="A35" s="1559" t="s">
        <v>1612</v>
      </c>
      <c r="B35" s="1504"/>
      <c r="C35" s="2167" t="s">
        <v>1613</v>
      </c>
      <c r="D35" s="1013" t="s">
        <v>3</v>
      </c>
      <c r="E35" s="67" t="b">
        <f>IF(D35="Compliant",TRUE,FALSE)</f>
        <v>0</v>
      </c>
      <c r="F35" s="44"/>
      <c r="G35" s="44" t="str">
        <f>IF(I35&lt;&gt;"", "Not Blank", "")</f>
        <v/>
      </c>
      <c r="H35" s="68"/>
      <c r="I35" s="2240"/>
      <c r="J35" s="44" t="str">
        <f>IF(L35&lt;&gt;"", "Not Blank", "")</f>
        <v/>
      </c>
      <c r="K35" s="44"/>
      <c r="L35" s="2164"/>
      <c r="M35" s="3204"/>
      <c r="N35" s="4801"/>
      <c r="O35" s="4827" t="b">
        <f t="shared" si="3"/>
        <v>0</v>
      </c>
      <c r="P35" s="3312"/>
      <c r="Q35" s="2238" t="s">
        <v>3</v>
      </c>
      <c r="R35" s="737" t="b">
        <f t="shared" ref="R35:R42" si="4">IF(OR(Q35="Compliant",Q35="FE with work-a-round",Q35="Functionally Equivalent"),TRUE,FALSE)</f>
        <v>0</v>
      </c>
      <c r="S35" s="399"/>
      <c r="T35" s="399"/>
      <c r="U35" s="3313"/>
      <c r="V35" s="4801"/>
      <c r="W35" s="4817"/>
      <c r="X35" s="2837"/>
      <c r="Y35" s="399"/>
      <c r="Z35" s="1785"/>
    </row>
    <row r="36" spans="1:26" s="1558" customFormat="1" ht="43.5" x14ac:dyDescent="0.3">
      <c r="A36" s="1559" t="s">
        <v>1600</v>
      </c>
      <c r="B36" s="1504"/>
      <c r="C36" s="1717" t="s">
        <v>1614</v>
      </c>
      <c r="D36" s="319" t="s">
        <v>3</v>
      </c>
      <c r="E36" s="67" t="b">
        <f t="shared" ref="E36:E42" si="5">IF(D36="Compliant",TRUE,FALSE)</f>
        <v>0</v>
      </c>
      <c r="F36" s="44"/>
      <c r="G36" s="44" t="str">
        <f t="shared" ref="G36:G42" si="6">IF(I36&lt;&gt;"", "Not Blank", "")</f>
        <v/>
      </c>
      <c r="H36" s="68"/>
      <c r="I36" s="121"/>
      <c r="J36" s="44" t="str">
        <f t="shared" ref="J36:J42" si="7">IF(L36&lt;&gt;"", "Not Blank", "")</f>
        <v/>
      </c>
      <c r="K36" s="44"/>
      <c r="L36" s="44"/>
      <c r="M36" s="1775"/>
      <c r="N36" s="4801"/>
      <c r="O36" s="4827" t="b">
        <f t="shared" si="3"/>
        <v>0</v>
      </c>
      <c r="P36" s="3314"/>
      <c r="Q36" s="1062" t="s">
        <v>3</v>
      </c>
      <c r="R36" s="737" t="b">
        <f t="shared" si="4"/>
        <v>0</v>
      </c>
      <c r="S36" s="1748"/>
      <c r="T36" s="1748"/>
      <c r="U36" s="1752"/>
      <c r="V36" s="4801"/>
      <c r="W36" s="4817"/>
      <c r="X36" s="3197"/>
      <c r="Y36" s="1748"/>
      <c r="Z36" s="1775"/>
    </row>
    <row r="37" spans="1:26" s="1559" customFormat="1" ht="44" thickBot="1" x14ac:dyDescent="0.35">
      <c r="A37" s="1559" t="s">
        <v>1601</v>
      </c>
      <c r="B37" s="1504"/>
      <c r="C37" s="1717" t="s">
        <v>1615</v>
      </c>
      <c r="D37" s="555" t="s">
        <v>3</v>
      </c>
      <c r="E37" s="161" t="b">
        <f>IF(D37="Compliant",TRUE,FALSE)</f>
        <v>0</v>
      </c>
      <c r="F37" s="124"/>
      <c r="G37" s="124" t="str">
        <f>IF(I37&lt;&gt;"", "Not Blank", "")</f>
        <v/>
      </c>
      <c r="H37" s="246"/>
      <c r="I37" s="121"/>
      <c r="J37" s="44" t="str">
        <f>IF(L37&lt;&gt;"", "Not Blank", "")</f>
        <v/>
      </c>
      <c r="K37" s="44"/>
      <c r="L37" s="44"/>
      <c r="M37" s="1785"/>
      <c r="N37" s="4801"/>
      <c r="O37" s="4827" t="b">
        <f t="shared" si="3"/>
        <v>0</v>
      </c>
      <c r="P37" s="3315"/>
      <c r="Q37" s="1062" t="s">
        <v>3</v>
      </c>
      <c r="R37" s="737" t="b">
        <f t="shared" si="4"/>
        <v>0</v>
      </c>
      <c r="S37" s="399"/>
      <c r="T37" s="399"/>
      <c r="U37" s="3313"/>
      <c r="V37" s="4801"/>
      <c r="W37" s="4817"/>
      <c r="X37" s="2837"/>
      <c r="Y37" s="399"/>
      <c r="Z37" s="1785"/>
    </row>
    <row r="38" spans="1:26" s="1559" customFormat="1" ht="30" thickTop="1" thickBot="1" x14ac:dyDescent="0.35">
      <c r="A38" s="1559" t="s">
        <v>1602</v>
      </c>
      <c r="B38" s="1504"/>
      <c r="C38" s="1717" t="s">
        <v>1616</v>
      </c>
      <c r="D38" s="555" t="s">
        <v>3</v>
      </c>
      <c r="E38" s="161" t="b">
        <f>IF(D38="Compliant",TRUE,FALSE)</f>
        <v>0</v>
      </c>
      <c r="F38" s="124"/>
      <c r="G38" s="124" t="str">
        <f>IF(I38&lt;&gt;"", "Not Blank", "")</f>
        <v/>
      </c>
      <c r="H38" s="246"/>
      <c r="I38" s="121"/>
      <c r="J38" s="44" t="str">
        <f>IF(L38&lt;&gt;"", "Not Blank", "")</f>
        <v/>
      </c>
      <c r="K38" s="44"/>
      <c r="L38" s="44"/>
      <c r="M38" s="1785"/>
      <c r="N38" s="4801"/>
      <c r="O38" s="4827" t="b">
        <f>IF(OR(N38="Compliant",N38="FE with work-a-round",N38="Functionally Equivalent"),TRUE,FALSE)</f>
        <v>0</v>
      </c>
      <c r="P38" s="3315"/>
      <c r="Q38" s="1062" t="s">
        <v>3</v>
      </c>
      <c r="R38" s="737" t="b">
        <f t="shared" si="4"/>
        <v>0</v>
      </c>
      <c r="S38" s="399"/>
      <c r="T38" s="399"/>
      <c r="U38" s="3313"/>
      <c r="V38" s="4801"/>
      <c r="W38" s="4817"/>
      <c r="X38" s="2837"/>
      <c r="Y38" s="399"/>
      <c r="Z38" s="1785"/>
    </row>
    <row r="39" spans="1:26" s="1558" customFormat="1" ht="58.5" thickTop="1" x14ac:dyDescent="0.3">
      <c r="A39" s="1559" t="s">
        <v>1600</v>
      </c>
      <c r="B39" s="1504"/>
      <c r="C39" s="1717" t="s">
        <v>1617</v>
      </c>
      <c r="D39" s="319" t="s">
        <v>3</v>
      </c>
      <c r="E39" s="67" t="b">
        <f>IF(D39="Compliant",TRUE,FALSE)</f>
        <v>0</v>
      </c>
      <c r="F39" s="44"/>
      <c r="G39" s="44" t="str">
        <f>IF(I39&lt;&gt;"", "Not Blank", "")</f>
        <v/>
      </c>
      <c r="H39" s="68"/>
      <c r="I39" s="121"/>
      <c r="J39" s="44" t="str">
        <f>IF(L39&lt;&gt;"", "Not Blank", "")</f>
        <v/>
      </c>
      <c r="K39" s="44"/>
      <c r="L39" s="44"/>
      <c r="M39" s="1775"/>
      <c r="N39" s="4801"/>
      <c r="O39" s="4827" t="b">
        <f t="shared" si="3"/>
        <v>0</v>
      </c>
      <c r="P39" s="3314"/>
      <c r="Q39" s="1062" t="s">
        <v>3</v>
      </c>
      <c r="R39" s="737" t="b">
        <f t="shared" si="4"/>
        <v>0</v>
      </c>
      <c r="S39" s="1748"/>
      <c r="T39" s="1748"/>
      <c r="U39" s="1752"/>
      <c r="V39" s="4801"/>
      <c r="W39" s="4817"/>
      <c r="X39" s="3197"/>
      <c r="Y39" s="1748"/>
      <c r="Z39" s="1775"/>
    </row>
    <row r="40" spans="1:26" s="1559" customFormat="1" ht="29.5" thickBot="1" x14ac:dyDescent="0.35">
      <c r="A40" s="1559" t="s">
        <v>1601</v>
      </c>
      <c r="B40" s="1504"/>
      <c r="C40" s="1717" t="s">
        <v>1618</v>
      </c>
      <c r="D40" s="555" t="s">
        <v>3</v>
      </c>
      <c r="E40" s="161" t="b">
        <f>IF(D40="Compliant",TRUE,FALSE)</f>
        <v>0</v>
      </c>
      <c r="F40" s="124"/>
      <c r="G40" s="124" t="str">
        <f>IF(I40&lt;&gt;"", "Not Blank", "")</f>
        <v/>
      </c>
      <c r="H40" s="246"/>
      <c r="I40" s="121"/>
      <c r="J40" s="44" t="str">
        <f>IF(L40&lt;&gt;"", "Not Blank", "")</f>
        <v/>
      </c>
      <c r="K40" s="44"/>
      <c r="L40" s="44"/>
      <c r="M40" s="1785"/>
      <c r="N40" s="4801"/>
      <c r="O40" s="4827" t="b">
        <f t="shared" si="3"/>
        <v>0</v>
      </c>
      <c r="P40" s="3315"/>
      <c r="Q40" s="1062" t="s">
        <v>3</v>
      </c>
      <c r="R40" s="737" t="b">
        <f t="shared" si="4"/>
        <v>0</v>
      </c>
      <c r="S40" s="399"/>
      <c r="T40" s="399"/>
      <c r="U40" s="3313"/>
      <c r="V40" s="4801"/>
      <c r="W40" s="4817"/>
      <c r="X40" s="2837"/>
      <c r="Y40" s="399"/>
      <c r="Z40" s="1785"/>
    </row>
    <row r="41" spans="1:26" s="1559" customFormat="1" ht="59" thickTop="1" thickBot="1" x14ac:dyDescent="0.35">
      <c r="A41" s="1559" t="s">
        <v>1601</v>
      </c>
      <c r="B41" s="1504"/>
      <c r="C41" s="1717" t="s">
        <v>1619</v>
      </c>
      <c r="D41" s="555" t="s">
        <v>3</v>
      </c>
      <c r="E41" s="161" t="b">
        <f t="shared" si="5"/>
        <v>0</v>
      </c>
      <c r="F41" s="124"/>
      <c r="G41" s="124" t="str">
        <f t="shared" si="6"/>
        <v/>
      </c>
      <c r="H41" s="246"/>
      <c r="I41" s="121"/>
      <c r="J41" s="44" t="str">
        <f t="shared" si="7"/>
        <v/>
      </c>
      <c r="K41" s="44"/>
      <c r="L41" s="44"/>
      <c r="M41" s="1785"/>
      <c r="N41" s="4801"/>
      <c r="O41" s="4827" t="b">
        <f t="shared" si="3"/>
        <v>0</v>
      </c>
      <c r="P41" s="3315"/>
      <c r="Q41" s="1062" t="s">
        <v>3</v>
      </c>
      <c r="R41" s="737" t="b">
        <f t="shared" si="4"/>
        <v>0</v>
      </c>
      <c r="S41" s="399"/>
      <c r="T41" s="399"/>
      <c r="U41" s="3313"/>
      <c r="V41" s="4801"/>
      <c r="W41" s="4817"/>
      <c r="X41" s="2837"/>
      <c r="Y41" s="399"/>
      <c r="Z41" s="1785"/>
    </row>
    <row r="42" spans="1:26" s="1559" customFormat="1" ht="88" thickTop="1" thickBot="1" x14ac:dyDescent="0.35">
      <c r="A42" s="1559" t="s">
        <v>1602</v>
      </c>
      <c r="B42" s="1508"/>
      <c r="C42" s="1807" t="s">
        <v>1620</v>
      </c>
      <c r="D42" s="849" t="s">
        <v>3</v>
      </c>
      <c r="E42" s="78" t="b">
        <f t="shared" si="5"/>
        <v>0</v>
      </c>
      <c r="F42" s="79"/>
      <c r="G42" s="79" t="str">
        <f t="shared" si="6"/>
        <v/>
      </c>
      <c r="H42" s="143"/>
      <c r="I42" s="895"/>
      <c r="J42" s="79" t="str">
        <f t="shared" si="7"/>
        <v/>
      </c>
      <c r="K42" s="79"/>
      <c r="L42" s="79"/>
      <c r="M42" s="2612"/>
      <c r="N42" s="4801"/>
      <c r="O42" s="4827" t="b">
        <f>IF(OR(N42="Compliant",N42="FE with work-a-round",N42="Functionally Equivalent"),TRUE,FALSE)</f>
        <v>0</v>
      </c>
      <c r="P42" s="3306"/>
      <c r="Q42" s="1063" t="s">
        <v>3</v>
      </c>
      <c r="R42" s="737" t="b">
        <f t="shared" si="4"/>
        <v>0</v>
      </c>
      <c r="S42" s="3316"/>
      <c r="T42" s="3316"/>
      <c r="U42" s="3317"/>
      <c r="V42" s="4801"/>
      <c r="W42" s="4817"/>
      <c r="X42" s="3318"/>
      <c r="Y42" s="3316"/>
      <c r="Z42" s="2612"/>
    </row>
    <row r="43" spans="1:26" s="1558" customFormat="1" ht="29.5" thickTop="1" x14ac:dyDescent="0.3">
      <c r="A43" s="1559">
        <v>4.2</v>
      </c>
      <c r="B43" s="1509" t="s">
        <v>1622</v>
      </c>
      <c r="C43" s="1734" t="s">
        <v>1741</v>
      </c>
      <c r="D43" s="2010" t="s">
        <v>565</v>
      </c>
      <c r="E43" s="1929" t="b">
        <f>AND(E44,E45)</f>
        <v>0</v>
      </c>
      <c r="F43" s="1934">
        <f>COUNTIF(E44:E47,TRUE)</f>
        <v>0</v>
      </c>
      <c r="G43" s="1935">
        <f>COUNTIFS(E44:E47,TRUE,G44:G47,"Not Blank")</f>
        <v>0</v>
      </c>
      <c r="H43" s="1934">
        <f>COUNTIFS(E44:E47,FALSE,G44:G47,"Not Blank")</f>
        <v>0</v>
      </c>
      <c r="I43" s="1727" t="str">
        <f xml:space="preserve">
IF(F43&gt;2,"Too Many Entries - Check Red Lines",
IF(AND(E43=FALSE,G43=0,H43=0,E33=TRUE),"Nothing Required Below",
IF(G43&lt;F43,"Valid Entry required below - Check Amber Line/s",
IF(AND(E43=FALSE,G43=0,H43=0),"Nothing Entered below Yet",
IF(G43&lt;F43,"Valid Entry required below - Check Amber Line/s",
IF(AND(G43=0,H43&gt;0),"**Non-Valid Entry/ies below - Check Yellow Line/s",
IF(AND(G43&gt;0,H43&gt;0),"**Valid and Non-Valid Entries made below - Check Yellow Line/s",
IF(AND(E43=FALSE,F43&lt;2),"Not all requirements addressed below - Check Pink Line/s",
IF(AND(E43=FALSE,G43&lt;2,G43&gt;0,H43=0),"More entries to come",
IF(AND(E43,TRUE,G43=2,H43=0),"Valid Entries made below"
))))))))))</f>
        <v>Nothing Entered below Yet</v>
      </c>
      <c r="J43" s="1515">
        <f>COUNTIFS(E44:E47,TRUE,J44:J47,"Not Blank")</f>
        <v>0</v>
      </c>
      <c r="K43" s="1515">
        <f>COUNTIFS(E44:E47,FALSE,J44:J47,"Not Blank")</f>
        <v>0</v>
      </c>
      <c r="L43" s="1727" t="str">
        <f xml:space="preserve">
IF(J43&gt;2,"Too Many Entries - Check Red Lines",
IF(AND(E43=FALSE,J43=0,K43=0,E43=TRUE),"Nothing Required Below",
IF(J43&lt;F43,"Valid Entry required below - Check Amber Line/s",
IF(AND(E43=FALSE,J43=0,K43=0),"Nothing Entered below Yet",
IF(AND(J43=0,K43&gt;0),"**Non-Valid Entry/ies below - Check Yellow Line/s",
IF(AND(J43&gt;0,K43&gt;0),"**Valid and Non-Valid Entries made below - Check Yellow Line/s",
IF(AND(E43=FALSE,J43&lt;2),"Not all requirements addressed below - Check Pink Line/s",
IF(AND(E43=FALSE,J43&lt;2,J43&gt;0,K43=0),"More entries to come",
IF(AND(E43,TRUE,J43=2,K43=0),"Valid Entries made below"
)))))))))</f>
        <v>Nothing Entered below Yet</v>
      </c>
      <c r="M43" s="3319"/>
      <c r="N43" s="4801"/>
      <c r="O43" s="4827" t="b">
        <f t="shared" si="3"/>
        <v>0</v>
      </c>
      <c r="P43" s="3320"/>
      <c r="Q43" s="4222" t="s">
        <v>1740</v>
      </c>
      <c r="R43" s="2730" t="b">
        <f>AND(R44,R45)</f>
        <v>0</v>
      </c>
      <c r="S43" s="1750"/>
      <c r="T43" s="1750"/>
      <c r="U43" s="1772"/>
      <c r="V43" s="4801"/>
      <c r="W43" s="4817"/>
      <c r="X43" s="1746"/>
      <c r="Y43" s="1750"/>
      <c r="Z43" s="1772"/>
    </row>
    <row r="44" spans="1:26" s="1558" customFormat="1" ht="145" x14ac:dyDescent="0.3">
      <c r="A44" s="1559">
        <v>4.2</v>
      </c>
      <c r="B44" s="1508"/>
      <c r="C44" s="2167" t="s">
        <v>1964</v>
      </c>
      <c r="D44" s="2168" t="s">
        <v>3</v>
      </c>
      <c r="E44" s="67" t="b">
        <f>IF(D44="Compliant",TRUE,FALSE)</f>
        <v>0</v>
      </c>
      <c r="F44" s="44"/>
      <c r="G44" s="44" t="str">
        <f>IF(I44&lt;&gt;"", "Not Blank", "")</f>
        <v/>
      </c>
      <c r="H44" s="44"/>
      <c r="I44" s="2164"/>
      <c r="J44" s="44" t="str">
        <f>IF(L44&lt;&gt;"", "Not Blank", "")</f>
        <v/>
      </c>
      <c r="K44" s="44"/>
      <c r="L44" s="2164"/>
      <c r="M44" s="2839"/>
      <c r="N44" s="4801"/>
      <c r="O44" s="4827" t="b">
        <f t="shared" si="3"/>
        <v>0</v>
      </c>
      <c r="P44" s="3321"/>
      <c r="Q44" s="2237" t="s">
        <v>3</v>
      </c>
      <c r="R44" s="737" t="b">
        <f>IF(OR(Q44="Compliant",Q44="FE with work-a-round",Q44="Functionally Equivalent"),TRUE,FALSE)</f>
        <v>0</v>
      </c>
      <c r="S44" s="1748"/>
      <c r="T44" s="1748"/>
      <c r="U44" s="1752"/>
      <c r="V44" s="4801"/>
      <c r="W44" s="4817"/>
      <c r="X44" s="3197"/>
      <c r="Y44" s="1748"/>
      <c r="Z44" s="1775"/>
    </row>
    <row r="45" spans="1:26" s="1559" customFormat="1" ht="145.5" thickBot="1" x14ac:dyDescent="0.35">
      <c r="A45" s="1559">
        <v>4.3</v>
      </c>
      <c r="B45" s="1505"/>
      <c r="C45" s="1800" t="s">
        <v>1621</v>
      </c>
      <c r="D45" s="230" t="s">
        <v>3</v>
      </c>
      <c r="E45" s="161" t="b">
        <f>IF(D45="Compliant",TRUE,FALSE)</f>
        <v>0</v>
      </c>
      <c r="F45" s="124"/>
      <c r="G45" s="124" t="str">
        <f>IF(I45&lt;&gt;"", "Not Blank", "")</f>
        <v/>
      </c>
      <c r="H45" s="124"/>
      <c r="I45" s="124"/>
      <c r="J45" s="124" t="str">
        <f>IF(L45&lt;&gt;"", "Not Blank", "")</f>
        <v/>
      </c>
      <c r="K45" s="124"/>
      <c r="L45" s="124"/>
      <c r="M45" s="1784"/>
      <c r="N45" s="4802"/>
      <c r="O45" s="4828" t="b">
        <f t="shared" si="3"/>
        <v>0</v>
      </c>
      <c r="P45" s="3322"/>
      <c r="Q45" s="1063" t="s">
        <v>3</v>
      </c>
      <c r="R45" s="737" t="b">
        <f>IF(OR(Q45="Compliant",Q45="FE with work-a-round",Q45="Functionally Equivalent"),TRUE,FALSE)</f>
        <v>0</v>
      </c>
      <c r="S45" s="1765"/>
      <c r="T45" s="1765"/>
      <c r="U45" s="3323"/>
      <c r="V45" s="4802"/>
      <c r="W45" s="4818"/>
      <c r="X45" s="2838"/>
      <c r="Y45" s="1765"/>
      <c r="Z45" s="1784"/>
    </row>
    <row r="46" spans="1:26" s="3634" customFormat="1" ht="18" customHeight="1" thickTop="1" x14ac:dyDescent="0.3">
      <c r="A46" s="3636"/>
      <c r="B46" s="3651"/>
      <c r="C46" s="3636"/>
      <c r="D46" s="3636"/>
      <c r="F46" s="3636"/>
      <c r="G46" s="3644"/>
      <c r="H46" s="3633"/>
      <c r="I46" s="3652"/>
      <c r="N46" s="3643"/>
      <c r="O46" s="3643"/>
      <c r="R46" s="3643"/>
      <c r="V46" s="3635"/>
      <c r="W46" s="3635"/>
    </row>
    <row r="47" spans="1:26" s="3640" customFormat="1" ht="18.649999999999999" customHeight="1" x14ac:dyDescent="0.3">
      <c r="A47" s="4482" t="s">
        <v>1137</v>
      </c>
      <c r="B47" s="4483"/>
      <c r="C47" s="4483"/>
      <c r="D47" s="4483"/>
      <c r="E47" s="4483"/>
      <c r="F47" s="4483"/>
      <c r="G47" s="4483"/>
      <c r="H47" s="4483"/>
      <c r="I47" s="4483"/>
      <c r="J47" s="4483"/>
      <c r="K47" s="4483"/>
      <c r="L47" s="4483"/>
      <c r="M47" s="4483"/>
      <c r="N47" s="4483"/>
      <c r="O47" s="3669"/>
      <c r="P47" s="3670"/>
      <c r="Q47" s="4030"/>
      <c r="R47" s="4217"/>
      <c r="S47" s="3671"/>
      <c r="T47" s="3672"/>
      <c r="U47" s="3672"/>
      <c r="V47" s="3880"/>
      <c r="W47" s="3673"/>
      <c r="X47" s="3674"/>
      <c r="Y47" s="3675"/>
      <c r="Z47" s="3676"/>
    </row>
    <row r="48" spans="1:26" s="3640" customFormat="1" ht="18" customHeight="1" thickBot="1" x14ac:dyDescent="0.35">
      <c r="A48" s="3636"/>
      <c r="B48" s="3637"/>
      <c r="C48" s="3634"/>
      <c r="D48" s="3634"/>
      <c r="E48" s="3634"/>
      <c r="F48" s="3636"/>
      <c r="G48" s="3641"/>
      <c r="H48" s="3636"/>
      <c r="I48" s="3634"/>
      <c r="J48" s="3643"/>
      <c r="K48" s="3643"/>
      <c r="L48" s="3634"/>
      <c r="M48" s="3634"/>
      <c r="N48" s="3738"/>
      <c r="O48" s="3714"/>
      <c r="P48" s="3642"/>
      <c r="Q48" s="3701"/>
      <c r="R48" s="3738"/>
      <c r="S48" s="3642"/>
      <c r="T48" s="3642"/>
      <c r="U48" s="3642"/>
      <c r="V48" s="3635"/>
      <c r="W48" s="3660"/>
      <c r="X48" s="3660"/>
      <c r="Y48" s="3660"/>
      <c r="Z48" s="3660"/>
    </row>
    <row r="49" spans="1:84" s="27" customFormat="1" ht="30" customHeight="1" thickTop="1" thickBot="1" x14ac:dyDescent="0.35">
      <c r="A49" s="28">
        <v>11</v>
      </c>
      <c r="B49" s="1510" t="s">
        <v>474</v>
      </c>
      <c r="C49" s="1946" t="s">
        <v>825</v>
      </c>
      <c r="D49" s="1925" t="s">
        <v>565</v>
      </c>
      <c r="E49" s="1929" t="b">
        <f>IF(AND(E50=TRUE,E51=TRUE,E53=TRUE),TRUE,FALSE)</f>
        <v>0</v>
      </c>
      <c r="F49" s="1934">
        <f>COUNTIF(E50:E53,TRUE)</f>
        <v>0</v>
      </c>
      <c r="G49" s="1935">
        <f>COUNTIFS(E50:E53,TRUE,G50:G53,"Not Blank")</f>
        <v>0</v>
      </c>
      <c r="H49" s="1934">
        <f>COUNTIFS(E50:E53,FALSE,G50:G53,"Not Blank")</f>
        <v>0</v>
      </c>
      <c r="I49" s="1497" t="str">
        <f xml:space="preserve">
IF(F49&gt;4,"Too Many Entries - Check Red Lines",
IF(G49&lt;F49,"Valid Entry required below - Check Amber Line/s",
IF(AND(E49=FALSE,G49=0,H49=0),"Nothing Entered below Yet",
IF(G49&lt;F49,"Valid Entry required below - Check Amber Line/s",
IF(AND(G49=0,H49&gt;0),"**Non-Valid Entry/ies below - Check Yellow Line/s",
IF(AND(G49&gt;0,H49&gt;0),"**Valid and Non-Valid Entries made below - Check Yellow Line/s",
IF(AND(E49=FALSE,F49&lt;4),"Not all requirements addressed below - Check Pink Line/s",
IF(AND(E49=FALSE,G49&lt;4,G49&gt;0,H49=0),"More entries to come",
IF(AND(E49,TRUE,G49=4,H49=0),"Valid Entries made below"
)))))))))</f>
        <v>Nothing Entered below Yet</v>
      </c>
      <c r="J49" s="1515">
        <f>COUNTIFS(E50:E53,TRUE,J50:J53,"Not Blank")</f>
        <v>0</v>
      </c>
      <c r="K49" s="1515">
        <f>COUNTIFS(E50:E53,FALSE,J50:J53,"Not Blank")</f>
        <v>0</v>
      </c>
      <c r="L49" s="1497" t="str">
        <f xml:space="preserve">
IF(J49&gt;4,"Too Many Entries - Check Red Lines",
IF(AND(E49=FALSE,J49=0,K49=0,E49=TRUE),"Nothing Required Below",
IF(J49&lt;F49,"Valid Entry required below - Check Amber Line/s",
IF(AND(E49=FALSE,J49=0,K49=0),"Nothing Entered below Yet",
IF(AND(J49=0,K49&gt;0),"**Non-Valid Entry/ies below - Check Yellow Line/s",
IF(AND(J49&gt;0,K49&gt;0),"**Valid and Non-Valid Entries made below - Check Yellow Line/s",
IF(AND(E49=FALSE,J49&lt;4),"Not all requirements addressed below - Check Pink Line/s",
IF(AND(E49=FALSE,J49&lt;4,J49&gt;0,K49=0),"More entries to come",
IF(AND(E49,TRUE,J49=4,K49=0),"Valid Entries made below"
)))))))))</f>
        <v>Nothing Entered below Yet</v>
      </c>
      <c r="M49" s="134"/>
      <c r="N49" s="4800" t="s">
        <v>3</v>
      </c>
      <c r="O49" s="3324" t="b">
        <f>IF(OR(N49="Compliant",N49="FE with work-a-round",N49="Functionally Equivalent"),TRUE,FALSE)</f>
        <v>0</v>
      </c>
      <c r="P49" s="4725"/>
      <c r="Q49" s="4183" t="s">
        <v>565</v>
      </c>
      <c r="R49" s="814" t="b">
        <f>IF(AND(R50=TRUE,R51=TRUE,R53=TRUE),TRUE,FALSE)</f>
        <v>0</v>
      </c>
      <c r="S49" s="111"/>
      <c r="T49" s="111"/>
      <c r="U49" s="120"/>
      <c r="V49" s="4800" t="s">
        <v>3</v>
      </c>
      <c r="W49" s="4474" t="b">
        <f>IF(OR(V49="Compliant",V49="FE with work-a-round",V49="Functionally Equivalent",V49="Not Required/Applicable"),TRUE,FALSE)</f>
        <v>0</v>
      </c>
      <c r="X49" s="119"/>
      <c r="Y49" s="111"/>
      <c r="Z49" s="120"/>
      <c r="AA49" s="65"/>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40"/>
    </row>
    <row r="50" spans="1:84" s="27" customFormat="1" ht="73" thickTop="1" x14ac:dyDescent="0.3">
      <c r="A50" s="28" t="s">
        <v>1106</v>
      </c>
      <c r="B50" s="1852"/>
      <c r="C50" s="3359" t="s">
        <v>1266</v>
      </c>
      <c r="D50" s="1013" t="s">
        <v>3</v>
      </c>
      <c r="E50" s="315" t="b">
        <f>IF(D50="Compliant",TRUE,FALSE)</f>
        <v>0</v>
      </c>
      <c r="F50" s="441"/>
      <c r="G50" s="1541" t="str">
        <f>IF(I50&lt;&gt;"", "Not Blank", "")</f>
        <v/>
      </c>
      <c r="H50" s="2592"/>
      <c r="I50" s="1638"/>
      <c r="J50" s="443" t="str">
        <f>IF(L50&lt;&gt;"", "Not Blank", "")</f>
        <v/>
      </c>
      <c r="K50" s="434"/>
      <c r="L50" s="1627"/>
      <c r="M50" s="136"/>
      <c r="N50" s="4801"/>
      <c r="O50" s="3325" t="b">
        <f>IF(N50="Compliant",TRUE,FALSE)</f>
        <v>0</v>
      </c>
      <c r="P50" s="4726"/>
      <c r="Q50" s="1062" t="s">
        <v>3</v>
      </c>
      <c r="R50" s="737" t="b">
        <f>IF(OR(Q50="Compliant",Q50="FE with work-a-round",Q50="Functionally Equivalent"),TRUE,FALSE)</f>
        <v>0</v>
      </c>
      <c r="S50" s="44"/>
      <c r="T50" s="44"/>
      <c r="U50" s="122"/>
      <c r="V50" s="4801"/>
      <c r="W50" s="4803"/>
      <c r="X50" s="121"/>
      <c r="Y50" s="44"/>
      <c r="Z50" s="122"/>
      <c r="AA50" s="65"/>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40"/>
    </row>
    <row r="51" spans="1:84" s="27" customFormat="1" ht="72.5" x14ac:dyDescent="0.3">
      <c r="A51" s="28" t="s">
        <v>1106</v>
      </c>
      <c r="B51" s="1852"/>
      <c r="C51" s="3360" t="s">
        <v>1950</v>
      </c>
      <c r="D51" s="319" t="s">
        <v>3</v>
      </c>
      <c r="E51" s="294" t="b">
        <f>IF(D51="Compliant",TRUE,FALSE)</f>
        <v>0</v>
      </c>
      <c r="F51" s="444"/>
      <c r="G51" s="1541" t="str">
        <f>IF(I51&lt;&gt;"", "Not Blank", "")</f>
        <v/>
      </c>
      <c r="H51" s="2592"/>
      <c r="I51" s="3326"/>
      <c r="J51" s="443" t="str">
        <f>IF(L51&lt;&gt;"", "Not Blank", "")</f>
        <v/>
      </c>
      <c r="K51" s="434"/>
      <c r="L51" s="210"/>
      <c r="M51" s="136"/>
      <c r="N51" s="4801"/>
      <c r="O51" s="3325" t="b">
        <f>IF(N51="Compliant",TRUE,FALSE)</f>
        <v>0</v>
      </c>
      <c r="P51" s="4726"/>
      <c r="Q51" s="1062" t="s">
        <v>3</v>
      </c>
      <c r="R51" s="737" t="b">
        <f>IF(OR(Q51="Compliant",Q51="FE with work-a-round",Q51="Functionally Equivalent"),TRUE,FALSE)</f>
        <v>0</v>
      </c>
      <c r="S51" s="44"/>
      <c r="T51" s="44"/>
      <c r="U51" s="122"/>
      <c r="V51" s="4801"/>
      <c r="W51" s="4803"/>
      <c r="X51" s="121"/>
      <c r="Y51" s="44"/>
      <c r="Z51" s="122"/>
      <c r="AA51" s="65"/>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40"/>
    </row>
    <row r="52" spans="1:84" s="27" customFormat="1" ht="409.5" x14ac:dyDescent="0.3">
      <c r="A52" s="28">
        <v>7.5</v>
      </c>
      <c r="B52" s="1852"/>
      <c r="C52" s="3361" t="s">
        <v>1267</v>
      </c>
      <c r="D52" s="141" t="s">
        <v>3</v>
      </c>
      <c r="E52" s="294" t="b">
        <f>IF(D52="Compliant",TRUE,FALSE)</f>
        <v>0</v>
      </c>
      <c r="F52" s="444"/>
      <c r="G52" s="1541" t="str">
        <f>IF(I52&lt;&gt;"", "Not Blank", "")</f>
        <v/>
      </c>
      <c r="H52" s="2592"/>
      <c r="I52" s="3326"/>
      <c r="J52" s="443" t="str">
        <f>IF(L52&lt;&gt;"", "Not Blank", "")</f>
        <v/>
      </c>
      <c r="K52" s="434"/>
      <c r="L52" s="210"/>
      <c r="M52" s="136"/>
      <c r="N52" s="4801"/>
      <c r="O52" s="3325" t="b">
        <f>IF(N52="Compliant",TRUE,FALSE)</f>
        <v>0</v>
      </c>
      <c r="P52" s="4726"/>
      <c r="Q52" s="1062" t="s">
        <v>3</v>
      </c>
      <c r="R52" s="737" t="b">
        <f>IF(OR(Q52="Compliant",Q52="FE with work-a-round",Q52="Functionally Equivalent"),TRUE,FALSE)</f>
        <v>0</v>
      </c>
      <c r="S52" s="44"/>
      <c r="T52" s="44"/>
      <c r="U52" s="122"/>
      <c r="V52" s="4801"/>
      <c r="W52" s="4803"/>
      <c r="X52" s="121"/>
      <c r="Y52" s="44"/>
      <c r="Z52" s="122"/>
      <c r="AA52" s="65"/>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40"/>
    </row>
    <row r="53" spans="1:84" s="27" customFormat="1" ht="58.5" thickBot="1" x14ac:dyDescent="0.35">
      <c r="A53" s="1419" t="s">
        <v>1103</v>
      </c>
      <c r="B53" s="1852"/>
      <c r="C53" s="3362" t="s">
        <v>1268</v>
      </c>
      <c r="D53" s="230" t="s">
        <v>3</v>
      </c>
      <c r="E53" s="645" t="b">
        <f>IF(D53="Compliant",TRUE,FALSE)</f>
        <v>0</v>
      </c>
      <c r="F53" s="447"/>
      <c r="G53" s="3327" t="str">
        <f>IF(I53&lt;&gt;"", "Not Blank", "")</f>
        <v/>
      </c>
      <c r="H53" s="3328"/>
      <c r="I53" s="3329"/>
      <c r="J53" s="448" t="str">
        <f>IF(L53&lt;&gt;"", "Not Blank", "")</f>
        <v/>
      </c>
      <c r="K53" s="439"/>
      <c r="L53" s="124"/>
      <c r="M53" s="135"/>
      <c r="N53" s="4802"/>
      <c r="O53" s="3330" t="b">
        <f>IF(N53="Compliant",TRUE,FALSE)</f>
        <v>0</v>
      </c>
      <c r="P53" s="4727"/>
      <c r="Q53" s="1063" t="s">
        <v>3</v>
      </c>
      <c r="R53" s="3331" t="b">
        <f>IF(OR(Q53="Compliant",Q53="FE with work-a-round",Q53="Functionally Equivalent"),TRUE,FALSE)</f>
        <v>0</v>
      </c>
      <c r="S53" s="124"/>
      <c r="T53" s="124"/>
      <c r="U53" s="125"/>
      <c r="V53" s="4802"/>
      <c r="W53" s="4804"/>
      <c r="X53" s="123"/>
      <c r="Y53" s="124"/>
      <c r="Z53" s="125"/>
      <c r="AA53" s="65"/>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40"/>
    </row>
    <row r="54" spans="1:84" s="3716" customFormat="1" ht="19" customHeight="1" thickTop="1" x14ac:dyDescent="0.3">
      <c r="A54" s="3651"/>
      <c r="B54" s="3634"/>
      <c r="C54" s="3661"/>
      <c r="D54" s="3634"/>
      <c r="E54" s="3634"/>
      <c r="F54" s="3636"/>
      <c r="G54" s="3662"/>
      <c r="H54" s="3663"/>
      <c r="I54" s="3664"/>
      <c r="J54" s="3643"/>
      <c r="K54" s="3643"/>
      <c r="L54" s="3634"/>
      <c r="M54" s="3634"/>
      <c r="N54" s="3643"/>
      <c r="O54" s="3643"/>
      <c r="P54" s="3634"/>
      <c r="Q54" s="3634"/>
      <c r="R54" s="3643"/>
      <c r="S54" s="3634"/>
      <c r="T54" s="3634"/>
      <c r="U54" s="3634"/>
      <c r="V54" s="3635"/>
      <c r="W54" s="3639"/>
      <c r="X54" s="3634"/>
      <c r="Y54" s="3634"/>
      <c r="Z54" s="3634"/>
      <c r="AA54" s="3634"/>
      <c r="AB54" s="3634"/>
      <c r="AC54" s="3634"/>
      <c r="AD54" s="3634"/>
      <c r="AE54" s="3634"/>
      <c r="AF54" s="3634"/>
      <c r="AG54" s="3634"/>
      <c r="AH54" s="3634"/>
      <c r="AI54" s="3634"/>
      <c r="AJ54" s="3634"/>
      <c r="AK54" s="3634"/>
      <c r="AL54" s="3634"/>
      <c r="AM54" s="3634"/>
      <c r="AN54" s="3634"/>
      <c r="AO54" s="3634"/>
      <c r="AP54" s="3634"/>
      <c r="AQ54" s="3634"/>
      <c r="AR54" s="3634"/>
      <c r="AS54" s="3634"/>
      <c r="AT54" s="3634"/>
      <c r="AU54" s="3634"/>
      <c r="AV54" s="3634"/>
      <c r="AW54" s="3634"/>
      <c r="AX54" s="3634"/>
      <c r="AY54" s="3634"/>
      <c r="AZ54" s="3634"/>
      <c r="BA54" s="3634"/>
      <c r="BB54" s="3634"/>
      <c r="BC54" s="3634"/>
      <c r="BD54" s="3634"/>
      <c r="BE54" s="3634"/>
      <c r="BF54" s="3634"/>
      <c r="BG54" s="3634"/>
      <c r="BH54" s="3634"/>
      <c r="BI54" s="3634"/>
      <c r="BJ54" s="3634"/>
      <c r="BK54" s="3634"/>
      <c r="BL54" s="3634"/>
      <c r="BM54" s="3634"/>
      <c r="BN54" s="3634"/>
      <c r="BO54" s="3634"/>
      <c r="BP54" s="3634"/>
      <c r="BQ54" s="3634"/>
      <c r="BR54" s="3634"/>
      <c r="BS54" s="3634"/>
      <c r="BT54" s="3634"/>
      <c r="BU54" s="3634"/>
      <c r="BV54" s="3634"/>
      <c r="BW54" s="3634"/>
      <c r="BX54" s="3634"/>
      <c r="BY54" s="3634"/>
      <c r="BZ54" s="3634"/>
      <c r="CA54" s="3634"/>
      <c r="CB54" s="3634"/>
      <c r="CC54" s="3634"/>
      <c r="CD54" s="3634"/>
      <c r="CE54" s="3634"/>
      <c r="CF54" s="3785"/>
    </row>
    <row r="55" spans="1:84" s="3640" customFormat="1" ht="18.649999999999999" customHeight="1" x14ac:dyDescent="0.3">
      <c r="A55" s="4482" t="s">
        <v>1138</v>
      </c>
      <c r="B55" s="4483"/>
      <c r="C55" s="4483"/>
      <c r="D55" s="4483"/>
      <c r="E55" s="4483"/>
      <c r="F55" s="4483"/>
      <c r="G55" s="4483"/>
      <c r="H55" s="4483"/>
      <c r="I55" s="4483"/>
      <c r="J55" s="4483"/>
      <c r="K55" s="4483"/>
      <c r="L55" s="4483"/>
      <c r="M55" s="4483"/>
      <c r="N55" s="4483"/>
      <c r="O55" s="3669"/>
      <c r="P55" s="3670"/>
      <c r="Q55" s="4030"/>
      <c r="R55" s="4217"/>
      <c r="S55" s="3671"/>
      <c r="T55" s="3672"/>
      <c r="U55" s="3672"/>
      <c r="V55" s="3880"/>
      <c r="W55" s="3673"/>
      <c r="X55" s="3674"/>
      <c r="Y55" s="3675"/>
      <c r="Z55" s="3676"/>
    </row>
    <row r="56" spans="1:84" s="3991" customFormat="1" ht="23.15" customHeight="1" thickBot="1" x14ac:dyDescent="0.35">
      <c r="A56" s="3634"/>
      <c r="B56" s="3634"/>
      <c r="C56" s="3665"/>
      <c r="D56" s="3634"/>
      <c r="E56" s="3634"/>
      <c r="F56" s="3636"/>
      <c r="G56" s="3662"/>
      <c r="H56" s="3663"/>
      <c r="I56" s="3634"/>
      <c r="J56" s="3643"/>
      <c r="K56" s="3643"/>
      <c r="L56" s="3634"/>
      <c r="M56" s="3634"/>
      <c r="N56" s="3738"/>
      <c r="O56" s="3714"/>
      <c r="P56" s="3634"/>
      <c r="Q56" s="3638"/>
      <c r="R56" s="3738"/>
      <c r="S56" s="3634"/>
      <c r="T56" s="3634"/>
      <c r="U56" s="3634"/>
      <c r="V56" s="3701"/>
      <c r="W56" s="3642"/>
      <c r="X56" s="3638"/>
      <c r="Y56" s="3638"/>
      <c r="Z56" s="3638"/>
      <c r="AA56" s="3634"/>
      <c r="AB56" s="3634"/>
      <c r="AC56" s="3634"/>
      <c r="AD56" s="3634"/>
      <c r="AE56" s="3634"/>
      <c r="AF56" s="3634"/>
      <c r="AG56" s="3634"/>
      <c r="AH56" s="3634"/>
      <c r="AI56" s="3634"/>
      <c r="AJ56" s="3634"/>
      <c r="AK56" s="3634"/>
      <c r="AL56" s="3634"/>
      <c r="AM56" s="3634"/>
      <c r="AN56" s="3634"/>
      <c r="AO56" s="3634"/>
      <c r="AP56" s="3634"/>
      <c r="AQ56" s="3634"/>
      <c r="AR56" s="3634"/>
      <c r="AS56" s="3634"/>
      <c r="AT56" s="3634"/>
      <c r="AU56" s="3634"/>
      <c r="AV56" s="3634"/>
      <c r="AW56" s="3634"/>
      <c r="AX56" s="3634"/>
      <c r="AY56" s="3634"/>
      <c r="AZ56" s="3634"/>
      <c r="BA56" s="3634"/>
      <c r="BB56" s="3634"/>
      <c r="BC56" s="3634"/>
      <c r="BD56" s="3634"/>
      <c r="BE56" s="3634"/>
      <c r="BF56" s="3634"/>
      <c r="BG56" s="3634"/>
      <c r="BH56" s="3634"/>
      <c r="BI56" s="3634"/>
      <c r="BJ56" s="3634"/>
      <c r="BK56" s="3634"/>
      <c r="BL56" s="3634"/>
      <c r="BM56" s="3634"/>
      <c r="BN56" s="3634"/>
      <c r="BO56" s="3634"/>
      <c r="BP56" s="3634"/>
      <c r="BQ56" s="3634"/>
      <c r="BR56" s="3634"/>
      <c r="BS56" s="3634"/>
      <c r="BT56" s="3634"/>
      <c r="BU56" s="3634"/>
      <c r="BV56" s="3634"/>
      <c r="BW56" s="3634"/>
      <c r="BX56" s="3634"/>
      <c r="BY56" s="3634"/>
      <c r="BZ56" s="3634"/>
      <c r="CA56" s="3634"/>
      <c r="CB56" s="3634"/>
      <c r="CC56" s="3634"/>
      <c r="CD56" s="3634"/>
      <c r="CE56" s="3634"/>
      <c r="CF56" s="3785"/>
    </row>
    <row r="57" spans="1:84" s="2984" customFormat="1" ht="32" thickTop="1" thickBot="1" x14ac:dyDescent="0.35">
      <c r="A57" s="2782"/>
      <c r="B57" s="1857" t="s">
        <v>1358</v>
      </c>
      <c r="C57" s="1845" t="s">
        <v>1376</v>
      </c>
      <c r="D57" s="2027" t="s">
        <v>565</v>
      </c>
      <c r="E57" s="2192" t="b">
        <f>IF(AND(E58,TRUE),TRUE,FALSE)</f>
        <v>0</v>
      </c>
      <c r="F57" s="2173">
        <f>SUM(F58,F64,F71,F74,F78)</f>
        <v>0</v>
      </c>
      <c r="G57" s="2173">
        <f>SUM(G58,G64,G71,G74,G78)</f>
        <v>0</v>
      </c>
      <c r="H57" s="2173">
        <f>SUM(H58,H64,H71,H74,H78)</f>
        <v>0</v>
      </c>
      <c r="I57" s="2173" t="str">
        <f xml:space="preserve">
IF(F57&gt;16,"Too Many Entries - Check Red Lines",
IF(G57&lt;F57,"Valid Entry required below - Check Amber Line/s",
IF(AND(E57=FALSE,G57=0,H57=0),"Nothing Entered below Yet",
IF(G57&lt;F57,"Valid Entry required below - Check Amber Line/s",
IF(AND(G57=0,H57&gt;0),"**Non-Valid Entry/ies below - Check Yellow Line/s",
IF(AND(G57&gt;0,H57&gt;0),"**Valid and Non-Valid Entries made below - Check Yellow Line/s",
IF(AND(E57=FALSE,F57&lt;16),"Not all requirements addressed below - Check Pink Line/s",
IF(AND(E57=FALSE,G57&lt;16,G57&gt;0,H57=0),"More entries to come",
IF(AND(E57,TRUE,G57=16,H57=0),"Valid Entries made below"
)))))))))</f>
        <v>Nothing Entered below Yet</v>
      </c>
      <c r="J57" s="2173">
        <f>SUM(J58,J64,J71,J74,J78)</f>
        <v>0</v>
      </c>
      <c r="K57" s="2173">
        <f>SUM(K58,K64,K71,K74,K78)</f>
        <v>0</v>
      </c>
      <c r="L57" s="2173" t="str">
        <f xml:space="preserve">
IF(J57&gt;16,"Too Many Entries - Check Red Lines",
IF(AND(E57=FALSE,J57=0,K57=0,E57=TRUE),"Nothing Required Below",
IF(J57&lt;F57,"Valid Entry required below - Check Amber Line/s",
IF(AND(E57=FALSE,J57=0,K57=0),"Nothing Entered below Yet",
IF(AND(J57=0,K57&gt;0),"**Non-Valid Entry/ies below - Check Yellow Line/s",
IF(AND(J57&gt;0,K57&gt;0),"**Valid and Non-Valid Entries made below - Check Yellow Line/s",
IF(AND(E57=FALSE,J57&lt;16),"Not all requirements addressed below - Check Pink Line/s",
IF(AND(E57=FALSE,J57&lt;16,J57&gt;0,K57=0),"More entries to come",
IF(AND(E57,TRUE,J57=16,K57=0),"Valid Entries made below"
)))))))))</f>
        <v>Nothing Entered below Yet</v>
      </c>
      <c r="M57" s="2983"/>
      <c r="N57" s="4225" t="s">
        <v>565</v>
      </c>
      <c r="O57" s="651" t="b">
        <f>IF(AND(O58=TRUE,O64=TRUE,O71=TRUE,O78=TRUE),TRUE,FALSE)</f>
        <v>0</v>
      </c>
      <c r="P57" s="3074"/>
      <c r="Q57" s="4226" t="s">
        <v>565</v>
      </c>
      <c r="R57" s="3333" t="b">
        <f>IF(AND(R58,TRUE),TRUE,FALSE)</f>
        <v>0</v>
      </c>
      <c r="S57" s="3334"/>
      <c r="T57" s="2982"/>
      <c r="U57" s="2983"/>
      <c r="V57" s="4228" t="s">
        <v>565</v>
      </c>
      <c r="W57" s="651" t="b">
        <f>IF(AND(W58=TRUE,W64=TRUE,W71=TRUE,W78=TRUE),TRUE,FALSE)</f>
        <v>0</v>
      </c>
      <c r="X57" s="2782"/>
      <c r="Y57" s="2782"/>
      <c r="Z57" s="2782"/>
    </row>
    <row r="58" spans="1:84" s="27" customFormat="1" ht="30" thickTop="1" thickBot="1" x14ac:dyDescent="0.35">
      <c r="A58" s="60">
        <v>5</v>
      </c>
      <c r="B58" s="1509" t="s">
        <v>711</v>
      </c>
      <c r="C58" s="2175" t="s">
        <v>712</v>
      </c>
      <c r="D58" s="2149" t="s">
        <v>565</v>
      </c>
      <c r="E58" s="1929" t="b">
        <f>IF(AND(E59=TRUE,E60=TRUE,E61=TRUE,E62=TRUE,E63=TRUE,E64=TRUE,OR(E71=TRUE,E74=TRUE),E77=TRUE,E78=TRUE,E81=TRUE),TRUE,FALSE)</f>
        <v>0</v>
      </c>
      <c r="F58" s="1514">
        <f>COUNTIF(E59:E63,TRUE)</f>
        <v>0</v>
      </c>
      <c r="G58" s="1514">
        <f>COUNTIFS(E59:E63,TRUE,G59:G63,"Not Blank")</f>
        <v>0</v>
      </c>
      <c r="H58" s="1514">
        <f>COUNTIFS(E59:E63,FALSE,G59:G63,"Not Blank")</f>
        <v>0</v>
      </c>
      <c r="I58" s="1727" t="str">
        <f xml:space="preserve">
IF(F58&gt;5,"Too Many Entries - Check Red Lines",
IF(G58&lt;F58,"Valid Entry required below - Check Amber Line/s",
IF(AND(E58=FALSE,G58=0,H58=0),"Nothing Entered below Yet",
IF(G58&lt;F58,"Valid Entry required below - Check Amber Line/s",
IF(AND(G58=0,H58&gt;0),"**Non-Valid Entry/ies below - Check Yellow Line/s",
IF(AND(G58&gt;0,H58&gt;0),"**Valid and Non-Valid Entries made below - Check Yellow Line/s",
IF(AND(E58=FALSE,F58&lt;5),"Not all requirements addressed below - Check Pink Line/s",
IF(AND(E58=FALSE,G58&lt;5,G58&gt;0,H58=0),"More entries to come",
IF(AND(E58,TRUE,G58=5,H58=0),"Valid Entries made below"
)))))))))</f>
        <v>Nothing Entered below Yet</v>
      </c>
      <c r="J58" s="1514">
        <f>COUNTIFS(E59:E63,TRUE,J59:J63,"Not Blank")</f>
        <v>0</v>
      </c>
      <c r="K58" s="1514">
        <f>COUNTIFS(E59:E63,FALSE,J59:J63,"Not Blank")</f>
        <v>0</v>
      </c>
      <c r="L58" s="2155" t="str">
        <f xml:space="preserve">
IF(J58&gt;5,"Too Many Entries - Check Red Lines",
IF(AND(E58=FALSE,J58=0,K58=0,E58=TRUE),"Nothing Required Below",
IF(J58&lt;F58,"Valid Entry required below - Check Amber Line/s",
IF(AND(E58=FALSE,J58=0,K58=0),"Nothing Entered below Yet",
IF(AND(J58=0,K58&gt;0),"**Non-Valid Entry/ies below - Check Yellow Line/s",
IF(AND(J58&gt;0,K58&gt;0),"**Valid and Non-Valid Entries made below - Check Yellow Line/s",
IF(AND(E58=FALSE,J58&lt;5),"Not all requirements addressed below - Check Pink Line/s",
IF(AND(E58=FALSE,J58&lt;5,J58&gt;0,K58=0),"More entries to come",
IF(AND(E58,TRUE,J58=5,K58=0),"Valid Entries made below"
)))))))))</f>
        <v>Nothing Entered below Yet</v>
      </c>
      <c r="M58" s="2176"/>
      <c r="N58" s="4822" t="s">
        <v>3</v>
      </c>
      <c r="O58" s="4524" t="b">
        <f>IF(OR(N58="Compliant",N58="FE with work-a-round",N58="Functionally Equivalent"),TRUE,FALSE)</f>
        <v>0</v>
      </c>
      <c r="P58" s="2134"/>
      <c r="Q58" s="4227" t="s">
        <v>565</v>
      </c>
      <c r="R58" s="1010" t="b">
        <f>IF(AND(R59=TRUE,R60=TRUE,R61=TRUE,R62=TRUE,R63=TRUE,R64=TRUE,OR(R71=TRUE,R74=TRUE),R77=TRUE,R78=TRUE,R81=TRUE),TRUE,FALSE)</f>
        <v>0</v>
      </c>
      <c r="S58" s="119"/>
      <c r="T58" s="111"/>
      <c r="U58" s="120"/>
      <c r="V58" s="4805" t="s">
        <v>3</v>
      </c>
      <c r="W58" s="2855" t="b">
        <f>IF(OR(V58="Compliant",V58="FE with work-a-round",V58="Functionally Equivalent",V58="Not Required/Applicable"),TRUE,FALSE)</f>
        <v>0</v>
      </c>
      <c r="X58" s="119"/>
      <c r="Y58" s="111"/>
      <c r="Z58" s="120"/>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27" customFormat="1" ht="29.5" thickTop="1" x14ac:dyDescent="0.3">
      <c r="A59" s="60">
        <v>5</v>
      </c>
      <c r="B59" s="1504"/>
      <c r="C59" s="1806" t="s">
        <v>713</v>
      </c>
      <c r="D59" s="2241" t="s">
        <v>3</v>
      </c>
      <c r="E59" s="67" t="b">
        <f t="shared" ref="E59:E70" si="8">IF(D59="Compliant",TRUE,FALSE)</f>
        <v>0</v>
      </c>
      <c r="F59" s="44"/>
      <c r="G59" s="44" t="str">
        <f>IF(I59&lt;&gt;"", "Not Blank", "")</f>
        <v/>
      </c>
      <c r="H59" s="44"/>
      <c r="I59" s="2164"/>
      <c r="J59" s="44"/>
      <c r="K59" s="44"/>
      <c r="L59" s="42"/>
      <c r="M59" s="128"/>
      <c r="N59" s="4801"/>
      <c r="O59" s="4524" t="b">
        <f>IF(N59="Compliant",TRUE,FALSE)</f>
        <v>0</v>
      </c>
      <c r="P59" s="2168"/>
      <c r="Q59" s="2237" t="s">
        <v>3</v>
      </c>
      <c r="R59" s="1010" t="b">
        <f>IF(OR(Q59="Compliant",Q59="FE with work-a-round",Q59="Functionally Equivalent"),TRUE,FALSE)</f>
        <v>0</v>
      </c>
      <c r="S59" s="121"/>
      <c r="T59" s="44"/>
      <c r="U59" s="122"/>
      <c r="V59" s="4806"/>
      <c r="W59" s="2855"/>
      <c r="X59" s="121"/>
      <c r="Y59" s="44"/>
      <c r="Z59" s="122"/>
      <c r="AA59" s="65"/>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40"/>
    </row>
    <row r="60" spans="1:84" s="27" customFormat="1" ht="58" x14ac:dyDescent="0.3">
      <c r="A60" s="60"/>
      <c r="B60" s="1504"/>
      <c r="C60" s="1717" t="s">
        <v>715</v>
      </c>
      <c r="D60" s="554" t="s">
        <v>3</v>
      </c>
      <c r="E60" s="67" t="b">
        <f t="shared" si="8"/>
        <v>0</v>
      </c>
      <c r="F60" s="44"/>
      <c r="G60" s="44" t="str">
        <f>IF(I60&lt;&gt;"", "Not Blank", "")</f>
        <v/>
      </c>
      <c r="H60" s="44"/>
      <c r="I60" s="44"/>
      <c r="J60" s="44"/>
      <c r="K60" s="44"/>
      <c r="L60" s="44"/>
      <c r="M60" s="122"/>
      <c r="N60" s="4801"/>
      <c r="O60" s="4524" t="b">
        <f>IF(N60="Compliant",TRUE,FALSE)</f>
        <v>0</v>
      </c>
      <c r="P60" s="319"/>
      <c r="Q60" s="1064" t="s">
        <v>3</v>
      </c>
      <c r="R60" s="1011" t="b">
        <f>IF(OR(Q60="Compliant",Q60="FE with work-a-round",Q60="Functionally Equivalent"),TRUE,FALSE)</f>
        <v>0</v>
      </c>
      <c r="S60" s="121"/>
      <c r="T60" s="44"/>
      <c r="U60" s="122"/>
      <c r="V60" s="4806"/>
      <c r="W60" s="2854"/>
      <c r="X60" s="121"/>
      <c r="Y60" s="44"/>
      <c r="Z60" s="122"/>
      <c r="AA60" s="65"/>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40"/>
    </row>
    <row r="61" spans="1:84" s="27" customFormat="1" ht="43.5" x14ac:dyDescent="0.3">
      <c r="A61" s="60"/>
      <c r="B61" s="1504"/>
      <c r="C61" s="1717" t="s">
        <v>714</v>
      </c>
      <c r="D61" s="554" t="s">
        <v>3</v>
      </c>
      <c r="E61" s="67" t="b">
        <f t="shared" si="8"/>
        <v>0</v>
      </c>
      <c r="F61" s="44"/>
      <c r="G61" s="44" t="str">
        <f>IF(I61&lt;&gt;"", "Not Blank", "")</f>
        <v/>
      </c>
      <c r="H61" s="44"/>
      <c r="I61" s="44"/>
      <c r="J61" s="44"/>
      <c r="K61" s="44"/>
      <c r="L61" s="44"/>
      <c r="M61" s="122"/>
      <c r="N61" s="4801"/>
      <c r="O61" s="4524" t="b">
        <f>IF(N61="Compliant",TRUE,FALSE)</f>
        <v>0</v>
      </c>
      <c r="P61" s="319"/>
      <c r="Q61" s="1064" t="s">
        <v>3</v>
      </c>
      <c r="R61" s="1011" t="b">
        <f>IF(OR(Q61="Compliant",Q61="FE with work-a-round",Q61="Functionally Equivalent"),TRUE,FALSE)</f>
        <v>0</v>
      </c>
      <c r="S61" s="121"/>
      <c r="T61" s="44"/>
      <c r="U61" s="122"/>
      <c r="V61" s="4806"/>
      <c r="W61" s="2854"/>
      <c r="X61" s="121"/>
      <c r="Y61" s="44"/>
      <c r="Z61" s="122"/>
      <c r="AA61" s="65"/>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40"/>
    </row>
    <row r="62" spans="1:84" s="27" customFormat="1" ht="43.5" x14ac:dyDescent="0.3">
      <c r="A62" s="60"/>
      <c r="B62" s="1504"/>
      <c r="C62" s="1717" t="s">
        <v>716</v>
      </c>
      <c r="D62" s="554" t="s">
        <v>3</v>
      </c>
      <c r="E62" s="67" t="b">
        <f t="shared" si="8"/>
        <v>0</v>
      </c>
      <c r="F62" s="44"/>
      <c r="G62" s="44" t="str">
        <f>IF(I62&lt;&gt;"", "Not Blank", "")</f>
        <v/>
      </c>
      <c r="H62" s="44"/>
      <c r="I62" s="44"/>
      <c r="J62" s="44"/>
      <c r="K62" s="44"/>
      <c r="L62" s="44"/>
      <c r="M62" s="122"/>
      <c r="N62" s="4801"/>
      <c r="O62" s="4524" t="b">
        <f>IF(N62="Compliant",TRUE,FALSE)</f>
        <v>0</v>
      </c>
      <c r="P62" s="319"/>
      <c r="Q62" s="1064" t="s">
        <v>3</v>
      </c>
      <c r="R62" s="1011" t="b">
        <f>IF(OR(Q62="Compliant",Q62="FE with work-a-round",Q62="Functionally Equivalent"),TRUE,FALSE)</f>
        <v>0</v>
      </c>
      <c r="S62" s="121"/>
      <c r="T62" s="44"/>
      <c r="U62" s="122"/>
      <c r="V62" s="4806"/>
      <c r="W62" s="2854"/>
      <c r="X62" s="121"/>
      <c r="Y62" s="44"/>
      <c r="Z62" s="122"/>
      <c r="AA62" s="65"/>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40"/>
    </row>
    <row r="63" spans="1:84" s="27" customFormat="1" ht="58.5" thickBot="1" x14ac:dyDescent="0.35">
      <c r="A63" s="60"/>
      <c r="B63" s="1505"/>
      <c r="C63" s="1800" t="s">
        <v>717</v>
      </c>
      <c r="D63" s="567" t="s">
        <v>3</v>
      </c>
      <c r="E63" s="161" t="b">
        <f t="shared" si="8"/>
        <v>0</v>
      </c>
      <c r="F63" s="124"/>
      <c r="G63" s="124" t="str">
        <f>IF(I63&lt;&gt;"", "Not Blank", "")</f>
        <v/>
      </c>
      <c r="H63" s="124"/>
      <c r="I63" s="124"/>
      <c r="J63" s="124"/>
      <c r="K63" s="124"/>
      <c r="L63" s="124"/>
      <c r="M63" s="125"/>
      <c r="N63" s="4823"/>
      <c r="O63" s="4829" t="b">
        <f>IF(N63="Compliant",TRUE,FALSE)</f>
        <v>0</v>
      </c>
      <c r="P63" s="230"/>
      <c r="Q63" s="1065" t="s">
        <v>3</v>
      </c>
      <c r="R63" s="1011" t="b">
        <f>IF(OR(Q63="Compliant",Q63="FE with work-a-round",Q63="Functionally Equivalent"),TRUE,FALSE)</f>
        <v>0</v>
      </c>
      <c r="S63" s="123"/>
      <c r="T63" s="124"/>
      <c r="U63" s="125"/>
      <c r="V63" s="4807"/>
      <c r="W63" s="2854"/>
      <c r="X63" s="895"/>
      <c r="Y63" s="79"/>
      <c r="Z63" s="127"/>
      <c r="AA63" s="65"/>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40"/>
    </row>
    <row r="64" spans="1:84" s="27" customFormat="1" ht="87.5" thickTop="1" x14ac:dyDescent="0.3">
      <c r="A64" s="60"/>
      <c r="B64" s="1509" t="s">
        <v>1624</v>
      </c>
      <c r="C64" s="2175" t="s">
        <v>718</v>
      </c>
      <c r="D64" s="2149" t="s">
        <v>565</v>
      </c>
      <c r="E64" s="1929" t="b">
        <f>IF(AND(E65=TRUE,E66=TRUE,E67=TRUE,E68=TRUE,E69=TRUE,E70=TRUE),TRUE,FALSE)</f>
        <v>0</v>
      </c>
      <c r="F64" s="1514">
        <f>COUNTIF(E65:E70,TRUE)</f>
        <v>0</v>
      </c>
      <c r="G64" s="1514">
        <f>COUNTIFS(E65:E70,TRUE,G65:G70,"Not Blank")</f>
        <v>0</v>
      </c>
      <c r="H64" s="1514">
        <f>COUNTIFS(E65:E70,FALSE,G65:G70,"Not Blank")</f>
        <v>0</v>
      </c>
      <c r="I64" s="2155" t="str">
        <f xml:space="preserve">
IF(F64&gt;6,"Too Many Entries - Check Red Lines",
IF(G64&lt;F64,"Valid Entry required below - Check Amber Line/s",
IF(AND(E64=FALSE,G64=0,H64=0),"Nothing Entered below Yet",
IF(G64&lt;F64,"Valid Entry required below - Check Amber Line/s",
IF(AND(G64=0,H64&gt;0),"**Non-Valid Entry/ies below - Check Yellow Line/s",
IF(AND(G64&gt;0,H64&gt;0),"**Valid and Non-Valid Entries made below - Check Yellow Line/s",
IF(AND(E64=FALSE,F64&lt;6),"Not all requirements addressed below - Check Pink Line/s",
IF(AND(E64=FALSE,G64&lt;6,G64&gt;0,H64=0),"More entries to come",
IF(AND(E64,TRUE,G64=6,H64=0),"Valid Entries made below"
)))))))))</f>
        <v>Nothing Entered below Yet</v>
      </c>
      <c r="J64" s="2155">
        <f>COUNTIFS(E65:E70,TRUE,J65:J70,"Not Blank")</f>
        <v>0</v>
      </c>
      <c r="K64" s="2155">
        <f>COUNTIFS(E65:E70,FALSE,J65:J70,"Not Blank")</f>
        <v>0</v>
      </c>
      <c r="L64" s="2155" t="str">
        <f xml:space="preserve">
IF(J64&gt;6,"Too Many Entries - Check Red Lines",
IF(AND(E64=FALSE,J64=0,K64=0,E64=TRUE),"Nothing Required Below",
IF(J64&lt;F64,"Valid Entry required below - Check Amber Line/s",
IF(AND(E64=FALSE,J64=0,K64=0),"Nothing Entered below Yet",
IF(AND(J64=0,K64&gt;0),"**Non-Valid Entry/ies below - Check Yellow Line/s",
IF(AND(J64&gt;0,K64&gt;0),"**Valid and Non-Valid Entries made below - Check Yellow Line/s",
IF(AND(E64=FALSE,J64&lt;6),"Not all requirements addressed below - Check Pink Line/s",
IF(AND(E64=FALSE,J64&lt;6,J64&gt;0,K64=0),"More entries to come",
IF(AND(E64,TRUE,J64=6,K64=0),"Valid Entries made below"
)))))))))</f>
        <v>Nothing Entered below Yet</v>
      </c>
      <c r="M64" s="2176"/>
      <c r="N64" s="4822" t="s">
        <v>3</v>
      </c>
      <c r="O64" s="4830" t="b">
        <f>IF(OR(N64="Compliant",N64="FE with work-a-round",N64="Functionally Equivalent"),TRUE,FALSE)</f>
        <v>0</v>
      </c>
      <c r="P64" s="2134"/>
      <c r="Q64" s="4227" t="s">
        <v>565</v>
      </c>
      <c r="R64" s="1011" t="b">
        <f>IF(AND(R65=TRUE,R66=TRUE,R67=TRUE,R68=TRUE,R69=TRUE,R70=TRUE),TRUE,FALSE)</f>
        <v>0</v>
      </c>
      <c r="S64" s="119"/>
      <c r="T64" s="111"/>
      <c r="U64" s="120"/>
      <c r="V64" s="4805" t="s">
        <v>3</v>
      </c>
      <c r="W64" s="1267" t="b">
        <f>IF(OR(V64="Compliant",V64="FE with work-a-round",V64="Functionally Equivalent",V64="Not Required/Applicable"),TRUE,FALSE)</f>
        <v>0</v>
      </c>
      <c r="X64" s="119"/>
      <c r="Y64" s="111"/>
      <c r="Z64" s="120"/>
      <c r="AA64" s="65"/>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40"/>
    </row>
    <row r="65" spans="1:84" s="27" customFormat="1" ht="29" x14ac:dyDescent="0.3">
      <c r="A65" s="60"/>
      <c r="B65" s="1504"/>
      <c r="C65" s="1806" t="s">
        <v>719</v>
      </c>
      <c r="D65" s="1013" t="s">
        <v>3</v>
      </c>
      <c r="E65" s="67" t="b">
        <f t="shared" si="8"/>
        <v>0</v>
      </c>
      <c r="F65" s="44"/>
      <c r="G65" s="44" t="str">
        <f t="shared" ref="G65:G70" si="9">IF(I65&lt;&gt;"", "Not Blank", "")</f>
        <v/>
      </c>
      <c r="H65" s="44"/>
      <c r="I65" s="42"/>
      <c r="J65" s="42" t="str">
        <f t="shared" ref="J65:J70" si="10">IF(L65&lt;&gt;"", "Not Blank", "")</f>
        <v/>
      </c>
      <c r="K65" s="42"/>
      <c r="L65" s="42"/>
      <c r="M65" s="128"/>
      <c r="N65" s="4801"/>
      <c r="O65" s="4524" t="b">
        <f t="shared" ref="O65:O70" si="11">IF(N65="Compliant",TRUE,FALSE)</f>
        <v>0</v>
      </c>
      <c r="P65" s="2168"/>
      <c r="Q65" s="2237" t="s">
        <v>3</v>
      </c>
      <c r="R65" s="1011" t="b">
        <f t="shared" ref="R65:R70" si="12">IF(OR(Q65="Compliant",Q65="FE with work-a-round",Q65="Functionally Equivalent"),TRUE,FALSE)</f>
        <v>0</v>
      </c>
      <c r="S65" s="121"/>
      <c r="T65" s="44"/>
      <c r="U65" s="122"/>
      <c r="V65" s="4806"/>
      <c r="W65" s="1267"/>
      <c r="X65" s="121"/>
      <c r="Y65" s="44"/>
      <c r="Z65" s="122"/>
      <c r="AA65" s="65"/>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40"/>
    </row>
    <row r="66" spans="1:84" s="27" customFormat="1" ht="29" x14ac:dyDescent="0.3">
      <c r="A66" s="60"/>
      <c r="B66" s="1504"/>
      <c r="C66" s="1717" t="s">
        <v>720</v>
      </c>
      <c r="D66" s="319" t="s">
        <v>3</v>
      </c>
      <c r="E66" s="67" t="b">
        <f t="shared" si="8"/>
        <v>0</v>
      </c>
      <c r="F66" s="44"/>
      <c r="G66" s="44" t="str">
        <f t="shared" si="9"/>
        <v/>
      </c>
      <c r="H66" s="44"/>
      <c r="I66" s="44"/>
      <c r="J66" s="44" t="str">
        <f t="shared" si="10"/>
        <v/>
      </c>
      <c r="K66" s="44"/>
      <c r="L66" s="44"/>
      <c r="M66" s="122"/>
      <c r="N66" s="4801"/>
      <c r="O66" s="4524" t="b">
        <f t="shared" si="11"/>
        <v>0</v>
      </c>
      <c r="P66" s="319"/>
      <c r="Q66" s="1064" t="s">
        <v>3</v>
      </c>
      <c r="R66" s="1011" t="b">
        <f t="shared" si="12"/>
        <v>0</v>
      </c>
      <c r="S66" s="121"/>
      <c r="T66" s="44"/>
      <c r="U66" s="122"/>
      <c r="V66" s="4806"/>
      <c r="W66" s="1267"/>
      <c r="X66" s="121"/>
      <c r="Y66" s="44"/>
      <c r="Z66" s="122"/>
      <c r="AA66" s="65"/>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40"/>
    </row>
    <row r="67" spans="1:84" s="27" customFormat="1" ht="29" x14ac:dyDescent="0.3">
      <c r="A67" s="60"/>
      <c r="B67" s="1504"/>
      <c r="C67" s="1717" t="s">
        <v>721</v>
      </c>
      <c r="D67" s="319" t="s">
        <v>3</v>
      </c>
      <c r="E67" s="67" t="b">
        <f t="shared" si="8"/>
        <v>0</v>
      </c>
      <c r="F67" s="44"/>
      <c r="G67" s="44" t="str">
        <f t="shared" si="9"/>
        <v/>
      </c>
      <c r="H67" s="44"/>
      <c r="I67" s="44"/>
      <c r="J67" s="44" t="str">
        <f t="shared" si="10"/>
        <v/>
      </c>
      <c r="K67" s="44"/>
      <c r="L67" s="44"/>
      <c r="M67" s="122"/>
      <c r="N67" s="4801"/>
      <c r="O67" s="4524" t="b">
        <f t="shared" si="11"/>
        <v>0</v>
      </c>
      <c r="P67" s="319"/>
      <c r="Q67" s="1064" t="s">
        <v>3</v>
      </c>
      <c r="R67" s="1011" t="b">
        <f t="shared" si="12"/>
        <v>0</v>
      </c>
      <c r="S67" s="121"/>
      <c r="T67" s="44"/>
      <c r="U67" s="122"/>
      <c r="V67" s="4806"/>
      <c r="W67" s="1267"/>
      <c r="X67" s="121"/>
      <c r="Y67" s="44"/>
      <c r="Z67" s="122"/>
      <c r="AA67" s="65"/>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40"/>
    </row>
    <row r="68" spans="1:84" s="27" customFormat="1" ht="29" x14ac:dyDescent="0.3">
      <c r="A68" s="60"/>
      <c r="B68" s="1504"/>
      <c r="C68" s="1717" t="s">
        <v>722</v>
      </c>
      <c r="D68" s="319" t="s">
        <v>3</v>
      </c>
      <c r="E68" s="67" t="b">
        <f t="shared" si="8"/>
        <v>0</v>
      </c>
      <c r="F68" s="44"/>
      <c r="G68" s="44" t="str">
        <f t="shared" si="9"/>
        <v/>
      </c>
      <c r="H68" s="44"/>
      <c r="I68" s="44"/>
      <c r="J68" s="44" t="str">
        <f t="shared" si="10"/>
        <v/>
      </c>
      <c r="K68" s="44"/>
      <c r="L68" s="44"/>
      <c r="M68" s="122"/>
      <c r="N68" s="4801"/>
      <c r="O68" s="4524" t="b">
        <f t="shared" si="11"/>
        <v>0</v>
      </c>
      <c r="P68" s="319"/>
      <c r="Q68" s="1064" t="s">
        <v>3</v>
      </c>
      <c r="R68" s="1011" t="b">
        <f t="shared" si="12"/>
        <v>0</v>
      </c>
      <c r="S68" s="121"/>
      <c r="T68" s="44"/>
      <c r="U68" s="122"/>
      <c r="V68" s="4806"/>
      <c r="W68" s="1267"/>
      <c r="X68" s="121"/>
      <c r="Y68" s="44"/>
      <c r="Z68" s="122"/>
      <c r="AA68" s="65"/>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84" s="27" customFormat="1" ht="29" x14ac:dyDescent="0.3">
      <c r="A69" s="60"/>
      <c r="B69" s="1504"/>
      <c r="C69" s="1717" t="s">
        <v>723</v>
      </c>
      <c r="D69" s="319" t="s">
        <v>3</v>
      </c>
      <c r="E69" s="67" t="b">
        <f t="shared" si="8"/>
        <v>0</v>
      </c>
      <c r="F69" s="44"/>
      <c r="G69" s="44" t="str">
        <f t="shared" si="9"/>
        <v/>
      </c>
      <c r="H69" s="44"/>
      <c r="I69" s="44"/>
      <c r="J69" s="44" t="str">
        <f t="shared" si="10"/>
        <v/>
      </c>
      <c r="K69" s="44"/>
      <c r="L69" s="44"/>
      <c r="M69" s="122"/>
      <c r="N69" s="4801"/>
      <c r="O69" s="4524" t="b">
        <f t="shared" si="11"/>
        <v>0</v>
      </c>
      <c r="P69" s="319"/>
      <c r="Q69" s="1064" t="s">
        <v>3</v>
      </c>
      <c r="R69" s="1011" t="b">
        <f t="shared" si="12"/>
        <v>0</v>
      </c>
      <c r="S69" s="121"/>
      <c r="T69" s="44"/>
      <c r="U69" s="122"/>
      <c r="V69" s="4806"/>
      <c r="W69" s="1267"/>
      <c r="X69" s="121"/>
      <c r="Y69" s="44"/>
      <c r="Z69" s="122"/>
      <c r="AA69" s="65"/>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84" s="27" customFormat="1" ht="29.5" thickBot="1" x14ac:dyDescent="0.35">
      <c r="A70" s="60"/>
      <c r="B70" s="1505"/>
      <c r="C70" s="1800" t="s">
        <v>724</v>
      </c>
      <c r="D70" s="230" t="s">
        <v>3</v>
      </c>
      <c r="E70" s="161" t="b">
        <f t="shared" si="8"/>
        <v>0</v>
      </c>
      <c r="F70" s="124"/>
      <c r="G70" s="124" t="str">
        <f t="shared" si="9"/>
        <v/>
      </c>
      <c r="H70" s="124"/>
      <c r="I70" s="124"/>
      <c r="J70" s="124" t="str">
        <f t="shared" si="10"/>
        <v/>
      </c>
      <c r="K70" s="124"/>
      <c r="L70" s="124"/>
      <c r="M70" s="125"/>
      <c r="N70" s="4823"/>
      <c r="O70" s="4829" t="b">
        <f t="shared" si="11"/>
        <v>0</v>
      </c>
      <c r="P70" s="230"/>
      <c r="Q70" s="1065" t="s">
        <v>3</v>
      </c>
      <c r="R70" s="1011" t="b">
        <f t="shared" si="12"/>
        <v>0</v>
      </c>
      <c r="S70" s="123"/>
      <c r="T70" s="124"/>
      <c r="U70" s="125"/>
      <c r="V70" s="4807"/>
      <c r="W70" s="1267"/>
      <c r="X70" s="123"/>
      <c r="Y70" s="124"/>
      <c r="Z70" s="125"/>
      <c r="AA70" s="65"/>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40"/>
    </row>
    <row r="71" spans="1:84" s="27" customFormat="1" ht="44" thickTop="1" x14ac:dyDescent="0.3">
      <c r="A71" s="60"/>
      <c r="B71" s="1509" t="s">
        <v>1625</v>
      </c>
      <c r="C71" s="1734" t="s">
        <v>725</v>
      </c>
      <c r="D71" s="2010" t="s">
        <v>565</v>
      </c>
      <c r="E71" s="1929" t="b">
        <f>IF(AND(E72=TRUE,E73=TRUE),TRUE,FALSE)</f>
        <v>0</v>
      </c>
      <c r="F71" s="1514">
        <f>COUNTIF(E72:E73,TRUE)</f>
        <v>0</v>
      </c>
      <c r="G71" s="1514">
        <f>COUNTIFS(E72:E73,TRUE,G72:G73,"Not Blank")</f>
        <v>0</v>
      </c>
      <c r="H71" s="1514">
        <f>COUNTIFS(E72:E73,FALSE,G72:G73,"Not Blank")</f>
        <v>0</v>
      </c>
      <c r="I71" s="1727" t="str">
        <f xml:space="preserve">
IF(F71&gt;2,"Too Many Entries - Check Red Lines",
IF(AND(E71=FALSE,G71=0,H71=0,E74=TRUE),"Nothing Required Below",
IF(G71&lt;F71,"Valid Entry required below - Check Amber Line/s",
IF(AND(E71=FALSE,G71=0,H71=0),"Nothing Entered below Yet",
IF(G71&lt;F71,"Valid Entry required below - Check Amber Line/s",
IF(AND(G71=0,H71&gt;0),"**Non-Valid Entry/ies below - Check Yellow Line/s",
IF(AND(G71&gt;0,H71&gt;0),"**Valid and Non-Valid Entries made below - Check Yellow Line/s",
IF(AND(E71=FALSE,F71&lt;2),"Not all requirements addressed below - Check Pink Line/s",
IF(AND(E71=FALSE,G71&lt;2,G71&gt;0,H71=0),"More entries to come",
IF(AND(E71,TRUE,G71=2,H71=0),"Valid Entries made below"
))))))))))</f>
        <v>Nothing Entered below Yet</v>
      </c>
      <c r="J71" s="1514">
        <f>COUNTIFS(E72:E73,TRUE,J72:J73,"Not Blank")</f>
        <v>0</v>
      </c>
      <c r="K71" s="1514">
        <f>COUNTIFS(E72:E73,FALSE,J72:J73,"Not Blank")</f>
        <v>0</v>
      </c>
      <c r="L71" s="1727" t="str">
        <f xml:space="preserve">
IF(J71&gt;2,"Too Many Entries - Check Red Lines",
IF(AND(E71=FALSE,J71=0,K71=0,E71=TRUE),"Nothing Required Below",
IF(J71&lt;F71,"Valid Entry required below - Check Amber Line/s",
IF(AND(E71=FALSE,J71=0,K71=0),"Nothing Entered below Yet",
IF(AND(J71=0,K71&gt;0),"**Non-Valid Entry/ies below - Check Yellow Line/s",
IF(AND(J71&gt;0,K71&gt;0),"**Valid and Non-Valid Entries made below - Check Yellow Line/s",
IF(AND(E71=FALSE,J71&lt;2),"Not all requirements addressed below - Check Pink Line/s",
IF(AND(E71=FALSE,J71&lt;2,J71&gt;0,K71=0),"More entries to come",
IF(AND(E71,TRUE,J71=2,K71=0),"Valid Entries made below"
)))))))))</f>
        <v>Nothing Entered below Yet</v>
      </c>
      <c r="M71" s="807"/>
      <c r="N71" s="4822" t="s">
        <v>3</v>
      </c>
      <c r="O71" s="4830" t="b">
        <f>IF(OR(N71="Compliant",N71="FE with work-a-round",N71="Functionally Equivalent"),TRUE,FALSE)</f>
        <v>0</v>
      </c>
      <c r="P71" s="2134"/>
      <c r="Q71" s="4227" t="s">
        <v>565</v>
      </c>
      <c r="R71" s="1011" t="b">
        <f>IF(AND(R72=TRUE,R73=TRUE),TRUE,FALSE)</f>
        <v>0</v>
      </c>
      <c r="S71" s="119"/>
      <c r="T71" s="111"/>
      <c r="U71" s="120"/>
      <c r="V71" s="4805" t="s">
        <v>3</v>
      </c>
      <c r="W71" s="1267" t="b">
        <f>IF(OR(V71="Compliant",V71="FE with work-a-round",V71="Functionally Equivalent",V71="Not Required/Applicable"),TRUE,FALSE)</f>
        <v>0</v>
      </c>
      <c r="X71" s="119"/>
      <c r="Y71" s="111"/>
      <c r="Z71" s="120"/>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40"/>
    </row>
    <row r="72" spans="1:84" s="27" customFormat="1" ht="29" x14ac:dyDescent="0.3">
      <c r="A72" s="60"/>
      <c r="B72" s="1504"/>
      <c r="C72" s="2167" t="s">
        <v>727</v>
      </c>
      <c r="D72" s="2168" t="s">
        <v>3</v>
      </c>
      <c r="E72" s="67" t="b">
        <f>IF(D72="Compliant",TRUE,FALSE)</f>
        <v>0</v>
      </c>
      <c r="F72" s="44"/>
      <c r="G72" s="44" t="str">
        <f>IF(I72&lt;&gt;"", "Not Blank", "")</f>
        <v/>
      </c>
      <c r="H72" s="44"/>
      <c r="I72" s="2164"/>
      <c r="J72" s="44" t="str">
        <f>IF(L72&lt;&gt;"", "Not Blank", "")</f>
        <v/>
      </c>
      <c r="K72" s="44"/>
      <c r="L72" s="2164"/>
      <c r="M72" s="2177"/>
      <c r="N72" s="4801"/>
      <c r="O72" s="4524" t="b">
        <f t="shared" ref="O72:O77" si="13">IF(N72="Compliant",TRUE,FALSE)</f>
        <v>0</v>
      </c>
      <c r="P72" s="2168"/>
      <c r="Q72" s="2237" t="s">
        <v>3</v>
      </c>
      <c r="R72" s="1011" t="b">
        <f>IF(OR(Q72="Compliant",Q72="FE with work-a-round",Q72="Functionally Equivalent"),TRUE,FALSE)</f>
        <v>0</v>
      </c>
      <c r="S72" s="121"/>
      <c r="T72" s="44"/>
      <c r="U72" s="122"/>
      <c r="V72" s="4806"/>
      <c r="W72" s="1267"/>
      <c r="X72" s="121"/>
      <c r="Y72" s="44"/>
      <c r="Z72" s="122"/>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40"/>
    </row>
    <row r="73" spans="1:84" s="27" customFormat="1" ht="44" thickBot="1" x14ac:dyDescent="0.35">
      <c r="A73" s="60"/>
      <c r="B73" s="1505"/>
      <c r="C73" s="1800" t="s">
        <v>726</v>
      </c>
      <c r="D73" s="230" t="s">
        <v>3</v>
      </c>
      <c r="E73" s="161" t="b">
        <f>IF(D73="Compliant",TRUE,FALSE)</f>
        <v>0</v>
      </c>
      <c r="F73" s="124"/>
      <c r="G73" s="124" t="str">
        <f>IF(I73&lt;&gt;"", "Not Blank", "")</f>
        <v/>
      </c>
      <c r="H73" s="124"/>
      <c r="I73" s="124"/>
      <c r="J73" s="124" t="str">
        <f>IF(L73&lt;&gt;"", "Not Blank", "")</f>
        <v/>
      </c>
      <c r="K73" s="124"/>
      <c r="L73" s="124"/>
      <c r="M73" s="125"/>
      <c r="N73" s="4801"/>
      <c r="O73" s="4524" t="b">
        <f t="shared" si="13"/>
        <v>0</v>
      </c>
      <c r="P73" s="849"/>
      <c r="Q73" s="1065" t="s">
        <v>3</v>
      </c>
      <c r="R73" s="1011" t="b">
        <f>IF(OR(Q73="Compliant",Q73="FE with work-a-round",Q73="Functionally Equivalent"),TRUE,FALSE)</f>
        <v>0</v>
      </c>
      <c r="S73" s="895"/>
      <c r="T73" s="79"/>
      <c r="U73" s="127"/>
      <c r="V73" s="4806"/>
      <c r="W73" s="1267"/>
      <c r="X73" s="895"/>
      <c r="Y73" s="79"/>
      <c r="Z73" s="127"/>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29.5" thickTop="1" x14ac:dyDescent="0.3">
      <c r="A74" s="60"/>
      <c r="B74" s="1509" t="s">
        <v>1626</v>
      </c>
      <c r="C74" s="2148" t="s">
        <v>728</v>
      </c>
      <c r="D74" s="2149" t="s">
        <v>565</v>
      </c>
      <c r="E74" s="1929" t="b">
        <f>IF(AND(E75=TRUE,E76=TRUE),TRUE,FALSE)</f>
        <v>0</v>
      </c>
      <c r="F74" s="1514">
        <f>COUNTIF(E75:E76,TRUE)</f>
        <v>0</v>
      </c>
      <c r="G74" s="1514">
        <f>COUNTIFS(E75:E76,TRUE,G75:G76,"Not Blank")</f>
        <v>0</v>
      </c>
      <c r="H74" s="1514">
        <f>COUNTIFS(E75:E76,FALSE,G75:G76,"Not Blank")</f>
        <v>0</v>
      </c>
      <c r="I74" s="2155" t="str">
        <f xml:space="preserve">
IF(F74&gt;2,"Too Many Entries - Check Red Lines",
IF(AND(E74=FALSE,G74=0,H74=0,E71=TRUE),"Nothing Required Below",
IF(G74&lt;F74,"Valid Entry required below - Check Amber Line/s",
IF(AND(E74=FALSE,G74=0,H74=0),"Nothing Entered below Yet",
IF(G74&lt;F74,"Valid Entry required below - Check Amber Line/s",
IF(AND(G74=0,H74&gt;0),"**Non-Valid Entry/ies below - Check Yellow Line/s",
IF(AND(G74&gt;0,H74&gt;0),"**Valid and Non-Valid Entries made below - Check Yellow Line/s",
IF(AND(E74=FALSE,F74&lt;2),"Not all requirements addressed below - Check Pink Line/s",
IF(AND(E74=FALSE,G74&lt;2,G74&gt;0,H74=0),"More entries to come",
IF(AND(E74,TRUE,G74=2,H74=0),"Valid Entries made below"
))))))))))</f>
        <v>Nothing Entered below Yet</v>
      </c>
      <c r="J74" s="2155">
        <f>COUNTIFS(E75:E76,TRUE,J75:J76,"Not Blank")</f>
        <v>0</v>
      </c>
      <c r="K74" s="2155">
        <f>COUNTIFS(E75:E76,FALSE,J75:J76,"Not Blank")</f>
        <v>0</v>
      </c>
      <c r="L74" s="2155" t="str">
        <f xml:space="preserve">
IF(J74&gt;2,"Too Many Entries - Check Red Lines",
IF(AND(E74=FALSE,J74=0,K74=0,E74=TRUE),"Nothing Required Below",
IF(J74&lt;F74,"Valid Entry required below - Check Amber Line/s",
IF(AND(E74=FALSE,J74=0,K74=0),"Nothing Entered below Yet",
IF(AND(J74=0,K74&gt;0),"**Non-Valid Entry/ies below - Check Yellow Line/s",
IF(AND(J74&gt;0,K74&gt;0),"**Valid and Non-Valid Entries made below - Check Yellow Line/s",
IF(AND(E74=FALSE,J74&lt;2),"Not all requirements addressed below - Check Pink Line/s",
IF(AND(E74=FALSE,J74&lt;2,J74&gt;0,K74=0),"More entries to come",
IF(AND(E74,TRUE,J74=2,K74=0),"Valid Entries made below"
)))))))))</f>
        <v>Nothing Entered below Yet</v>
      </c>
      <c r="M74" s="2176"/>
      <c r="N74" s="4801"/>
      <c r="O74" s="4524" t="b">
        <f t="shared" si="13"/>
        <v>0</v>
      </c>
      <c r="P74" s="2243"/>
      <c r="Q74" s="4229" t="s">
        <v>565</v>
      </c>
      <c r="R74" s="1011" t="b">
        <f>IF(AND(R75=TRUE,R76=TRUE),TRUE,FALSE)</f>
        <v>0</v>
      </c>
      <c r="S74" s="119"/>
      <c r="T74" s="111"/>
      <c r="U74" s="120"/>
      <c r="V74" s="4806"/>
      <c r="W74" s="1267"/>
      <c r="X74" s="119"/>
      <c r="Y74" s="111"/>
      <c r="Z74" s="12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27" customFormat="1" ht="29" x14ac:dyDescent="0.3">
      <c r="A75" s="60"/>
      <c r="B75" s="1504"/>
      <c r="C75" s="1806" t="s">
        <v>727</v>
      </c>
      <c r="D75" s="1013" t="s">
        <v>3</v>
      </c>
      <c r="E75" s="67" t="b">
        <f>IF(D75="Compliant",TRUE,FALSE)</f>
        <v>0</v>
      </c>
      <c r="F75" s="44"/>
      <c r="G75" s="44" t="str">
        <f>IF(I75&lt;&gt;"", "Not Blank", "")</f>
        <v/>
      </c>
      <c r="H75" s="44"/>
      <c r="I75" s="42"/>
      <c r="J75" s="42"/>
      <c r="K75" s="42"/>
      <c r="L75" s="42"/>
      <c r="M75" s="128"/>
      <c r="N75" s="4801"/>
      <c r="O75" s="4524" t="b">
        <f t="shared" si="13"/>
        <v>0</v>
      </c>
      <c r="P75" s="1013"/>
      <c r="Q75" s="2242" t="s">
        <v>3</v>
      </c>
      <c r="R75" s="1011" t="b">
        <f>IF(OR(Q75="Compliant",Q75="FE with work-a-round",Q75="Functionally Equivalent"),TRUE,FALSE)</f>
        <v>0</v>
      </c>
      <c r="S75" s="121"/>
      <c r="T75" s="44"/>
      <c r="U75" s="122"/>
      <c r="V75" s="4806"/>
      <c r="W75" s="1267"/>
      <c r="X75" s="121"/>
      <c r="Y75" s="44"/>
      <c r="Z75" s="122"/>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27" customFormat="1" ht="43.5" x14ac:dyDescent="0.3">
      <c r="A76" s="60"/>
      <c r="B76" s="1504"/>
      <c r="C76" s="1717" t="s">
        <v>729</v>
      </c>
      <c r="D76" s="319" t="s">
        <v>3</v>
      </c>
      <c r="E76" s="67" t="b">
        <f>IF(D76="Compliant",TRUE,FALSE)</f>
        <v>0</v>
      </c>
      <c r="F76" s="44"/>
      <c r="G76" s="44" t="str">
        <f>IF(I76&lt;&gt;"", "Not Blank", "")</f>
        <v/>
      </c>
      <c r="H76" s="44"/>
      <c r="I76" s="44"/>
      <c r="J76" s="44" t="str">
        <f>IF(L76&lt;&gt;"", "Not Blank", "")</f>
        <v/>
      </c>
      <c r="K76" s="44"/>
      <c r="L76" s="44"/>
      <c r="M76" s="122"/>
      <c r="N76" s="4801"/>
      <c r="O76" s="4524" t="b">
        <f t="shared" si="13"/>
        <v>0</v>
      </c>
      <c r="P76" s="319"/>
      <c r="Q76" s="1064" t="s">
        <v>3</v>
      </c>
      <c r="R76" s="1011" t="b">
        <f>IF(OR(Q76="Compliant",Q76="FE with work-a-round",Q76="Functionally Equivalent"),TRUE,FALSE)</f>
        <v>0</v>
      </c>
      <c r="S76" s="121"/>
      <c r="T76" s="44"/>
      <c r="U76" s="122"/>
      <c r="V76" s="4806"/>
      <c r="W76" s="1267"/>
      <c r="X76" s="121"/>
      <c r="Y76" s="44"/>
      <c r="Z76" s="122"/>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40"/>
    </row>
    <row r="77" spans="1:84" s="27" customFormat="1" ht="29.5" thickBot="1" x14ac:dyDescent="0.35">
      <c r="A77" s="60"/>
      <c r="B77" s="1505"/>
      <c r="C77" s="1800" t="s">
        <v>730</v>
      </c>
      <c r="D77" s="230" t="s">
        <v>3</v>
      </c>
      <c r="E77" s="161" t="b">
        <f>IF(D77="Compliant",TRUE,FALSE)</f>
        <v>0</v>
      </c>
      <c r="F77" s="124"/>
      <c r="G77" s="124" t="str">
        <f>IF(I77&lt;&gt;"", "Not Blank", "")</f>
        <v/>
      </c>
      <c r="H77" s="124"/>
      <c r="I77" s="124"/>
      <c r="J77" s="124" t="str">
        <f>IF(L77&lt;&gt;"", "Not Blank", "")</f>
        <v/>
      </c>
      <c r="K77" s="124"/>
      <c r="L77" s="124"/>
      <c r="M77" s="125"/>
      <c r="N77" s="4823"/>
      <c r="O77" s="4829" t="b">
        <f t="shared" si="13"/>
        <v>0</v>
      </c>
      <c r="P77" s="230"/>
      <c r="Q77" s="1065" t="s">
        <v>3</v>
      </c>
      <c r="R77" s="1011" t="b">
        <f>IF(OR(Q77="Compliant",Q77="FE with work-a-round",Q77="Functionally Equivalent"),TRUE,FALSE)</f>
        <v>0</v>
      </c>
      <c r="S77" s="123"/>
      <c r="T77" s="124"/>
      <c r="U77" s="125"/>
      <c r="V77" s="4807"/>
      <c r="W77" s="1267"/>
      <c r="X77" s="123"/>
      <c r="Y77" s="124"/>
      <c r="Z77" s="125"/>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40"/>
    </row>
    <row r="78" spans="1:84" s="27" customFormat="1" ht="44" thickTop="1" x14ac:dyDescent="0.3">
      <c r="A78" s="60"/>
      <c r="B78" s="1509" t="s">
        <v>1627</v>
      </c>
      <c r="C78" s="2148" t="s">
        <v>745</v>
      </c>
      <c r="D78" s="2149" t="s">
        <v>565</v>
      </c>
      <c r="E78" s="1929" t="b">
        <f>IF(AND(E79=TRUE,E80=TRUE,E81=TRUE),TRUE,FALSE)</f>
        <v>0</v>
      </c>
      <c r="F78" s="1514">
        <f>COUNTIF(E79:E81,TRUE)</f>
        <v>0</v>
      </c>
      <c r="G78" s="1514">
        <f>COUNTIFS(E79:E81,TRUE,G79:G81,"Not Blank")</f>
        <v>0</v>
      </c>
      <c r="H78" s="1514">
        <f>COUNTIFS(E79:E81,FALSE,G79:G81,"Not Blank")</f>
        <v>0</v>
      </c>
      <c r="I78" s="2155" t="str">
        <f xml:space="preserve">
IF(F78&gt;3,"Too Many Entries - Check Red Lines",
IF(G78&lt;F78,"Valid Entry required below - Check Amber Line/s",
IF(AND(E78=FALSE,G78=0,H78=0),"Nothing Entered below Yet",
IF(G78&lt;F78,"Valid Entry required below - Check Amber Line/s",
IF(AND(G78=0,H78&gt;0),"**Non-Valid Entry/ies below - Check Yellow Line/s",
IF(AND(G78&gt;0,H78&gt;0),"**Valid and Non-Valid Entries made below - Check Yellow Line/s",
IF(AND(E78=FALSE,F78&lt;3),"Not all requirements addressed below - Check Pink Line/s",
IF(AND(E78=FALSE,G78&lt;3,G78&gt;0,H78=0),"More entries to come",
IF(AND(E78,TRUE,G78=3,H78=0),"Valid Entries made below"
)))))))))</f>
        <v>Nothing Entered below Yet</v>
      </c>
      <c r="J78" s="2155">
        <f>COUNTIFS(E79:E81,TRUE,J79:J81,"Not Blank")</f>
        <v>0</v>
      </c>
      <c r="K78" s="2155">
        <f>COUNTIFS(E79:E81,FALSE,J79:J81,"Not Blank")</f>
        <v>0</v>
      </c>
      <c r="L78" s="2155" t="str">
        <f xml:space="preserve">
IF(J78&gt;3,"Too Many Entries - Check Red Lines",
IF(AND(E78=FALSE,J78=0,K78=0,E78=TRUE),"Nothing Required Below",
IF(J78&lt;F78,"Valid Entry required below - Check Amber Line/s",
IF(AND(E78=FALSE,J78=0,K78=0),"Nothing Entered below Yet",
IF(AND(J78=0,K78&gt;0),"**Non-Valid Entry/ies below - Check Yellow Line/s",
IF(AND(J78&gt;0,K78&gt;0),"**Valid and Non-Valid Entries made below - Check Yellow Line/s",
IF(AND(E78=FALSE,J78&lt;3),"Not all requirements addressed below - Check Pink Line/s",
IF(AND(E78=FALSE,J78&lt;3,J78&gt;0,K78=0),"More entries to come",
IF(AND(E78,TRUE,J78=3,K78=0),"Valid Entries made below"
)))))))))</f>
        <v>Nothing Entered below Yet</v>
      </c>
      <c r="M78" s="2176"/>
      <c r="N78" s="4822" t="s">
        <v>3</v>
      </c>
      <c r="O78" s="4830" t="b">
        <f>IF(OR(N78="Compliant",N78="FE with work-a-round",N78="Functionally Equivalent"),TRUE,FALSE)</f>
        <v>0</v>
      </c>
      <c r="P78" s="2243"/>
      <c r="Q78" s="4229" t="s">
        <v>565</v>
      </c>
      <c r="R78" s="1011" t="b">
        <f>IF(AND(R79=TRUE,R80=TRUE,R81=TRUE),TRUE,FALSE)</f>
        <v>0</v>
      </c>
      <c r="S78" s="119"/>
      <c r="T78" s="111"/>
      <c r="U78" s="120"/>
      <c r="V78" s="4805" t="s">
        <v>3</v>
      </c>
      <c r="W78" s="1267" t="b">
        <f>IF(OR(V78="Compliant",V78="FE with work-a-round",V78="Functionally Equivalent",V78="Not Required/Applicable"),TRUE,FALSE)</f>
        <v>0</v>
      </c>
      <c r="X78" s="119"/>
      <c r="Y78" s="111"/>
      <c r="Z78" s="12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40"/>
    </row>
    <row r="79" spans="1:84" s="27" customFormat="1" ht="29" x14ac:dyDescent="0.3">
      <c r="A79" s="60"/>
      <c r="B79" s="1504"/>
      <c r="C79" s="1806" t="s">
        <v>731</v>
      </c>
      <c r="D79" s="1013" t="s">
        <v>3</v>
      </c>
      <c r="E79" s="67" t="b">
        <f>IF(D79="Compliant",TRUE,FALSE)</f>
        <v>0</v>
      </c>
      <c r="F79" s="44"/>
      <c r="G79" s="44" t="str">
        <f>IF(I79&lt;&gt;"", "Not Blank", "")</f>
        <v/>
      </c>
      <c r="H79" s="44"/>
      <c r="I79" s="42"/>
      <c r="J79" s="42" t="str">
        <f>IF(L79&lt;&gt;"", "Not Blank", "")</f>
        <v/>
      </c>
      <c r="K79" s="42"/>
      <c r="L79" s="42"/>
      <c r="M79" s="128"/>
      <c r="N79" s="4801"/>
      <c r="O79" s="4524" t="b">
        <f>IF(N79="Compliant",TRUE,FALSE)</f>
        <v>0</v>
      </c>
      <c r="P79" s="1013"/>
      <c r="Q79" s="2242" t="s">
        <v>3</v>
      </c>
      <c r="R79" s="1011" t="b">
        <f>IF(OR(Q79="Compliant",Q79="FE with work-a-round",Q79="Functionally Equivalent"),TRUE,FALSE)</f>
        <v>0</v>
      </c>
      <c r="S79" s="121"/>
      <c r="T79" s="44"/>
      <c r="U79" s="122"/>
      <c r="V79" s="4806"/>
      <c r="W79" s="1267"/>
      <c r="X79" s="121"/>
      <c r="Y79" s="44"/>
      <c r="Z79" s="122"/>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40"/>
    </row>
    <row r="80" spans="1:84" s="27" customFormat="1" ht="29" x14ac:dyDescent="0.3">
      <c r="A80" s="60"/>
      <c r="B80" s="1504"/>
      <c r="C80" s="1717" t="s">
        <v>732</v>
      </c>
      <c r="D80" s="319" t="s">
        <v>3</v>
      </c>
      <c r="E80" s="67" t="b">
        <f>IF(D80="Compliant",TRUE,FALSE)</f>
        <v>0</v>
      </c>
      <c r="F80" s="44"/>
      <c r="G80" s="44" t="str">
        <f>IF(I80&lt;&gt;"", "Not Blank", "")</f>
        <v/>
      </c>
      <c r="H80" s="44"/>
      <c r="I80" s="44"/>
      <c r="J80" s="44" t="str">
        <f>IF(L80&lt;&gt;"", "Not Blank", "")</f>
        <v/>
      </c>
      <c r="K80" s="44"/>
      <c r="L80" s="44"/>
      <c r="M80" s="122"/>
      <c r="N80" s="4801"/>
      <c r="O80" s="4524" t="b">
        <f>IF(N80="Compliant",TRUE,FALSE)</f>
        <v>0</v>
      </c>
      <c r="P80" s="319"/>
      <c r="Q80" s="1064" t="s">
        <v>3</v>
      </c>
      <c r="R80" s="1011" t="b">
        <f>IF(OR(Q80="Compliant",Q80="FE with work-a-round",Q80="Functionally Equivalent"),TRUE,FALSE)</f>
        <v>0</v>
      </c>
      <c r="S80" s="121"/>
      <c r="T80" s="44"/>
      <c r="U80" s="122"/>
      <c r="V80" s="4806"/>
      <c r="W80" s="1267"/>
      <c r="X80" s="121"/>
      <c r="Y80" s="44"/>
      <c r="Z80" s="122"/>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40"/>
    </row>
    <row r="81" spans="1:84" s="27" customFormat="1" ht="44" thickBot="1" x14ac:dyDescent="0.35">
      <c r="A81" s="60"/>
      <c r="B81" s="1505"/>
      <c r="C81" s="1800" t="s">
        <v>733</v>
      </c>
      <c r="D81" s="230" t="s">
        <v>3</v>
      </c>
      <c r="E81" s="161" t="b">
        <f>IF(D81="Compliant",TRUE,FALSE)</f>
        <v>0</v>
      </c>
      <c r="F81" s="124"/>
      <c r="G81" s="124" t="str">
        <f>IF(I81&lt;&gt;"", "Not Blank", "")</f>
        <v/>
      </c>
      <c r="H81" s="124"/>
      <c r="I81" s="124"/>
      <c r="J81" s="124" t="str">
        <f>IF(L81&lt;&gt;"", "Not Blank", "")</f>
        <v/>
      </c>
      <c r="K81" s="124"/>
      <c r="L81" s="124"/>
      <c r="M81" s="125"/>
      <c r="N81" s="4802"/>
      <c r="O81" s="4829" t="b">
        <f>IF(N81="Compliant",TRUE,FALSE)</f>
        <v>0</v>
      </c>
      <c r="P81" s="230"/>
      <c r="Q81" s="1065" t="s">
        <v>3</v>
      </c>
      <c r="R81" s="1011" t="b">
        <f>IF(OR(Q81="Compliant",Q81="FE with work-a-round",Q81="Functionally Equivalent"),TRUE,FALSE)</f>
        <v>0</v>
      </c>
      <c r="S81" s="123"/>
      <c r="T81" s="124"/>
      <c r="U81" s="125"/>
      <c r="V81" s="4807"/>
      <c r="W81" s="1267"/>
      <c r="X81" s="123"/>
      <c r="Y81" s="124"/>
      <c r="Z81" s="125"/>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40"/>
    </row>
    <row r="82" spans="1:84" s="3668" customFormat="1" ht="19" customHeight="1" thickTop="1" x14ac:dyDescent="0.3">
      <c r="A82" s="3651"/>
      <c r="B82" s="3634"/>
      <c r="C82" s="3634"/>
      <c r="D82" s="3634"/>
      <c r="E82" s="3634"/>
      <c r="F82" s="3636"/>
      <c r="G82" s="3662"/>
      <c r="H82" s="3663"/>
      <c r="I82" s="3664"/>
      <c r="J82" s="3643"/>
      <c r="K82" s="3643"/>
      <c r="L82" s="3634"/>
      <c r="M82" s="3634"/>
      <c r="N82" s="4233"/>
      <c r="O82" s="3641"/>
      <c r="P82" s="3634"/>
      <c r="Q82" s="3634"/>
      <c r="R82" s="3643"/>
      <c r="S82" s="3634"/>
      <c r="T82" s="3634"/>
      <c r="U82" s="3634"/>
      <c r="V82" s="3692"/>
      <c r="W82" s="3639"/>
      <c r="X82" s="3634"/>
      <c r="Y82" s="3634"/>
      <c r="Z82" s="3634"/>
      <c r="AA82" s="3634"/>
      <c r="AB82" s="3634"/>
      <c r="AC82" s="3634"/>
      <c r="AD82" s="3634"/>
      <c r="AE82" s="3634"/>
      <c r="AF82" s="3634"/>
      <c r="AG82" s="3634"/>
      <c r="AH82" s="3634"/>
      <c r="AI82" s="3634"/>
      <c r="AJ82" s="3634"/>
      <c r="AK82" s="3634"/>
      <c r="AL82" s="3634"/>
      <c r="AM82" s="3634"/>
      <c r="AN82" s="3634"/>
      <c r="AO82" s="3634"/>
      <c r="AP82" s="3634"/>
      <c r="AQ82" s="3634"/>
      <c r="AR82" s="3634"/>
      <c r="AS82" s="3634"/>
      <c r="AT82" s="3634"/>
      <c r="AU82" s="3634"/>
      <c r="AV82" s="3634"/>
      <c r="AW82" s="3634"/>
      <c r="AX82" s="3634"/>
      <c r="AY82" s="3634"/>
      <c r="AZ82" s="3634"/>
      <c r="BA82" s="3634"/>
      <c r="BB82" s="3634"/>
      <c r="BC82" s="3634"/>
      <c r="BD82" s="3634"/>
      <c r="BE82" s="3634"/>
      <c r="BF82" s="3634"/>
      <c r="BG82" s="3634"/>
      <c r="BH82" s="3634"/>
      <c r="BI82" s="3634"/>
      <c r="BJ82" s="3634"/>
      <c r="BK82" s="3634"/>
      <c r="BL82" s="3634"/>
      <c r="BM82" s="3634"/>
      <c r="BN82" s="3634"/>
      <c r="BO82" s="3634"/>
      <c r="BP82" s="3634"/>
      <c r="BQ82" s="3634"/>
      <c r="BR82" s="3634"/>
      <c r="BS82" s="3634"/>
      <c r="BT82" s="3634"/>
      <c r="BU82" s="3634"/>
      <c r="BV82" s="3634"/>
      <c r="BW82" s="3634"/>
      <c r="BX82" s="3634"/>
      <c r="BY82" s="3634"/>
      <c r="BZ82" s="3634"/>
      <c r="CA82" s="3634"/>
      <c r="CB82" s="3634"/>
      <c r="CC82" s="3634"/>
      <c r="CD82" s="3634"/>
      <c r="CE82" s="3634"/>
      <c r="CF82" s="3634"/>
    </row>
    <row r="83" spans="1:84" s="3640" customFormat="1" ht="18.649999999999999" customHeight="1" x14ac:dyDescent="0.3">
      <c r="A83" s="4482" t="s">
        <v>1139</v>
      </c>
      <c r="B83" s="4483"/>
      <c r="C83" s="4483"/>
      <c r="D83" s="4483"/>
      <c r="E83" s="4483"/>
      <c r="F83" s="4483"/>
      <c r="G83" s="4483"/>
      <c r="H83" s="4483"/>
      <c r="I83" s="4483"/>
      <c r="J83" s="4483"/>
      <c r="K83" s="4483"/>
      <c r="L83" s="4483"/>
      <c r="M83" s="4483"/>
      <c r="N83" s="4483"/>
      <c r="O83" s="3669"/>
      <c r="P83" s="3670"/>
      <c r="Q83" s="4030"/>
      <c r="R83" s="4217"/>
      <c r="S83" s="3671"/>
      <c r="T83" s="3672"/>
      <c r="U83" s="3672"/>
      <c r="V83" s="3880"/>
      <c r="W83" s="3673"/>
      <c r="X83" s="3674"/>
      <c r="Y83" s="3675"/>
      <c r="Z83" s="3676"/>
    </row>
    <row r="84" spans="1:84" s="4239" customFormat="1" ht="18.649999999999999" customHeight="1" thickBot="1" x14ac:dyDescent="0.35">
      <c r="A84" s="4234"/>
      <c r="B84" s="4234"/>
      <c r="C84" s="3755"/>
      <c r="D84" s="4234"/>
      <c r="E84" s="4235"/>
      <c r="F84" s="4234"/>
      <c r="G84" s="4234"/>
      <c r="H84" s="4234"/>
      <c r="I84" s="4234"/>
      <c r="J84" s="4234"/>
      <c r="K84" s="4234"/>
      <c r="L84" s="4234"/>
      <c r="M84" s="4234"/>
      <c r="N84" s="4235"/>
      <c r="O84" s="3755"/>
      <c r="P84" s="4236"/>
      <c r="Q84" s="4235"/>
      <c r="R84" s="4237"/>
      <c r="S84" s="4236"/>
      <c r="T84" s="4236"/>
      <c r="U84" s="4236"/>
      <c r="V84" s="4235"/>
      <c r="W84" s="3660"/>
      <c r="X84" s="4238"/>
      <c r="Y84" s="4238"/>
      <c r="Z84" s="4238"/>
    </row>
    <row r="85" spans="1:84" s="650" customFormat="1" ht="30" thickTop="1" thickBot="1" x14ac:dyDescent="0.35">
      <c r="A85" s="204"/>
      <c r="B85" s="1510" t="s">
        <v>734</v>
      </c>
      <c r="C85" s="1946" t="s">
        <v>1264</v>
      </c>
      <c r="D85" s="1947" t="s">
        <v>565</v>
      </c>
      <c r="E85" s="3363" t="b">
        <f>IF(AND(E86=TRUE,E96=TRUE),TRUE,FALSE)</f>
        <v>0</v>
      </c>
      <c r="F85" s="1519">
        <f>COUNTIF(E86:E89,TRUE)</f>
        <v>0</v>
      </c>
      <c r="G85" s="3364">
        <f>COUNTIFS(E86:E89,TRUE,G86:G89,"Not Blank")</f>
        <v>0</v>
      </c>
      <c r="H85" s="3365">
        <f>COUNTIFS(E86:E89,FALSE,G86:G89,"Not Blank")</f>
        <v>0</v>
      </c>
      <c r="I85" s="1519" t="str">
        <f xml:space="preserve">
IF(F85&gt;4,"Too Many Entries - Check Red Lines",
IF(G85&lt;F85,"Valid Entry required below - Check Amber Line/s",
IF(AND(E85=FALSE,G85=0,H85=0),"Nothing Entered below Yet",
IF(G85&lt;F85,"Valid Entry required below - Check Amber Line/s",
IF(AND(G85=0,H85&gt;0),"**Non-Valid Entry/ies below - Check Yellow Line/s",
IF(AND(G85&gt;0,H85&gt;0),"**Valid and Non-Valid Entries made below - Check Yellow Line/s",
IF(AND(E85=FALSE,F85&lt;4),"Not all requirements addressed below - Check Pink Line/s",
IF(AND(E85=FALSE,G85&lt;4,G85&gt;0,H85=0),"More entries to come",
IF(AND(E85,TRUE,G85=4,H85=0),"Valid Entries made below"
)))))))))</f>
        <v>Nothing Entered below Yet</v>
      </c>
      <c r="J85" s="1520">
        <f>COUNTIFS(E86:E89,TRUE,J86:J89,"Not Blank")</f>
        <v>0</v>
      </c>
      <c r="K85" s="1520">
        <f>COUNTIFS(E86:E89,FALSE,J86:J89,"Not Blank")</f>
        <v>0</v>
      </c>
      <c r="L85" s="1519" t="str">
        <f xml:space="preserve">
IF(J85&gt;4,"Too Many Entries - Check Red Lines",
IF(AND(E85=FALSE,J85=0,K85=0,E85=TRUE),"Nothing Required Below",
IF(J85&lt;F85,"Valid Entry required below - Check Amber Line/s",
IF(AND(E85=FALSE,J85=0,K85=0),"Nothing Entered below Yet",
IF(AND(J85=0,K85&gt;0),"**Non-Valid Entry/ies below - Check Yellow Line/s",
IF(AND(J85&gt;0,K85&gt;0),"**Valid and Non-Valid Entries made below - Check Yellow Line/s",
IF(AND(E85=FALSE,J85&lt;4),"Not all requirements addressed below - Check Pink Line/s",
IF(AND(E85=FALSE,J85&lt;4,J85&gt;0,K85=0),"More entries to come",
IF(AND(E85,TRUE,J85=4,K85=0),"Valid Entries made below"
)))))))))</f>
        <v>Nothing Entered below Yet</v>
      </c>
      <c r="M85" s="809"/>
      <c r="N85" s="4230" t="s">
        <v>565</v>
      </c>
      <c r="O85" s="739" t="b">
        <f>IF(AND(O86=TRUE,O96=TRUE),TRUE,FALSE)</f>
        <v>0</v>
      </c>
      <c r="P85" s="865"/>
      <c r="Q85" s="4231" t="s">
        <v>565</v>
      </c>
      <c r="R85" s="733" t="b">
        <f>IF(AND(R86=TRUE,R96=TRUE),TRUE,FALSE)</f>
        <v>0</v>
      </c>
      <c r="S85" s="418"/>
      <c r="T85" s="418"/>
      <c r="U85" s="809"/>
      <c r="V85" s="4232" t="s">
        <v>565</v>
      </c>
      <c r="W85" s="1917" t="b">
        <f>IF(AND(W86=TRUE,W96=TRUE),TRUE,FALSE)</f>
        <v>0</v>
      </c>
      <c r="X85" s="473"/>
      <c r="Y85" s="418"/>
      <c r="Z85" s="809"/>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row>
    <row r="86" spans="1:84" s="27" customFormat="1" ht="87.5" thickTop="1" x14ac:dyDescent="0.3">
      <c r="A86" s="60">
        <v>6</v>
      </c>
      <c r="B86" s="1509" t="s">
        <v>1629</v>
      </c>
      <c r="C86" s="2148" t="s">
        <v>735</v>
      </c>
      <c r="D86" s="2149" t="s">
        <v>565</v>
      </c>
      <c r="E86" s="1929" t="b">
        <f>IF(AND(E87=TRUE,E88=TRUE,E89=TRUE,E90=TRUE,E91=TRUE,E92=TRUE,E93=TRUE,E94=TRUE,E95=TRUE),TRUE,FALSE)</f>
        <v>0</v>
      </c>
      <c r="F86" s="1514">
        <f>COUNTIF(E87:E90,TRUE)</f>
        <v>0</v>
      </c>
      <c r="G86" s="1514">
        <f>COUNTIFS(E87:E90,TRUE,G87:G90,"Not Blank")</f>
        <v>0</v>
      </c>
      <c r="H86" s="1514">
        <f>COUNTIFS(E87:E90,FALSE,G87:G90,"Not Blank")</f>
        <v>0</v>
      </c>
      <c r="I86" s="2155" t="str">
        <f xml:space="preserve">
IF(F86&gt;4,"Too Many Entries - Check Red Lines",
IF(G86&lt;F86,"Valid Entry required below - Check Amber Line/s",
IF(AND(E86=FALSE,G86=0,H86=0),"Nothing Entered below Yet",
IF(G86&lt;F86,"Valid Entry required below - Check Amber Line/s",
IF(AND(G86=0,H86&gt;0),"**Non-Valid Entry/ies below - Check Yellow Line/s",
IF(AND(G86&gt;0,H86&gt;0),"**Valid and Non-Valid Entries made below - Check Yellow Line/s",
IF(AND(E86=FALSE,F86&lt;4),"Not all requirements addressed below - Check Pink Line/s",
IF(AND(E86=FALSE,G86&lt;4,G86&gt;0,H86=0),"More entries to come",
IF(AND(E86,TRUE,G86=4,H86=0),"Valid Entries made below"
)))))))))</f>
        <v>Nothing Entered below Yet</v>
      </c>
      <c r="J86" s="2155">
        <f>COUNTIFS(E87:E90,TRUE,J87:J90,"Not Blank")</f>
        <v>0</v>
      </c>
      <c r="K86" s="2155">
        <f>COUNTIFS(E87:E90,FALSE,J87:J90,"Not Blank")</f>
        <v>0</v>
      </c>
      <c r="L86" s="2155" t="str">
        <f xml:space="preserve">
IF(J86&gt;4,"Too Many Entries - Check Red Lines",
IF(AND(E86=FALSE,J86=0,K86=0,E86=TRUE),"Nothing Required Below",
IF(J86&lt;F86,"Valid Entry required below - Check Amber Line/s",
IF(AND(E86=FALSE,J86=0,K86=0),"Nothing Entered below Yet",
IF(AND(J86=0,K86&gt;0),"**Non-Valid Entry/ies below - Check Yellow Line/s",
IF(AND(J86&gt;0,K86&gt;0),"**Valid and Non-Valid Entries made below - Check Yellow Line/s",
IF(AND(E86=FALSE,J86&lt;4),"Not all requirements addressed below - Check Pink Line/s",
IF(AND(E86=FALSE,J86&lt;4,J86&gt;0,K86=0),"More entries to come",
IF(AND(E86,TRUE,J86=4,K86=0),"Valid Entries made below"
)))))))))</f>
        <v>Nothing Entered below Yet</v>
      </c>
      <c r="M86" s="2176"/>
      <c r="N86" s="4822" t="s">
        <v>3</v>
      </c>
      <c r="O86" s="4831" t="b">
        <f>IF(OR(N86="Compliant",N86="FE with work-a-round",N86="Functionally Equivalent"),TRUE,FALSE)</f>
        <v>0</v>
      </c>
      <c r="P86" s="2243"/>
      <c r="Q86" s="4190" t="s">
        <v>565</v>
      </c>
      <c r="R86" s="1012" t="b">
        <f>IF(AND(R87=TRUE,R88=TRUE,R89=TRUE,R90=TRUE,R91=TRUE,R92=TRUE,R93=TRUE,R94=TRUE,R95=TRUE),TRUE,FALSE)</f>
        <v>0</v>
      </c>
      <c r="S86" s="119"/>
      <c r="T86" s="111"/>
      <c r="U86" s="120"/>
      <c r="V86" s="4800" t="s">
        <v>3</v>
      </c>
      <c r="W86" s="4820" t="b">
        <f>IF(OR(V86="Compliant",V86="FE with work-a-round",V86="Functionally Equivalent",V86="Not Required/Applicable"),TRUE,FALSE)</f>
        <v>0</v>
      </c>
      <c r="X86" s="119"/>
      <c r="Y86" s="111"/>
      <c r="Z86" s="120"/>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40"/>
    </row>
    <row r="87" spans="1:84" s="27" customFormat="1" ht="43.5" x14ac:dyDescent="0.3">
      <c r="A87" s="60">
        <v>6.1</v>
      </c>
      <c r="B87" s="1504"/>
      <c r="C87" s="1806" t="s">
        <v>736</v>
      </c>
      <c r="D87" s="1013" t="s">
        <v>3</v>
      </c>
      <c r="E87" s="67" t="b">
        <f t="shared" ref="E87:E95" si="14">IF(D87="Compliant",TRUE,FALSE)</f>
        <v>0</v>
      </c>
      <c r="F87" s="44"/>
      <c r="G87" s="44" t="str">
        <f t="shared" ref="G87:G95" si="15">IF(I87&lt;&gt;"", "Not Blank", "")</f>
        <v/>
      </c>
      <c r="H87" s="44"/>
      <c r="I87" s="42"/>
      <c r="J87" s="42"/>
      <c r="K87" s="42"/>
      <c r="L87" s="42"/>
      <c r="M87" s="128"/>
      <c r="N87" s="4801" t="s">
        <v>3</v>
      </c>
      <c r="O87" s="4524" t="b">
        <f t="shared" ref="O87:O123" si="16">IF(N87="Compliant",TRUE,FALSE)</f>
        <v>0</v>
      </c>
      <c r="P87" s="1013"/>
      <c r="Q87" s="2238" t="s">
        <v>3</v>
      </c>
      <c r="R87" s="456" t="b">
        <f t="shared" ref="R87:R95" si="17">IF(OR(Q87="Compliant",Q87="FE with work-a-round",Q87="Functionally Equivalent"),TRUE,FALSE)</f>
        <v>0</v>
      </c>
      <c r="S87" s="121"/>
      <c r="T87" s="44"/>
      <c r="U87" s="122"/>
      <c r="V87" s="4801" t="s">
        <v>3</v>
      </c>
      <c r="W87" s="4418"/>
      <c r="X87" s="121"/>
      <c r="Y87" s="44"/>
      <c r="Z87" s="122"/>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40"/>
    </row>
    <row r="88" spans="1:84" s="27" customFormat="1" ht="43.5" x14ac:dyDescent="0.3">
      <c r="A88" s="60"/>
      <c r="B88" s="1504"/>
      <c r="C88" s="1717" t="s">
        <v>737</v>
      </c>
      <c r="D88" s="319" t="s">
        <v>3</v>
      </c>
      <c r="E88" s="67" t="b">
        <f t="shared" si="14"/>
        <v>0</v>
      </c>
      <c r="F88" s="44"/>
      <c r="G88" s="44" t="str">
        <f t="shared" si="15"/>
        <v/>
      </c>
      <c r="H88" s="44"/>
      <c r="I88" s="44"/>
      <c r="J88" s="44"/>
      <c r="K88" s="44"/>
      <c r="L88" s="44"/>
      <c r="M88" s="122"/>
      <c r="N88" s="4801" t="s">
        <v>3</v>
      </c>
      <c r="O88" s="4524" t="b">
        <f t="shared" si="16"/>
        <v>0</v>
      </c>
      <c r="P88" s="319"/>
      <c r="Q88" s="1062" t="s">
        <v>3</v>
      </c>
      <c r="R88" s="456" t="b">
        <f t="shared" si="17"/>
        <v>0</v>
      </c>
      <c r="S88" s="121"/>
      <c r="T88" s="44"/>
      <c r="U88" s="122"/>
      <c r="V88" s="4801" t="s">
        <v>3</v>
      </c>
      <c r="W88" s="4418"/>
      <c r="X88" s="121"/>
      <c r="Y88" s="44"/>
      <c r="Z88" s="122"/>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40"/>
    </row>
    <row r="89" spans="1:84" s="27" customFormat="1" ht="29" x14ac:dyDescent="0.3">
      <c r="A89" s="60"/>
      <c r="B89" s="1504"/>
      <c r="C89" s="1717" t="s">
        <v>738</v>
      </c>
      <c r="D89" s="319" t="s">
        <v>3</v>
      </c>
      <c r="E89" s="67" t="b">
        <f t="shared" si="14"/>
        <v>0</v>
      </c>
      <c r="F89" s="44"/>
      <c r="G89" s="44" t="str">
        <f t="shared" si="15"/>
        <v/>
      </c>
      <c r="H89" s="44"/>
      <c r="I89" s="44"/>
      <c r="J89" s="44"/>
      <c r="K89" s="44"/>
      <c r="L89" s="44"/>
      <c r="M89" s="122"/>
      <c r="N89" s="4801" t="s">
        <v>3</v>
      </c>
      <c r="O89" s="4524" t="b">
        <f t="shared" si="16"/>
        <v>0</v>
      </c>
      <c r="P89" s="319"/>
      <c r="Q89" s="1062" t="s">
        <v>3</v>
      </c>
      <c r="R89" s="456" t="b">
        <f t="shared" si="17"/>
        <v>0</v>
      </c>
      <c r="S89" s="121"/>
      <c r="T89" s="44"/>
      <c r="U89" s="122"/>
      <c r="V89" s="4801" t="s">
        <v>3</v>
      </c>
      <c r="W89" s="4418"/>
      <c r="X89" s="121"/>
      <c r="Y89" s="44"/>
      <c r="Z89" s="122"/>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40"/>
    </row>
    <row r="90" spans="1:84" s="27" customFormat="1" ht="29" x14ac:dyDescent="0.3">
      <c r="A90" s="60"/>
      <c r="B90" s="1504"/>
      <c r="C90" s="1717" t="s">
        <v>739</v>
      </c>
      <c r="D90" s="319" t="s">
        <v>3</v>
      </c>
      <c r="E90" s="67" t="b">
        <f t="shared" si="14"/>
        <v>0</v>
      </c>
      <c r="F90" s="44"/>
      <c r="G90" s="44" t="str">
        <f t="shared" si="15"/>
        <v/>
      </c>
      <c r="H90" s="44"/>
      <c r="I90" s="44"/>
      <c r="J90" s="44"/>
      <c r="K90" s="44"/>
      <c r="L90" s="44"/>
      <c r="M90" s="122"/>
      <c r="N90" s="4801" t="s">
        <v>3</v>
      </c>
      <c r="O90" s="4524" t="b">
        <f t="shared" si="16"/>
        <v>0</v>
      </c>
      <c r="P90" s="319"/>
      <c r="Q90" s="1062" t="s">
        <v>3</v>
      </c>
      <c r="R90" s="456" t="b">
        <f t="shared" si="17"/>
        <v>0</v>
      </c>
      <c r="S90" s="121"/>
      <c r="T90" s="44"/>
      <c r="U90" s="122"/>
      <c r="V90" s="4801" t="s">
        <v>3</v>
      </c>
      <c r="W90" s="4418"/>
      <c r="X90" s="121"/>
      <c r="Y90" s="44"/>
      <c r="Z90" s="122"/>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40"/>
    </row>
    <row r="91" spans="1:84" s="27" customFormat="1" ht="29" x14ac:dyDescent="0.3">
      <c r="A91" s="60"/>
      <c r="B91" s="1504"/>
      <c r="C91" s="1717" t="s">
        <v>740</v>
      </c>
      <c r="D91" s="319" t="s">
        <v>3</v>
      </c>
      <c r="E91" s="67" t="b">
        <f t="shared" si="14"/>
        <v>0</v>
      </c>
      <c r="F91" s="44"/>
      <c r="G91" s="44" t="str">
        <f t="shared" si="15"/>
        <v/>
      </c>
      <c r="H91" s="44"/>
      <c r="I91" s="44"/>
      <c r="J91" s="44"/>
      <c r="K91" s="44"/>
      <c r="L91" s="44"/>
      <c r="M91" s="122"/>
      <c r="N91" s="4801" t="s">
        <v>3</v>
      </c>
      <c r="O91" s="4524" t="b">
        <f t="shared" si="16"/>
        <v>0</v>
      </c>
      <c r="P91" s="319"/>
      <c r="Q91" s="1062" t="s">
        <v>3</v>
      </c>
      <c r="R91" s="456" t="b">
        <f t="shared" si="17"/>
        <v>0</v>
      </c>
      <c r="S91" s="121"/>
      <c r="T91" s="44"/>
      <c r="U91" s="122"/>
      <c r="V91" s="4801" t="s">
        <v>3</v>
      </c>
      <c r="W91" s="4418"/>
      <c r="X91" s="121"/>
      <c r="Y91" s="44"/>
      <c r="Z91" s="122"/>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40"/>
    </row>
    <row r="92" spans="1:84" s="27" customFormat="1" ht="58" x14ac:dyDescent="0.3">
      <c r="A92" s="60"/>
      <c r="B92" s="1504"/>
      <c r="C92" s="1717" t="s">
        <v>741</v>
      </c>
      <c r="D92" s="319" t="s">
        <v>3</v>
      </c>
      <c r="E92" s="67" t="b">
        <f t="shared" si="14"/>
        <v>0</v>
      </c>
      <c r="F92" s="44"/>
      <c r="G92" s="44" t="str">
        <f t="shared" si="15"/>
        <v/>
      </c>
      <c r="H92" s="44"/>
      <c r="I92" s="44"/>
      <c r="J92" s="44"/>
      <c r="K92" s="44"/>
      <c r="L92" s="44"/>
      <c r="M92" s="122"/>
      <c r="N92" s="4801" t="s">
        <v>3</v>
      </c>
      <c r="O92" s="4524" t="b">
        <f t="shared" si="16"/>
        <v>0</v>
      </c>
      <c r="P92" s="319"/>
      <c r="Q92" s="1062" t="s">
        <v>3</v>
      </c>
      <c r="R92" s="456" t="b">
        <f t="shared" si="17"/>
        <v>0</v>
      </c>
      <c r="S92" s="121"/>
      <c r="T92" s="44"/>
      <c r="U92" s="122"/>
      <c r="V92" s="4801" t="s">
        <v>3</v>
      </c>
      <c r="W92" s="4418"/>
      <c r="X92" s="121"/>
      <c r="Y92" s="44"/>
      <c r="Z92" s="122"/>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40"/>
    </row>
    <row r="93" spans="1:84" s="27" customFormat="1" ht="29" x14ac:dyDescent="0.3">
      <c r="A93" s="60"/>
      <c r="B93" s="1504"/>
      <c r="C93" s="1717" t="s">
        <v>742</v>
      </c>
      <c r="D93" s="319" t="s">
        <v>3</v>
      </c>
      <c r="E93" s="67" t="b">
        <f t="shared" si="14"/>
        <v>0</v>
      </c>
      <c r="F93" s="44"/>
      <c r="G93" s="44" t="str">
        <f t="shared" si="15"/>
        <v/>
      </c>
      <c r="H93" s="44"/>
      <c r="I93" s="44"/>
      <c r="J93" s="44"/>
      <c r="K93" s="44"/>
      <c r="L93" s="44"/>
      <c r="M93" s="122"/>
      <c r="N93" s="4801" t="s">
        <v>3</v>
      </c>
      <c r="O93" s="4524" t="b">
        <f t="shared" si="16"/>
        <v>0</v>
      </c>
      <c r="P93" s="319"/>
      <c r="Q93" s="1062" t="s">
        <v>3</v>
      </c>
      <c r="R93" s="456" t="b">
        <f t="shared" si="17"/>
        <v>0</v>
      </c>
      <c r="S93" s="121"/>
      <c r="T93" s="44"/>
      <c r="U93" s="122"/>
      <c r="V93" s="4801" t="s">
        <v>3</v>
      </c>
      <c r="W93" s="4418"/>
      <c r="X93" s="121"/>
      <c r="Y93" s="44"/>
      <c r="Z93" s="122"/>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40"/>
    </row>
    <row r="94" spans="1:84" s="27" customFormat="1" ht="29" x14ac:dyDescent="0.3">
      <c r="A94" s="60"/>
      <c r="B94" s="1504"/>
      <c r="C94" s="1717" t="s">
        <v>743</v>
      </c>
      <c r="D94" s="319" t="s">
        <v>3</v>
      </c>
      <c r="E94" s="67" t="b">
        <f t="shared" si="14"/>
        <v>0</v>
      </c>
      <c r="F94" s="44"/>
      <c r="G94" s="44" t="str">
        <f t="shared" si="15"/>
        <v/>
      </c>
      <c r="H94" s="44"/>
      <c r="I94" s="44"/>
      <c r="J94" s="44"/>
      <c r="K94" s="44"/>
      <c r="L94" s="44"/>
      <c r="M94" s="122"/>
      <c r="N94" s="4801" t="s">
        <v>3</v>
      </c>
      <c r="O94" s="4524" t="b">
        <f t="shared" si="16"/>
        <v>0</v>
      </c>
      <c r="P94" s="319"/>
      <c r="Q94" s="1062" t="s">
        <v>3</v>
      </c>
      <c r="R94" s="456" t="b">
        <f t="shared" si="17"/>
        <v>0</v>
      </c>
      <c r="S94" s="121"/>
      <c r="T94" s="44"/>
      <c r="U94" s="122"/>
      <c r="V94" s="4801" t="s">
        <v>3</v>
      </c>
      <c r="W94" s="4418"/>
      <c r="X94" s="121"/>
      <c r="Y94" s="44"/>
      <c r="Z94" s="122"/>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40"/>
    </row>
    <row r="95" spans="1:84" s="27" customFormat="1" ht="29.5" thickBot="1" x14ac:dyDescent="0.35">
      <c r="A95" s="60"/>
      <c r="B95" s="1505"/>
      <c r="C95" s="1800" t="s">
        <v>744</v>
      </c>
      <c r="D95" s="230" t="s">
        <v>3</v>
      </c>
      <c r="E95" s="161" t="b">
        <f t="shared" si="14"/>
        <v>0</v>
      </c>
      <c r="F95" s="124"/>
      <c r="G95" s="124" t="str">
        <f t="shared" si="15"/>
        <v/>
      </c>
      <c r="H95" s="124"/>
      <c r="I95" s="124"/>
      <c r="J95" s="124"/>
      <c r="K95" s="124"/>
      <c r="L95" s="124"/>
      <c r="M95" s="125"/>
      <c r="N95" s="4823" t="s">
        <v>3</v>
      </c>
      <c r="O95" s="4832" t="b">
        <f t="shared" si="16"/>
        <v>0</v>
      </c>
      <c r="P95" s="230"/>
      <c r="Q95" s="1066" t="s">
        <v>3</v>
      </c>
      <c r="R95" s="456" t="b">
        <f t="shared" si="17"/>
        <v>0</v>
      </c>
      <c r="S95" s="123"/>
      <c r="T95" s="124"/>
      <c r="U95" s="125"/>
      <c r="V95" s="4802" t="s">
        <v>3</v>
      </c>
      <c r="W95" s="4821"/>
      <c r="X95" s="123"/>
      <c r="Y95" s="124"/>
      <c r="Z95" s="125"/>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40"/>
    </row>
    <row r="96" spans="1:84" s="28" customFormat="1" ht="44" thickTop="1" x14ac:dyDescent="0.3">
      <c r="B96" s="2065" t="s">
        <v>1628</v>
      </c>
      <c r="C96" s="2148" t="s">
        <v>1258</v>
      </c>
      <c r="D96" s="2149" t="s">
        <v>565</v>
      </c>
      <c r="E96" s="1922" t="b">
        <f>IF(AND(E97=TRUE,E98=TRUE,E99=TRUE,E100=TRUE,E101=TRUE,E102=TRUE,E103=TRUE,E104=TRUE,E105=TRUE,E106=TRUE,E107=TRUE,E108=TRUE,E109=TRUE,E110=TRUE,E111=TRUE,E112=TRUE,E113=TRUE,E114=TRUE,E115=TRUE,E116=TRUE,E117=TRUE,E118=TRUE,E119=TRUE,E120=TRUE,E121=TRUE,E122=TRUE,E123=TRUE),TRUE,FALSE)</f>
        <v>0</v>
      </c>
      <c r="F96" s="1647">
        <f>COUNTIF(E97:E100,TRUE)</f>
        <v>0</v>
      </c>
      <c r="G96" s="1647">
        <f>COUNTIFS(E97:E100,TRUE,G97:G100,"Not Blank")</f>
        <v>0</v>
      </c>
      <c r="H96" s="1647">
        <f>COUNTIFS(E97:E100,FALSE,G97:G100,"Not Blank")</f>
        <v>0</v>
      </c>
      <c r="I96" s="2155" t="str">
        <f xml:space="preserve">
IF(F96&gt;4,"Too Many Entries - Check Red Lines",
IF(G96&lt;F96,"Valid Entry required below - Check Amber Line/s",
IF(AND(E96=FALSE,G96=0,H96=0),"Nothing Entered below Yet",
IF(G96&lt;F96,"Valid Entry required below - Check Amber Line/s",
IF(AND(G96=0,H96&gt;0),"**Non-Valid Entry/ies below - Check Yellow Line/s",
IF(AND(G96&gt;0,H96&gt;0),"**Valid and Non-Valid Entries made below - Check Yellow Line/s",
IF(AND(E96=FALSE,F96&lt;4),"Not all requirements addressed below - Check Pink Line/s",
IF(AND(E96=FALSE,G96&lt;4,G96&gt;0,H96=0),"More entries to come",
IF(AND(E96,TRUE,G96=4,H96=0),"Valid Entries made below"
)))))))))</f>
        <v>Nothing Entered below Yet</v>
      </c>
      <c r="J96" s="2155">
        <f>COUNTIFS(E97:E100,TRUE,J97:J100,"Not Blank")</f>
        <v>0</v>
      </c>
      <c r="K96" s="2155">
        <f>COUNTIFS(E97:E100,FALSE,J97:J100,"Not Blank")</f>
        <v>0</v>
      </c>
      <c r="L96" s="2155" t="str">
        <f xml:space="preserve">
IF(J96&gt;4,"Too Many Entries - Check Red Lines",
IF(AND(E96=FALSE,J96=0,K96=0,E96=TRUE),"Nothing Required Below",
IF(J96&lt;F96,"Valid Entry required below - Check Amber Line/s",
IF(AND(E96=FALSE,J96=0,K96=0),"Nothing Entered below Yet",
IF(AND(J96=0,K96&gt;0),"**Non-Valid Entry/ies below - Check Yellow Line/s",
IF(AND(J96&gt;0,K96&gt;0),"**Valid and Non-Valid Entries made below - Check Yellow Line/s",
IF(AND(E96=FALSE,J96&lt;4),"Not all requirements addressed below - Check Pink Line/s",
IF(AND(E96=FALSE,J96&lt;4,J96&gt;0,K96=0),"More entries to come",
IF(AND(E96,TRUE,J96=4,K96=0),"Valid Entries made below"
)))))))))</f>
        <v>Nothing Entered below Yet</v>
      </c>
      <c r="M96" s="2176"/>
      <c r="N96" s="4822" t="s">
        <v>3</v>
      </c>
      <c r="O96" s="4833" t="b">
        <f>IF(OR(N96="Compliant",N96="FE with work-a-round",N96="Functionally Equivalent"),TRUE,FALSE)</f>
        <v>0</v>
      </c>
      <c r="P96" s="2243"/>
      <c r="Q96" s="4190" t="s">
        <v>565</v>
      </c>
      <c r="R96" s="732" t="b">
        <f>IF(AND(R97=TRUE,R98=TRUE,R99=TRUE,R100=TRUE,R101=TRUE,R102=TRUE,R103=TRUE,R104=TRUE,R105=TRUE,R106=TRUE,R107=TRUE,R108=TRUE,R109=TRUE,R110=TRUE,R111=TRUE,R112=TRUE,R113=TRUE,R114=TRUE,R115=TRUE,R116=TRUE,R117=TRUE,R118=TRUE,R119=TRUE,R120=TRUE,R121=TRUE,R122=TRUE,R123=TRUE),TRUE,FALSE)</f>
        <v>0</v>
      </c>
      <c r="S96" s="42"/>
      <c r="T96" s="42"/>
      <c r="U96" s="128"/>
      <c r="V96" s="4808" t="s">
        <v>3</v>
      </c>
      <c r="W96" s="4819" t="b">
        <f>IF(OR(V96="Compliant",V96="FE with work-a-round",V96="Functionally Equivalent",V96="Not Required/Applicable"),TRUE,FALSE)</f>
        <v>0</v>
      </c>
      <c r="X96" s="834"/>
      <c r="Y96" s="42"/>
      <c r="Z96" s="128"/>
    </row>
    <row r="97" spans="2:26" s="28" customFormat="1" ht="29" x14ac:dyDescent="0.3">
      <c r="B97" s="1504"/>
      <c r="C97" s="1806" t="s">
        <v>91</v>
      </c>
      <c r="D97" s="1013" t="s">
        <v>3</v>
      </c>
      <c r="E97" s="67" t="b">
        <f t="shared" ref="E97:E123" si="18">IF(D97="Compliant",TRUE,FALSE)</f>
        <v>0</v>
      </c>
      <c r="F97" s="44"/>
      <c r="G97" s="44" t="str">
        <f t="shared" ref="G97:G123" si="19">IF(I97&lt;&gt;"", "Not Blank", "")</f>
        <v/>
      </c>
      <c r="H97" s="44"/>
      <c r="I97" s="42"/>
      <c r="J97" s="42" t="str">
        <f t="shared" ref="J97:J123" si="20">IF(L97&lt;&gt;"", "Not Blank", "")</f>
        <v/>
      </c>
      <c r="K97" s="42"/>
      <c r="L97" s="42"/>
      <c r="M97" s="128"/>
      <c r="N97" s="4801" t="s">
        <v>3</v>
      </c>
      <c r="O97" s="4834" t="b">
        <f t="shared" si="16"/>
        <v>0</v>
      </c>
      <c r="P97" s="2244"/>
      <c r="Q97" s="2238" t="s">
        <v>3</v>
      </c>
      <c r="R97" s="737" t="b">
        <f>IF(OR(Q97="Compliant",Q97="FE with work-a-round",Q97="Functionally Equivalent"),TRUE,FALSE)</f>
        <v>0</v>
      </c>
      <c r="S97" s="44"/>
      <c r="T97" s="44"/>
      <c r="U97" s="122"/>
      <c r="V97" s="4809" t="s">
        <v>3</v>
      </c>
      <c r="W97" s="4803"/>
      <c r="X97" s="121"/>
      <c r="Y97" s="44"/>
      <c r="Z97" s="122"/>
    </row>
    <row r="98" spans="2:26" s="28" customFormat="1" ht="29" x14ac:dyDescent="0.3">
      <c r="B98" s="1504"/>
      <c r="C98" s="1717" t="s">
        <v>92</v>
      </c>
      <c r="D98" s="319" t="s">
        <v>3</v>
      </c>
      <c r="E98" s="67" t="b">
        <f t="shared" si="18"/>
        <v>0</v>
      </c>
      <c r="F98" s="44"/>
      <c r="G98" s="44" t="str">
        <f t="shared" si="19"/>
        <v/>
      </c>
      <c r="H98" s="44"/>
      <c r="I98" s="44"/>
      <c r="J98" s="44" t="str">
        <f t="shared" si="20"/>
        <v/>
      </c>
      <c r="K98" s="44"/>
      <c r="L98" s="44"/>
      <c r="M98" s="122"/>
      <c r="N98" s="4801" t="s">
        <v>3</v>
      </c>
      <c r="O98" s="4834" t="b">
        <f t="shared" si="16"/>
        <v>0</v>
      </c>
      <c r="P98" s="316"/>
      <c r="Q98" s="1062" t="s">
        <v>3</v>
      </c>
      <c r="R98" s="737" t="b">
        <f>IF(OR(Q98="Compliant",Q98="FE with work-a-round",Q98="Functionally Equivalent"),TRUE,FALSE)</f>
        <v>0</v>
      </c>
      <c r="S98" s="44"/>
      <c r="T98" s="44"/>
      <c r="U98" s="122"/>
      <c r="V98" s="4809" t="s">
        <v>3</v>
      </c>
      <c r="W98" s="4803"/>
      <c r="X98" s="121"/>
      <c r="Y98" s="44"/>
      <c r="Z98" s="122"/>
    </row>
    <row r="99" spans="2:26" s="28" customFormat="1" ht="43.5" x14ac:dyDescent="0.3">
      <c r="B99" s="1504"/>
      <c r="C99" s="1717" t="s">
        <v>93</v>
      </c>
      <c r="D99" s="319" t="s">
        <v>3</v>
      </c>
      <c r="E99" s="67" t="b">
        <f t="shared" si="18"/>
        <v>0</v>
      </c>
      <c r="F99" s="44"/>
      <c r="G99" s="44" t="str">
        <f t="shared" si="19"/>
        <v/>
      </c>
      <c r="H99" s="44"/>
      <c r="I99" s="44"/>
      <c r="J99" s="44" t="str">
        <f t="shared" si="20"/>
        <v/>
      </c>
      <c r="K99" s="44"/>
      <c r="L99" s="44"/>
      <c r="M99" s="122"/>
      <c r="N99" s="4801" t="s">
        <v>3</v>
      </c>
      <c r="O99" s="4834" t="b">
        <f t="shared" si="16"/>
        <v>0</v>
      </c>
      <c r="P99" s="316"/>
      <c r="Q99" s="1062" t="s">
        <v>3</v>
      </c>
      <c r="R99" s="737" t="b">
        <f t="shared" ref="R99:R121" si="21">IF(OR(Q99="Compliant",Q99="FE with work-a-round",Q99="Functionally Equivalent"),TRUE,FALSE)</f>
        <v>0</v>
      </c>
      <c r="S99" s="44"/>
      <c r="T99" s="44"/>
      <c r="U99" s="122"/>
      <c r="V99" s="4809" t="s">
        <v>3</v>
      </c>
      <c r="W99" s="4803"/>
      <c r="X99" s="121"/>
      <c r="Y99" s="44"/>
      <c r="Z99" s="122"/>
    </row>
    <row r="100" spans="2:26" s="28" customFormat="1" ht="43.5" x14ac:dyDescent="0.3">
      <c r="B100" s="1504"/>
      <c r="C100" s="1717" t="s">
        <v>94</v>
      </c>
      <c r="D100" s="319" t="s">
        <v>3</v>
      </c>
      <c r="E100" s="67" t="b">
        <f t="shared" si="18"/>
        <v>0</v>
      </c>
      <c r="F100" s="44"/>
      <c r="G100" s="44" t="str">
        <f t="shared" si="19"/>
        <v/>
      </c>
      <c r="H100" s="44"/>
      <c r="I100" s="44"/>
      <c r="J100" s="44" t="str">
        <f t="shared" si="20"/>
        <v/>
      </c>
      <c r="K100" s="44"/>
      <c r="L100" s="44"/>
      <c r="M100" s="122"/>
      <c r="N100" s="4801" t="s">
        <v>3</v>
      </c>
      <c r="O100" s="4834" t="b">
        <f t="shared" si="16"/>
        <v>0</v>
      </c>
      <c r="P100" s="316"/>
      <c r="Q100" s="1062" t="s">
        <v>3</v>
      </c>
      <c r="R100" s="737" t="b">
        <f t="shared" si="21"/>
        <v>0</v>
      </c>
      <c r="S100" s="44"/>
      <c r="T100" s="44"/>
      <c r="U100" s="122"/>
      <c r="V100" s="4809" t="s">
        <v>3</v>
      </c>
      <c r="W100" s="4803"/>
      <c r="X100" s="121"/>
      <c r="Y100" s="44"/>
      <c r="Z100" s="122"/>
    </row>
    <row r="101" spans="2:26" s="28" customFormat="1" ht="87" x14ac:dyDescent="0.3">
      <c r="B101" s="1504"/>
      <c r="C101" s="1717" t="s">
        <v>95</v>
      </c>
      <c r="D101" s="319" t="s">
        <v>3</v>
      </c>
      <c r="E101" s="67" t="b">
        <f t="shared" si="18"/>
        <v>0</v>
      </c>
      <c r="F101" s="44"/>
      <c r="G101" s="44" t="str">
        <f t="shared" si="19"/>
        <v/>
      </c>
      <c r="H101" s="44"/>
      <c r="I101" s="44"/>
      <c r="J101" s="44" t="str">
        <f t="shared" si="20"/>
        <v/>
      </c>
      <c r="K101" s="44"/>
      <c r="L101" s="44"/>
      <c r="M101" s="122"/>
      <c r="N101" s="4801" t="s">
        <v>3</v>
      </c>
      <c r="O101" s="4834" t="b">
        <f t="shared" si="16"/>
        <v>0</v>
      </c>
      <c r="P101" s="316"/>
      <c r="Q101" s="1062" t="s">
        <v>3</v>
      </c>
      <c r="R101" s="737" t="b">
        <f t="shared" si="21"/>
        <v>0</v>
      </c>
      <c r="S101" s="44"/>
      <c r="T101" s="44"/>
      <c r="U101" s="122"/>
      <c r="V101" s="4809" t="s">
        <v>3</v>
      </c>
      <c r="W101" s="4803"/>
      <c r="X101" s="121"/>
      <c r="Y101" s="44"/>
      <c r="Z101" s="122"/>
    </row>
    <row r="102" spans="2:26" s="28" customFormat="1" ht="87" x14ac:dyDescent="0.3">
      <c r="B102" s="1504"/>
      <c r="C102" s="1717" t="s">
        <v>1241</v>
      </c>
      <c r="D102" s="319" t="s">
        <v>3</v>
      </c>
      <c r="E102" s="67" t="b">
        <f t="shared" si="18"/>
        <v>0</v>
      </c>
      <c r="F102" s="44"/>
      <c r="G102" s="44" t="str">
        <f t="shared" si="19"/>
        <v/>
      </c>
      <c r="H102" s="44"/>
      <c r="I102" s="44"/>
      <c r="J102" s="44" t="str">
        <f t="shared" si="20"/>
        <v/>
      </c>
      <c r="K102" s="44"/>
      <c r="L102" s="44"/>
      <c r="M102" s="122"/>
      <c r="N102" s="4801" t="s">
        <v>3</v>
      </c>
      <c r="O102" s="4834" t="b">
        <f t="shared" si="16"/>
        <v>0</v>
      </c>
      <c r="P102" s="316"/>
      <c r="Q102" s="1062" t="s">
        <v>3</v>
      </c>
      <c r="R102" s="737" t="b">
        <f t="shared" si="21"/>
        <v>0</v>
      </c>
      <c r="S102" s="44"/>
      <c r="T102" s="44"/>
      <c r="U102" s="122"/>
      <c r="V102" s="4809" t="s">
        <v>3</v>
      </c>
      <c r="W102" s="4803"/>
      <c r="X102" s="121"/>
      <c r="Y102" s="44"/>
      <c r="Z102" s="122"/>
    </row>
    <row r="103" spans="2:26" s="28" customFormat="1" ht="43.5" x14ac:dyDescent="0.3">
      <c r="B103" s="1504"/>
      <c r="C103" s="1717" t="s">
        <v>97</v>
      </c>
      <c r="D103" s="319" t="s">
        <v>3</v>
      </c>
      <c r="E103" s="67" t="b">
        <f t="shared" si="18"/>
        <v>0</v>
      </c>
      <c r="F103" s="44"/>
      <c r="G103" s="44" t="str">
        <f t="shared" si="19"/>
        <v/>
      </c>
      <c r="H103" s="44"/>
      <c r="I103" s="44"/>
      <c r="J103" s="44" t="str">
        <f t="shared" si="20"/>
        <v/>
      </c>
      <c r="K103" s="44"/>
      <c r="L103" s="44"/>
      <c r="M103" s="122"/>
      <c r="N103" s="4801" t="s">
        <v>3</v>
      </c>
      <c r="O103" s="4834" t="b">
        <f t="shared" si="16"/>
        <v>0</v>
      </c>
      <c r="P103" s="316"/>
      <c r="Q103" s="1062" t="s">
        <v>3</v>
      </c>
      <c r="R103" s="737" t="b">
        <f t="shared" si="21"/>
        <v>0</v>
      </c>
      <c r="S103" s="44"/>
      <c r="T103" s="44"/>
      <c r="U103" s="122"/>
      <c r="V103" s="4809" t="s">
        <v>3</v>
      </c>
      <c r="W103" s="4803"/>
      <c r="X103" s="121"/>
      <c r="Y103" s="44"/>
      <c r="Z103" s="122"/>
    </row>
    <row r="104" spans="2:26" s="28" customFormat="1" ht="29" x14ac:dyDescent="0.3">
      <c r="B104" s="1504"/>
      <c r="C104" s="1717" t="s">
        <v>98</v>
      </c>
      <c r="D104" s="319" t="s">
        <v>3</v>
      </c>
      <c r="E104" s="67" t="b">
        <f t="shared" si="18"/>
        <v>0</v>
      </c>
      <c r="F104" s="44"/>
      <c r="G104" s="44" t="str">
        <f t="shared" si="19"/>
        <v/>
      </c>
      <c r="H104" s="44"/>
      <c r="I104" s="44"/>
      <c r="J104" s="44" t="str">
        <f t="shared" si="20"/>
        <v/>
      </c>
      <c r="K104" s="44"/>
      <c r="L104" s="44"/>
      <c r="M104" s="122"/>
      <c r="N104" s="4801" t="s">
        <v>3</v>
      </c>
      <c r="O104" s="4834" t="b">
        <f t="shared" si="16"/>
        <v>0</v>
      </c>
      <c r="P104" s="316"/>
      <c r="Q104" s="1062" t="s">
        <v>3</v>
      </c>
      <c r="R104" s="737" t="b">
        <f t="shared" si="21"/>
        <v>0</v>
      </c>
      <c r="S104" s="44"/>
      <c r="T104" s="44"/>
      <c r="U104" s="122"/>
      <c r="V104" s="4809" t="s">
        <v>3</v>
      </c>
      <c r="W104" s="4803"/>
      <c r="X104" s="121"/>
      <c r="Y104" s="44"/>
      <c r="Z104" s="122"/>
    </row>
    <row r="105" spans="2:26" s="28" customFormat="1" ht="29" x14ac:dyDescent="0.3">
      <c r="B105" s="1504"/>
      <c r="C105" s="1717" t="s">
        <v>99</v>
      </c>
      <c r="D105" s="319" t="s">
        <v>3</v>
      </c>
      <c r="E105" s="67" t="b">
        <f t="shared" si="18"/>
        <v>0</v>
      </c>
      <c r="F105" s="44"/>
      <c r="G105" s="44" t="str">
        <f t="shared" si="19"/>
        <v/>
      </c>
      <c r="H105" s="44"/>
      <c r="I105" s="44"/>
      <c r="J105" s="44" t="str">
        <f t="shared" si="20"/>
        <v/>
      </c>
      <c r="K105" s="44"/>
      <c r="L105" s="44"/>
      <c r="M105" s="122"/>
      <c r="N105" s="4801" t="s">
        <v>3</v>
      </c>
      <c r="O105" s="4834" t="b">
        <f t="shared" si="16"/>
        <v>0</v>
      </c>
      <c r="P105" s="316"/>
      <c r="Q105" s="1062" t="s">
        <v>3</v>
      </c>
      <c r="R105" s="737" t="b">
        <f t="shared" si="21"/>
        <v>0</v>
      </c>
      <c r="S105" s="44"/>
      <c r="T105" s="44"/>
      <c r="U105" s="122"/>
      <c r="V105" s="4809" t="s">
        <v>3</v>
      </c>
      <c r="W105" s="4803"/>
      <c r="X105" s="121"/>
      <c r="Y105" s="44"/>
      <c r="Z105" s="122"/>
    </row>
    <row r="106" spans="2:26" s="28" customFormat="1" ht="29" x14ac:dyDescent="0.3">
      <c r="B106" s="1504"/>
      <c r="C106" s="1717" t="s">
        <v>1683</v>
      </c>
      <c r="D106" s="319" t="s">
        <v>3</v>
      </c>
      <c r="E106" s="67" t="b">
        <f t="shared" si="18"/>
        <v>0</v>
      </c>
      <c r="F106" s="44"/>
      <c r="G106" s="44" t="str">
        <f t="shared" si="19"/>
        <v/>
      </c>
      <c r="H106" s="44"/>
      <c r="I106" s="44"/>
      <c r="J106" s="44" t="str">
        <f t="shared" si="20"/>
        <v/>
      </c>
      <c r="K106" s="44"/>
      <c r="L106" s="44"/>
      <c r="M106" s="122"/>
      <c r="N106" s="4801" t="s">
        <v>3</v>
      </c>
      <c r="O106" s="4834" t="b">
        <f t="shared" si="16"/>
        <v>0</v>
      </c>
      <c r="P106" s="316"/>
      <c r="Q106" s="1062" t="s">
        <v>3</v>
      </c>
      <c r="R106" s="737" t="b">
        <f t="shared" si="21"/>
        <v>0</v>
      </c>
      <c r="S106" s="44"/>
      <c r="T106" s="44"/>
      <c r="U106" s="122"/>
      <c r="V106" s="4809" t="s">
        <v>3</v>
      </c>
      <c r="W106" s="4803"/>
      <c r="X106" s="121"/>
      <c r="Y106" s="44"/>
      <c r="Z106" s="122"/>
    </row>
    <row r="107" spans="2:26" s="28" customFormat="1" ht="43.5" x14ac:dyDescent="0.3">
      <c r="B107" s="1504"/>
      <c r="C107" s="1717" t="s">
        <v>101</v>
      </c>
      <c r="D107" s="319" t="s">
        <v>3</v>
      </c>
      <c r="E107" s="67" t="b">
        <f t="shared" si="18"/>
        <v>0</v>
      </c>
      <c r="F107" s="44"/>
      <c r="G107" s="44" t="str">
        <f t="shared" si="19"/>
        <v/>
      </c>
      <c r="H107" s="44"/>
      <c r="I107" s="44"/>
      <c r="J107" s="44" t="str">
        <f t="shared" si="20"/>
        <v/>
      </c>
      <c r="K107" s="44"/>
      <c r="L107" s="44"/>
      <c r="M107" s="122"/>
      <c r="N107" s="4801" t="s">
        <v>3</v>
      </c>
      <c r="O107" s="4834" t="b">
        <f t="shared" si="16"/>
        <v>0</v>
      </c>
      <c r="P107" s="316"/>
      <c r="Q107" s="1062" t="s">
        <v>3</v>
      </c>
      <c r="R107" s="737" t="b">
        <f t="shared" si="21"/>
        <v>0</v>
      </c>
      <c r="S107" s="44"/>
      <c r="T107" s="44"/>
      <c r="U107" s="122"/>
      <c r="V107" s="4809" t="s">
        <v>3</v>
      </c>
      <c r="W107" s="4803"/>
      <c r="X107" s="121"/>
      <c r="Y107" s="44"/>
      <c r="Z107" s="122"/>
    </row>
    <row r="108" spans="2:26" s="28" customFormat="1" ht="29" x14ac:dyDescent="0.3">
      <c r="B108" s="1504"/>
      <c r="C108" s="1717" t="s">
        <v>102</v>
      </c>
      <c r="D108" s="319" t="s">
        <v>3</v>
      </c>
      <c r="E108" s="67" t="b">
        <f t="shared" si="18"/>
        <v>0</v>
      </c>
      <c r="F108" s="44"/>
      <c r="G108" s="44" t="str">
        <f t="shared" si="19"/>
        <v/>
      </c>
      <c r="H108" s="44"/>
      <c r="I108" s="44"/>
      <c r="J108" s="44" t="str">
        <f t="shared" si="20"/>
        <v/>
      </c>
      <c r="K108" s="44"/>
      <c r="L108" s="44"/>
      <c r="M108" s="122"/>
      <c r="N108" s="4801" t="s">
        <v>3</v>
      </c>
      <c r="O108" s="4834" t="b">
        <f t="shared" si="16"/>
        <v>0</v>
      </c>
      <c r="P108" s="316"/>
      <c r="Q108" s="1062" t="s">
        <v>3</v>
      </c>
      <c r="R108" s="737" t="b">
        <f t="shared" si="21"/>
        <v>0</v>
      </c>
      <c r="S108" s="44"/>
      <c r="T108" s="44"/>
      <c r="U108" s="122"/>
      <c r="V108" s="4809" t="s">
        <v>3</v>
      </c>
      <c r="W108" s="4803"/>
      <c r="X108" s="121"/>
      <c r="Y108" s="44"/>
      <c r="Z108" s="122"/>
    </row>
    <row r="109" spans="2:26" s="28" customFormat="1" ht="29" x14ac:dyDescent="0.3">
      <c r="B109" s="1504"/>
      <c r="C109" s="1717" t="s">
        <v>103</v>
      </c>
      <c r="D109" s="319" t="s">
        <v>3</v>
      </c>
      <c r="E109" s="67" t="b">
        <f t="shared" si="18"/>
        <v>0</v>
      </c>
      <c r="F109" s="44"/>
      <c r="G109" s="44" t="str">
        <f t="shared" si="19"/>
        <v/>
      </c>
      <c r="H109" s="44"/>
      <c r="I109" s="44"/>
      <c r="J109" s="44" t="str">
        <f t="shared" si="20"/>
        <v/>
      </c>
      <c r="K109" s="44"/>
      <c r="L109" s="44"/>
      <c r="M109" s="122"/>
      <c r="N109" s="4801" t="s">
        <v>3</v>
      </c>
      <c r="O109" s="4834" t="b">
        <f t="shared" si="16"/>
        <v>0</v>
      </c>
      <c r="P109" s="316"/>
      <c r="Q109" s="1062" t="s">
        <v>3</v>
      </c>
      <c r="R109" s="737" t="b">
        <f t="shared" si="21"/>
        <v>0</v>
      </c>
      <c r="S109" s="44"/>
      <c r="T109" s="44"/>
      <c r="U109" s="122"/>
      <c r="V109" s="4809" t="s">
        <v>3</v>
      </c>
      <c r="W109" s="4803"/>
      <c r="X109" s="121"/>
      <c r="Y109" s="44"/>
      <c r="Z109" s="122"/>
    </row>
    <row r="110" spans="2:26" s="28" customFormat="1" ht="29" x14ac:dyDescent="0.3">
      <c r="B110" s="1504"/>
      <c r="C110" s="1717" t="s">
        <v>1737</v>
      </c>
      <c r="D110" s="319" t="s">
        <v>3</v>
      </c>
      <c r="E110" s="67" t="b">
        <f t="shared" si="18"/>
        <v>0</v>
      </c>
      <c r="F110" s="44"/>
      <c r="G110" s="44" t="str">
        <f t="shared" si="19"/>
        <v/>
      </c>
      <c r="H110" s="44"/>
      <c r="I110" s="44"/>
      <c r="J110" s="44" t="str">
        <f t="shared" si="20"/>
        <v/>
      </c>
      <c r="K110" s="44"/>
      <c r="L110" s="44"/>
      <c r="M110" s="122"/>
      <c r="N110" s="4801" t="s">
        <v>3</v>
      </c>
      <c r="O110" s="4834" t="b">
        <f t="shared" si="16"/>
        <v>0</v>
      </c>
      <c r="P110" s="316"/>
      <c r="Q110" s="1062" t="s">
        <v>3</v>
      </c>
      <c r="R110" s="737" t="b">
        <f t="shared" si="21"/>
        <v>0</v>
      </c>
      <c r="S110" s="44"/>
      <c r="T110" s="44"/>
      <c r="U110" s="122"/>
      <c r="V110" s="4809" t="s">
        <v>3</v>
      </c>
      <c r="W110" s="4803"/>
      <c r="X110" s="121"/>
      <c r="Y110" s="44"/>
      <c r="Z110" s="122"/>
    </row>
    <row r="111" spans="2:26" s="28" customFormat="1" ht="29" x14ac:dyDescent="0.3">
      <c r="B111" s="1504"/>
      <c r="C111" s="1717" t="s">
        <v>106</v>
      </c>
      <c r="D111" s="319" t="s">
        <v>3</v>
      </c>
      <c r="E111" s="67" t="b">
        <f t="shared" si="18"/>
        <v>0</v>
      </c>
      <c r="F111" s="44"/>
      <c r="G111" s="44" t="str">
        <f t="shared" si="19"/>
        <v/>
      </c>
      <c r="H111" s="44"/>
      <c r="I111" s="44"/>
      <c r="J111" s="44" t="str">
        <f t="shared" si="20"/>
        <v/>
      </c>
      <c r="K111" s="44"/>
      <c r="L111" s="44"/>
      <c r="M111" s="122"/>
      <c r="N111" s="4801" t="s">
        <v>3</v>
      </c>
      <c r="O111" s="4834" t="b">
        <f t="shared" si="16"/>
        <v>0</v>
      </c>
      <c r="P111" s="316"/>
      <c r="Q111" s="1062" t="s">
        <v>3</v>
      </c>
      <c r="R111" s="737" t="b">
        <f t="shared" si="21"/>
        <v>0</v>
      </c>
      <c r="S111" s="44"/>
      <c r="T111" s="44"/>
      <c r="U111" s="122"/>
      <c r="V111" s="4809" t="s">
        <v>3</v>
      </c>
      <c r="W111" s="4803"/>
      <c r="X111" s="121"/>
      <c r="Y111" s="44"/>
      <c r="Z111" s="122"/>
    </row>
    <row r="112" spans="2:26" s="28" customFormat="1" ht="29" x14ac:dyDescent="0.3">
      <c r="B112" s="1504"/>
      <c r="C112" s="1717" t="s">
        <v>107</v>
      </c>
      <c r="D112" s="319" t="s">
        <v>3</v>
      </c>
      <c r="E112" s="67" t="b">
        <f t="shared" si="18"/>
        <v>0</v>
      </c>
      <c r="F112" s="44"/>
      <c r="G112" s="44" t="str">
        <f t="shared" si="19"/>
        <v/>
      </c>
      <c r="H112" s="44"/>
      <c r="I112" s="44"/>
      <c r="J112" s="44" t="str">
        <f t="shared" si="20"/>
        <v/>
      </c>
      <c r="K112" s="44"/>
      <c r="L112" s="44"/>
      <c r="M112" s="122"/>
      <c r="N112" s="4801" t="s">
        <v>3</v>
      </c>
      <c r="O112" s="4834" t="b">
        <f t="shared" si="16"/>
        <v>0</v>
      </c>
      <c r="P112" s="316"/>
      <c r="Q112" s="1062" t="s">
        <v>3</v>
      </c>
      <c r="R112" s="737" t="b">
        <f t="shared" si="21"/>
        <v>0</v>
      </c>
      <c r="S112" s="44"/>
      <c r="T112" s="44"/>
      <c r="U112" s="122"/>
      <c r="V112" s="4809" t="s">
        <v>3</v>
      </c>
      <c r="W112" s="4803"/>
      <c r="X112" s="121"/>
      <c r="Y112" s="44"/>
      <c r="Z112" s="122"/>
    </row>
    <row r="113" spans="1:84" s="28" customFormat="1" ht="29" x14ac:dyDescent="0.3">
      <c r="B113" s="1504"/>
      <c r="C113" s="1717" t="s">
        <v>116</v>
      </c>
      <c r="D113" s="319" t="s">
        <v>3</v>
      </c>
      <c r="E113" s="67" t="b">
        <f t="shared" si="18"/>
        <v>0</v>
      </c>
      <c r="F113" s="44"/>
      <c r="G113" s="44" t="str">
        <f t="shared" si="19"/>
        <v/>
      </c>
      <c r="H113" s="44"/>
      <c r="I113" s="44"/>
      <c r="J113" s="44" t="str">
        <f t="shared" si="20"/>
        <v/>
      </c>
      <c r="K113" s="44"/>
      <c r="L113" s="44"/>
      <c r="M113" s="122"/>
      <c r="N113" s="4801" t="s">
        <v>3</v>
      </c>
      <c r="O113" s="4834" t="b">
        <f t="shared" si="16"/>
        <v>0</v>
      </c>
      <c r="P113" s="316"/>
      <c r="Q113" s="1062" t="s">
        <v>3</v>
      </c>
      <c r="R113" s="737" t="b">
        <f t="shared" si="21"/>
        <v>0</v>
      </c>
      <c r="S113" s="44"/>
      <c r="T113" s="44"/>
      <c r="U113" s="122"/>
      <c r="V113" s="4809" t="s">
        <v>3</v>
      </c>
      <c r="W113" s="4803"/>
      <c r="X113" s="121"/>
      <c r="Y113" s="44"/>
      <c r="Z113" s="122"/>
    </row>
    <row r="114" spans="1:84" s="28" customFormat="1" ht="29" x14ac:dyDescent="0.3">
      <c r="B114" s="1504"/>
      <c r="C114" s="1717" t="s">
        <v>121</v>
      </c>
      <c r="D114" s="319" t="s">
        <v>3</v>
      </c>
      <c r="E114" s="67" t="b">
        <f t="shared" si="18"/>
        <v>0</v>
      </c>
      <c r="F114" s="44"/>
      <c r="G114" s="44" t="str">
        <f t="shared" si="19"/>
        <v/>
      </c>
      <c r="H114" s="44"/>
      <c r="I114" s="44"/>
      <c r="J114" s="44" t="str">
        <f t="shared" si="20"/>
        <v/>
      </c>
      <c r="K114" s="44"/>
      <c r="L114" s="44"/>
      <c r="M114" s="122"/>
      <c r="N114" s="4801" t="s">
        <v>3</v>
      </c>
      <c r="O114" s="4834" t="b">
        <f t="shared" si="16"/>
        <v>0</v>
      </c>
      <c r="P114" s="316"/>
      <c r="Q114" s="1062" t="s">
        <v>3</v>
      </c>
      <c r="R114" s="737" t="b">
        <f t="shared" si="21"/>
        <v>0</v>
      </c>
      <c r="S114" s="44"/>
      <c r="T114" s="44"/>
      <c r="U114" s="122"/>
      <c r="V114" s="4809" t="s">
        <v>3</v>
      </c>
      <c r="W114" s="4803"/>
      <c r="X114" s="121"/>
      <c r="Y114" s="44"/>
      <c r="Z114" s="122"/>
    </row>
    <row r="115" spans="1:84" s="28" customFormat="1" x14ac:dyDescent="0.3">
      <c r="B115" s="1504"/>
      <c r="C115" s="1717" t="s">
        <v>122</v>
      </c>
      <c r="D115" s="319" t="s">
        <v>3</v>
      </c>
      <c r="E115" s="67" t="b">
        <f t="shared" si="18"/>
        <v>0</v>
      </c>
      <c r="F115" s="44"/>
      <c r="G115" s="44" t="str">
        <f t="shared" si="19"/>
        <v/>
      </c>
      <c r="H115" s="44"/>
      <c r="I115" s="44"/>
      <c r="J115" s="44" t="str">
        <f t="shared" si="20"/>
        <v/>
      </c>
      <c r="K115" s="44"/>
      <c r="L115" s="44"/>
      <c r="M115" s="122"/>
      <c r="N115" s="4801" t="s">
        <v>3</v>
      </c>
      <c r="O115" s="4834" t="b">
        <f t="shared" si="16"/>
        <v>0</v>
      </c>
      <c r="P115" s="316"/>
      <c r="Q115" s="1062" t="s">
        <v>3</v>
      </c>
      <c r="R115" s="737" t="b">
        <f t="shared" si="21"/>
        <v>0</v>
      </c>
      <c r="S115" s="44"/>
      <c r="T115" s="44"/>
      <c r="U115" s="122"/>
      <c r="V115" s="4809" t="s">
        <v>3</v>
      </c>
      <c r="W115" s="4803"/>
      <c r="X115" s="121"/>
      <c r="Y115" s="44"/>
      <c r="Z115" s="122"/>
    </row>
    <row r="116" spans="1:84" s="28" customFormat="1" ht="72.5" x14ac:dyDescent="0.3">
      <c r="B116" s="1504"/>
      <c r="C116" s="1717" t="s">
        <v>128</v>
      </c>
      <c r="D116" s="319" t="s">
        <v>3</v>
      </c>
      <c r="E116" s="67" t="b">
        <f t="shared" si="18"/>
        <v>0</v>
      </c>
      <c r="F116" s="44"/>
      <c r="G116" s="44" t="str">
        <f t="shared" si="19"/>
        <v/>
      </c>
      <c r="H116" s="44"/>
      <c r="I116" s="44"/>
      <c r="J116" s="44" t="str">
        <f t="shared" si="20"/>
        <v/>
      </c>
      <c r="K116" s="44"/>
      <c r="L116" s="44"/>
      <c r="M116" s="122"/>
      <c r="N116" s="4801" t="s">
        <v>3</v>
      </c>
      <c r="O116" s="4834" t="b">
        <f t="shared" si="16"/>
        <v>0</v>
      </c>
      <c r="P116" s="316"/>
      <c r="Q116" s="1062" t="s">
        <v>3</v>
      </c>
      <c r="R116" s="737" t="b">
        <f t="shared" si="21"/>
        <v>0</v>
      </c>
      <c r="S116" s="44"/>
      <c r="T116" s="44"/>
      <c r="U116" s="122"/>
      <c r="V116" s="4809" t="s">
        <v>3</v>
      </c>
      <c r="W116" s="4803"/>
      <c r="X116" s="121"/>
      <c r="Y116" s="44"/>
      <c r="Z116" s="122"/>
    </row>
    <row r="117" spans="1:84" s="28" customFormat="1" ht="29" x14ac:dyDescent="0.3">
      <c r="B117" s="1504"/>
      <c r="C117" s="1717" t="s">
        <v>1738</v>
      </c>
      <c r="D117" s="319" t="s">
        <v>3</v>
      </c>
      <c r="E117" s="67" t="b">
        <f t="shared" si="18"/>
        <v>0</v>
      </c>
      <c r="F117" s="44"/>
      <c r="G117" s="44" t="str">
        <f t="shared" si="19"/>
        <v/>
      </c>
      <c r="H117" s="44"/>
      <c r="I117" s="44"/>
      <c r="J117" s="44" t="str">
        <f t="shared" si="20"/>
        <v/>
      </c>
      <c r="K117" s="44"/>
      <c r="L117" s="44"/>
      <c r="M117" s="122"/>
      <c r="N117" s="4801" t="s">
        <v>3</v>
      </c>
      <c r="O117" s="4834" t="b">
        <f t="shared" si="16"/>
        <v>0</v>
      </c>
      <c r="P117" s="316"/>
      <c r="Q117" s="1062" t="s">
        <v>3</v>
      </c>
      <c r="R117" s="737" t="b">
        <f t="shared" si="21"/>
        <v>0</v>
      </c>
      <c r="S117" s="44"/>
      <c r="T117" s="44"/>
      <c r="U117" s="122"/>
      <c r="V117" s="4809" t="s">
        <v>3</v>
      </c>
      <c r="W117" s="4803"/>
      <c r="X117" s="121"/>
      <c r="Y117" s="44"/>
      <c r="Z117" s="122"/>
    </row>
    <row r="118" spans="1:84" s="28" customFormat="1" ht="58" x14ac:dyDescent="0.3">
      <c r="B118" s="1504"/>
      <c r="C118" s="1717" t="s">
        <v>139</v>
      </c>
      <c r="D118" s="319" t="s">
        <v>3</v>
      </c>
      <c r="E118" s="67" t="b">
        <f t="shared" si="18"/>
        <v>0</v>
      </c>
      <c r="F118" s="44"/>
      <c r="G118" s="44" t="str">
        <f t="shared" si="19"/>
        <v/>
      </c>
      <c r="H118" s="44"/>
      <c r="I118" s="44"/>
      <c r="J118" s="44" t="str">
        <f t="shared" si="20"/>
        <v/>
      </c>
      <c r="K118" s="44"/>
      <c r="L118" s="44"/>
      <c r="M118" s="122"/>
      <c r="N118" s="4801" t="s">
        <v>3</v>
      </c>
      <c r="O118" s="4834" t="b">
        <f t="shared" si="16"/>
        <v>0</v>
      </c>
      <c r="P118" s="316"/>
      <c r="Q118" s="1062" t="s">
        <v>3</v>
      </c>
      <c r="R118" s="737" t="b">
        <f t="shared" si="21"/>
        <v>0</v>
      </c>
      <c r="S118" s="44"/>
      <c r="T118" s="44"/>
      <c r="U118" s="122"/>
      <c r="V118" s="4809" t="s">
        <v>3</v>
      </c>
      <c r="W118" s="4803"/>
      <c r="X118" s="121"/>
      <c r="Y118" s="44"/>
      <c r="Z118" s="122"/>
    </row>
    <row r="119" spans="1:84" s="28" customFormat="1" ht="29" x14ac:dyDescent="0.3">
      <c r="B119" s="1504"/>
      <c r="C119" s="1717" t="s">
        <v>141</v>
      </c>
      <c r="D119" s="319" t="s">
        <v>3</v>
      </c>
      <c r="E119" s="67" t="b">
        <f t="shared" si="18"/>
        <v>0</v>
      </c>
      <c r="F119" s="44"/>
      <c r="G119" s="44" t="str">
        <f t="shared" si="19"/>
        <v/>
      </c>
      <c r="H119" s="44"/>
      <c r="I119" s="44"/>
      <c r="J119" s="44" t="str">
        <f t="shared" si="20"/>
        <v/>
      </c>
      <c r="K119" s="44"/>
      <c r="L119" s="44"/>
      <c r="M119" s="122"/>
      <c r="N119" s="4801" t="s">
        <v>3</v>
      </c>
      <c r="O119" s="4834" t="b">
        <f t="shared" si="16"/>
        <v>0</v>
      </c>
      <c r="P119" s="316"/>
      <c r="Q119" s="1062" t="s">
        <v>3</v>
      </c>
      <c r="R119" s="737" t="b">
        <f t="shared" si="21"/>
        <v>0</v>
      </c>
      <c r="S119" s="44"/>
      <c r="T119" s="44"/>
      <c r="U119" s="122"/>
      <c r="V119" s="4809" t="s">
        <v>3</v>
      </c>
      <c r="W119" s="4803"/>
      <c r="X119" s="121"/>
      <c r="Y119" s="44"/>
      <c r="Z119" s="122"/>
    </row>
    <row r="120" spans="1:84" s="28" customFormat="1" ht="29" x14ac:dyDescent="0.3">
      <c r="B120" s="1504"/>
      <c r="C120" s="1717" t="s">
        <v>142</v>
      </c>
      <c r="D120" s="319" t="s">
        <v>3</v>
      </c>
      <c r="E120" s="67" t="b">
        <f t="shared" si="18"/>
        <v>0</v>
      </c>
      <c r="F120" s="44"/>
      <c r="G120" s="44" t="str">
        <f t="shared" si="19"/>
        <v/>
      </c>
      <c r="H120" s="44"/>
      <c r="I120" s="44"/>
      <c r="J120" s="44" t="str">
        <f t="shared" si="20"/>
        <v/>
      </c>
      <c r="K120" s="44"/>
      <c r="L120" s="44"/>
      <c r="M120" s="122"/>
      <c r="N120" s="4801" t="s">
        <v>3</v>
      </c>
      <c r="O120" s="4834" t="b">
        <f t="shared" si="16"/>
        <v>0</v>
      </c>
      <c r="P120" s="316"/>
      <c r="Q120" s="1062" t="s">
        <v>3</v>
      </c>
      <c r="R120" s="737" t="b">
        <f t="shared" si="21"/>
        <v>0</v>
      </c>
      <c r="S120" s="44"/>
      <c r="T120" s="44"/>
      <c r="U120" s="122"/>
      <c r="V120" s="4809" t="s">
        <v>3</v>
      </c>
      <c r="W120" s="4803"/>
      <c r="X120" s="121"/>
      <c r="Y120" s="44"/>
      <c r="Z120" s="122"/>
    </row>
    <row r="121" spans="1:84" s="28" customFormat="1" ht="116" x14ac:dyDescent="0.3">
      <c r="B121" s="1504"/>
      <c r="C121" s="1717" t="s">
        <v>143</v>
      </c>
      <c r="D121" s="319" t="s">
        <v>3</v>
      </c>
      <c r="E121" s="67" t="b">
        <f t="shared" si="18"/>
        <v>0</v>
      </c>
      <c r="F121" s="44"/>
      <c r="G121" s="44" t="str">
        <f t="shared" si="19"/>
        <v/>
      </c>
      <c r="H121" s="44"/>
      <c r="I121" s="44"/>
      <c r="J121" s="44" t="str">
        <f t="shared" si="20"/>
        <v/>
      </c>
      <c r="K121" s="44"/>
      <c r="L121" s="44"/>
      <c r="M121" s="122"/>
      <c r="N121" s="4801" t="s">
        <v>3</v>
      </c>
      <c r="O121" s="4834" t="b">
        <f t="shared" si="16"/>
        <v>0</v>
      </c>
      <c r="P121" s="316"/>
      <c r="Q121" s="1062" t="s">
        <v>3</v>
      </c>
      <c r="R121" s="737" t="b">
        <f t="shared" si="21"/>
        <v>0</v>
      </c>
      <c r="S121" s="44"/>
      <c r="T121" s="44"/>
      <c r="U121" s="122"/>
      <c r="V121" s="4809" t="s">
        <v>3</v>
      </c>
      <c r="W121" s="4803"/>
      <c r="X121" s="121"/>
      <c r="Y121" s="44"/>
      <c r="Z121" s="122"/>
    </row>
    <row r="122" spans="1:84" s="28" customFormat="1" ht="43.5" x14ac:dyDescent="0.3">
      <c r="B122" s="1504"/>
      <c r="C122" s="1717" t="s">
        <v>144</v>
      </c>
      <c r="D122" s="319" t="s">
        <v>3</v>
      </c>
      <c r="E122" s="67" t="b">
        <f t="shared" si="18"/>
        <v>0</v>
      </c>
      <c r="F122" s="44"/>
      <c r="G122" s="44" t="str">
        <f t="shared" si="19"/>
        <v/>
      </c>
      <c r="H122" s="44"/>
      <c r="I122" s="44"/>
      <c r="J122" s="44" t="str">
        <f t="shared" si="20"/>
        <v/>
      </c>
      <c r="K122" s="44"/>
      <c r="L122" s="44"/>
      <c r="M122" s="122"/>
      <c r="N122" s="4801" t="s">
        <v>3</v>
      </c>
      <c r="O122" s="4834" t="b">
        <f t="shared" si="16"/>
        <v>0</v>
      </c>
      <c r="P122" s="316"/>
      <c r="Q122" s="1062" t="s">
        <v>3</v>
      </c>
      <c r="R122" s="737" t="b">
        <f>IF(OR(Q122="Compliant",Q122="FE with work-a-round",Q122="Functionally Equivalent"),TRUE,FALSE)</f>
        <v>0</v>
      </c>
      <c r="S122" s="44"/>
      <c r="T122" s="44"/>
      <c r="U122" s="122"/>
      <c r="V122" s="4809" t="s">
        <v>3</v>
      </c>
      <c r="W122" s="4803"/>
      <c r="X122" s="121"/>
      <c r="Y122" s="44"/>
      <c r="Z122" s="122"/>
    </row>
    <row r="123" spans="1:84" s="28" customFormat="1" ht="73" thickBot="1" x14ac:dyDescent="0.35">
      <c r="B123" s="1505"/>
      <c r="C123" s="1800" t="s">
        <v>145</v>
      </c>
      <c r="D123" s="230" t="s">
        <v>3</v>
      </c>
      <c r="E123" s="161" t="b">
        <f t="shared" si="18"/>
        <v>0</v>
      </c>
      <c r="F123" s="124"/>
      <c r="G123" s="124" t="str">
        <f t="shared" si="19"/>
        <v/>
      </c>
      <c r="H123" s="124"/>
      <c r="I123" s="124"/>
      <c r="J123" s="124" t="str">
        <f t="shared" si="20"/>
        <v/>
      </c>
      <c r="K123" s="124"/>
      <c r="L123" s="124"/>
      <c r="M123" s="125"/>
      <c r="N123" s="4802" t="s">
        <v>3</v>
      </c>
      <c r="O123" s="4835" t="b">
        <f t="shared" si="16"/>
        <v>0</v>
      </c>
      <c r="P123" s="317"/>
      <c r="Q123" s="1063" t="s">
        <v>3</v>
      </c>
      <c r="R123" s="738" t="b">
        <f>IF(OR(Q123="Compliant",Q123="FE with work-a-round",Q123="Functionally Equivalent"),TRUE,FALSE)</f>
        <v>0</v>
      </c>
      <c r="S123" s="124"/>
      <c r="T123" s="124"/>
      <c r="U123" s="125"/>
      <c r="V123" s="4810" t="s">
        <v>3</v>
      </c>
      <c r="W123" s="4804"/>
      <c r="X123" s="123"/>
      <c r="Y123" s="124"/>
      <c r="Z123" s="125"/>
    </row>
    <row r="124" spans="1:84" s="3634" customFormat="1" ht="15" thickTop="1" x14ac:dyDescent="0.3">
      <c r="A124" s="3679"/>
      <c r="B124" s="3679"/>
      <c r="K124" s="3729"/>
      <c r="L124" s="3729"/>
      <c r="R124" s="3643"/>
      <c r="V124" s="3692"/>
      <c r="W124" s="3635"/>
      <c r="AS124" s="3680"/>
      <c r="AT124" s="3681"/>
      <c r="AU124" s="3681"/>
      <c r="AV124" s="3681"/>
      <c r="AW124" s="3681"/>
      <c r="AX124" s="3681"/>
      <c r="AY124" s="3681"/>
      <c r="AZ124" s="3681"/>
      <c r="BA124" s="3681"/>
      <c r="BB124" s="3681"/>
      <c r="BC124" s="3681"/>
      <c r="BD124" s="3681"/>
      <c r="BE124" s="3681"/>
      <c r="BF124" s="3681"/>
      <c r="BG124" s="3681"/>
      <c r="BH124" s="3681"/>
      <c r="BI124" s="3681"/>
      <c r="BJ124" s="3681"/>
      <c r="BK124" s="3681"/>
      <c r="BL124" s="3681"/>
      <c r="BM124" s="3681"/>
      <c r="BN124" s="3681"/>
      <c r="BO124" s="3681"/>
      <c r="BP124" s="3681"/>
      <c r="BQ124" s="3681"/>
      <c r="BR124" s="3681"/>
      <c r="BS124" s="3681"/>
      <c r="BT124" s="3681"/>
      <c r="BU124" s="3681"/>
      <c r="BV124" s="3681"/>
      <c r="BW124" s="3681"/>
      <c r="BX124" s="3681"/>
      <c r="BY124" s="3681"/>
      <c r="BZ124" s="3681"/>
      <c r="CA124" s="3681"/>
      <c r="CB124" s="3681"/>
      <c r="CC124" s="3681"/>
      <c r="CD124" s="3681"/>
      <c r="CE124" s="3681"/>
      <c r="CF124" s="3682"/>
    </row>
    <row r="125" spans="1:84" s="3650" customFormat="1" ht="18.649999999999999" customHeight="1" x14ac:dyDescent="0.3">
      <c r="A125" s="4482" t="s">
        <v>2058</v>
      </c>
      <c r="B125" s="4483"/>
      <c r="C125" s="4483"/>
      <c r="D125" s="4483"/>
      <c r="E125" s="4483"/>
      <c r="F125" s="4483"/>
      <c r="G125" s="4483"/>
      <c r="H125" s="4483"/>
      <c r="I125" s="4483"/>
      <c r="J125" s="4483"/>
      <c r="K125" s="4483"/>
      <c r="L125" s="4483"/>
      <c r="M125" s="4483"/>
      <c r="N125" s="4483"/>
      <c r="O125" s="3669"/>
      <c r="P125" s="3683"/>
      <c r="Q125" s="4030"/>
      <c r="R125" s="4217"/>
      <c r="S125" s="3684"/>
      <c r="T125" s="3685"/>
      <c r="U125" s="3685"/>
      <c r="V125" s="3880"/>
      <c r="W125" s="3669"/>
      <c r="X125" s="3683"/>
      <c r="Y125" s="3684"/>
      <c r="Z125" s="3685"/>
    </row>
    <row r="126" spans="1:84" s="3634" customFormat="1" ht="15" thickBot="1" x14ac:dyDescent="0.35">
      <c r="A126" s="3638"/>
      <c r="B126" s="3638"/>
      <c r="C126" s="3638"/>
      <c r="D126" s="3638"/>
      <c r="E126" s="3638"/>
      <c r="F126" s="3638"/>
      <c r="G126" s="3638"/>
      <c r="H126" s="3638"/>
      <c r="I126" s="3638"/>
      <c r="J126" s="3638"/>
      <c r="K126" s="3638"/>
      <c r="L126" s="3740"/>
      <c r="M126" s="3638"/>
      <c r="N126" s="3638"/>
      <c r="R126" s="3643"/>
      <c r="V126" s="3635"/>
      <c r="W126" s="3635"/>
      <c r="AS126" s="3687"/>
      <c r="AT126" s="3688"/>
      <c r="AU126" s="3688"/>
      <c r="AV126" s="3688"/>
      <c r="AW126" s="3688"/>
      <c r="AX126" s="3688"/>
      <c r="AY126" s="3688"/>
      <c r="AZ126" s="3688"/>
      <c r="BA126" s="3688"/>
      <c r="BB126" s="3688"/>
      <c r="BC126" s="3688"/>
      <c r="BD126" s="3688"/>
      <c r="BE126" s="3688"/>
      <c r="BF126" s="3688"/>
      <c r="BG126" s="3688"/>
      <c r="BH126" s="3688"/>
      <c r="BI126" s="3688"/>
      <c r="BJ126" s="3688"/>
      <c r="BK126" s="3688"/>
      <c r="BL126" s="3688"/>
      <c r="BM126" s="3688"/>
      <c r="BN126" s="3688"/>
      <c r="BO126" s="3688"/>
      <c r="BP126" s="3688"/>
      <c r="BQ126" s="3688"/>
      <c r="BR126" s="3688"/>
      <c r="BS126" s="3688"/>
      <c r="BT126" s="3688"/>
      <c r="BU126" s="3688"/>
      <c r="BV126" s="3688"/>
      <c r="BW126" s="3688"/>
      <c r="BX126" s="3688"/>
      <c r="BY126" s="3688"/>
      <c r="BZ126" s="3688"/>
      <c r="CA126" s="3688"/>
      <c r="CB126" s="3688"/>
      <c r="CC126" s="3688"/>
      <c r="CD126" s="3688"/>
      <c r="CE126" s="3688"/>
      <c r="CF126" s="3689"/>
    </row>
    <row r="127" spans="1:84" ht="15" thickTop="1" x14ac:dyDescent="0.3"/>
    <row r="143" spans="1:2" x14ac:dyDescent="0.3">
      <c r="A143" s="3335"/>
      <c r="B143" s="3336"/>
    </row>
    <row r="144" spans="1:2" x14ac:dyDescent="0.3">
      <c r="A144" s="3335" t="s">
        <v>154</v>
      </c>
      <c r="B144" s="3336"/>
    </row>
    <row r="145" spans="1:19" x14ac:dyDescent="0.3">
      <c r="A145" s="3335" t="s">
        <v>155</v>
      </c>
      <c r="B145" s="3337"/>
    </row>
    <row r="146" spans="1:19" ht="29" x14ac:dyDescent="0.3">
      <c r="A146" s="3335" t="s">
        <v>156</v>
      </c>
      <c r="B146" s="3337"/>
      <c r="R146" s="217" t="s">
        <v>151</v>
      </c>
      <c r="S146" s="1387"/>
    </row>
    <row r="147" spans="1:19" x14ac:dyDescent="0.3">
      <c r="A147" s="3335">
        <v>4.8</v>
      </c>
      <c r="B147" s="3337"/>
      <c r="R147" s="217" t="s">
        <v>149</v>
      </c>
      <c r="S147" s="1267"/>
    </row>
    <row r="148" spans="1:19" x14ac:dyDescent="0.3">
      <c r="A148" s="3335">
        <v>4.9000000000000004</v>
      </c>
      <c r="B148" s="3337"/>
      <c r="R148" s="3067"/>
      <c r="S148" s="1387"/>
    </row>
    <row r="149" spans="1:19" x14ac:dyDescent="0.3">
      <c r="A149" s="3335">
        <v>4.0999999999999996</v>
      </c>
      <c r="B149" s="3337"/>
      <c r="R149" s="3067" t="s">
        <v>153</v>
      </c>
      <c r="S149" s="3337"/>
    </row>
    <row r="150" spans="1:19" x14ac:dyDescent="0.3">
      <c r="A150" s="3335">
        <v>4.1100000000000003</v>
      </c>
      <c r="B150" s="3337"/>
    </row>
    <row r="151" spans="1:19" x14ac:dyDescent="0.3">
      <c r="A151" s="3335">
        <v>4.12</v>
      </c>
      <c r="B151" s="3337"/>
    </row>
    <row r="152" spans="1:19" x14ac:dyDescent="0.3">
      <c r="A152" s="3335">
        <v>4.13</v>
      </c>
      <c r="B152" s="3336"/>
    </row>
    <row r="153" spans="1:19" x14ac:dyDescent="0.3">
      <c r="A153" s="3335" t="s">
        <v>157</v>
      </c>
      <c r="B153" s="3337"/>
    </row>
    <row r="154" spans="1:19" x14ac:dyDescent="0.3">
      <c r="A154" s="3335">
        <v>4.1399999999999997</v>
      </c>
      <c r="B154" s="3337"/>
    </row>
    <row r="155" spans="1:19" ht="15" thickBot="1" x14ac:dyDescent="0.35">
      <c r="A155" s="3338">
        <v>4.1500000000000004</v>
      </c>
      <c r="B155" s="3337"/>
    </row>
    <row r="156" spans="1:19" ht="15" thickTop="1" x14ac:dyDescent="0.3"/>
  </sheetData>
  <sheetProtection algorithmName="SHA-512" hashValue="WLh1w/eH5CMPE5RtINWZU96NWGaBxWAQzsO+mZWGDwEO3qipGYe4WuMIAPWrC8IuXVSh8Me4bXbW72R1zYWk5A==" saltValue="dH22Dc/HcqFyXU7vIgGgMA==" spinCount="100000" sheet="1" formatCells="0" insertHyperlinks="0" selectLockedCells="1" sort="0" autoFilter="0"/>
  <mergeCells count="57">
    <mergeCell ref="B2:D2"/>
    <mergeCell ref="B1:D1"/>
    <mergeCell ref="B3:D3"/>
    <mergeCell ref="V6:X6"/>
    <mergeCell ref="Y6:Z6"/>
    <mergeCell ref="A4:D4"/>
    <mergeCell ref="A6:C6"/>
    <mergeCell ref="P6:U6"/>
    <mergeCell ref="A55:C55"/>
    <mergeCell ref="D55:N55"/>
    <mergeCell ref="A47:C47"/>
    <mergeCell ref="D47:N47"/>
    <mergeCell ref="A15:C15"/>
    <mergeCell ref="D15:N15"/>
    <mergeCell ref="N33:N45"/>
    <mergeCell ref="N29:N32"/>
    <mergeCell ref="V33:V45"/>
    <mergeCell ref="V29:V32"/>
    <mergeCell ref="N18:N21"/>
    <mergeCell ref="N22:N28"/>
    <mergeCell ref="V22:V28"/>
    <mergeCell ref="V18:V21"/>
    <mergeCell ref="O22:O28"/>
    <mergeCell ref="O18:O21"/>
    <mergeCell ref="O78:O81"/>
    <mergeCell ref="O86:O95"/>
    <mergeCell ref="O96:O123"/>
    <mergeCell ref="O64:O70"/>
    <mergeCell ref="O71:O77"/>
    <mergeCell ref="A83:C83"/>
    <mergeCell ref="D83:N83"/>
    <mergeCell ref="A125:N125"/>
    <mergeCell ref="N64:N70"/>
    <mergeCell ref="N96:N123"/>
    <mergeCell ref="N86:N95"/>
    <mergeCell ref="N78:N81"/>
    <mergeCell ref="N71:N77"/>
    <mergeCell ref="N58:N63"/>
    <mergeCell ref="O29:O32"/>
    <mergeCell ref="O33:O45"/>
    <mergeCell ref="P49:P53"/>
    <mergeCell ref="N49:N53"/>
    <mergeCell ref="O58:O63"/>
    <mergeCell ref="W18:W21"/>
    <mergeCell ref="W22:W28"/>
    <mergeCell ref="W29:W32"/>
    <mergeCell ref="W33:W45"/>
    <mergeCell ref="W96:W123"/>
    <mergeCell ref="W86:W95"/>
    <mergeCell ref="V49:V53"/>
    <mergeCell ref="W49:W53"/>
    <mergeCell ref="V58:V63"/>
    <mergeCell ref="V86:V95"/>
    <mergeCell ref="V96:V123"/>
    <mergeCell ref="V78:V81"/>
    <mergeCell ref="V71:V77"/>
    <mergeCell ref="V64:V70"/>
  </mergeCells>
  <conditionalFormatting sqref="R82:R84 R124">
    <cfRule type="expression" dxfId="2370" priority="914">
      <formula>IF($E82,TRUE)</formula>
    </cfRule>
  </conditionalFormatting>
  <conditionalFormatting sqref="V82:W84 V124:W124 W96 W59:W81 W85">
    <cfRule type="containsText" dxfId="2369" priority="764" operator="containsText" text="Applicable">
      <formula>NOT(ISERROR(SEARCH("Applicable",V59)))</formula>
    </cfRule>
    <cfRule type="containsText" dxfId="2368" priority="765" operator="containsText" text="Functionally">
      <formula>NOT(ISERROR(SEARCH("Functionally",V59)))</formula>
    </cfRule>
    <cfRule type="containsText" dxfId="2367" priority="766" operator="containsText" text="Not Compliant">
      <formula>NOT(ISERROR(SEARCH("Not Compliant",V59)))</formula>
    </cfRule>
    <cfRule type="containsText" dxfId="2366" priority="767" operator="containsText" text="Compliant">
      <formula>NOT(ISERROR(SEARCH("Compliant",V59)))</formula>
    </cfRule>
  </conditionalFormatting>
  <conditionalFormatting sqref="W58">
    <cfRule type="containsText" dxfId="2365" priority="666" operator="containsText" text="Applicable">
      <formula>NOT(ISERROR(SEARCH("Applicable",W58)))</formula>
    </cfRule>
    <cfRule type="containsText" dxfId="2364" priority="667" operator="containsText" text="Functionally">
      <formula>NOT(ISERROR(SEARCH("Functionally",W58)))</formula>
    </cfRule>
    <cfRule type="containsText" dxfId="2363" priority="668" operator="containsText" text="Not Compliant">
      <formula>NOT(ISERROR(SEARCH("Not Compliant",W58)))</formula>
    </cfRule>
    <cfRule type="containsText" dxfId="2362" priority="669" operator="containsText" text="Compliant">
      <formula>NOT(ISERROR(SEARCH("Compliant",W58)))</formula>
    </cfRule>
  </conditionalFormatting>
  <conditionalFormatting sqref="Q82:Q84 Q124">
    <cfRule type="expression" dxfId="2361" priority="6948">
      <formula>IF(#REF!,TRUE)</formula>
    </cfRule>
    <cfRule type="expression" dxfId="2360" priority="6949">
      <formula>IF($E82,TRUE)</formula>
    </cfRule>
  </conditionalFormatting>
  <conditionalFormatting sqref="W86">
    <cfRule type="containsText" dxfId="2359" priority="567" operator="containsText" text="Applicable">
      <formula>NOT(ISERROR(SEARCH("Applicable",W86)))</formula>
    </cfRule>
    <cfRule type="containsText" dxfId="2358" priority="568" operator="containsText" text="Functionally">
      <formula>NOT(ISERROR(SEARCH("Functionally",W86)))</formula>
    </cfRule>
    <cfRule type="containsText" dxfId="2357" priority="569" operator="containsText" text="Not Compliant">
      <formula>NOT(ISERROR(SEARCH("Not Compliant",W86)))</formula>
    </cfRule>
    <cfRule type="containsText" dxfId="2356" priority="570" operator="containsText" text="Compliant">
      <formula>NOT(ISERROR(SEARCH("Compliant",W86)))</formula>
    </cfRule>
  </conditionalFormatting>
  <conditionalFormatting sqref="O17">
    <cfRule type="expression" dxfId="2355" priority="517">
      <formula>IF(AND($E17=TRUE,$I17="Valid Entry required below - Check amber box",#REF!="Compliant"),TRUE,FALSE)</formula>
    </cfRule>
    <cfRule type="expression" dxfId="2354" priority="518">
      <formula>IF(AND($E17=TRUE,$I17="Valid Entry made below",#REF!="Compliant"),TRUE,FALSE)</formula>
    </cfRule>
    <cfRule type="expression" dxfId="2353" priority="519">
      <formula>IF(AND($E17=FALSE,#REF!&lt;&gt;""),TRUE,FALSE)</formula>
    </cfRule>
    <cfRule type="expression" dxfId="2352" priority="520">
      <formula>IF(AND($I17&lt;&gt;"",#REF!&lt;&gt;""),TRUE,FALSE)</formula>
    </cfRule>
  </conditionalFormatting>
  <conditionalFormatting sqref="N82:O84 N124:O124 N85">
    <cfRule type="containsText" dxfId="2351" priority="13217" operator="containsText" text="Not Compliant">
      <formula>NOT(ISERROR(SEARCH("Not Compliant",N82)))</formula>
    </cfRule>
    <cfRule type="expression" dxfId="2350" priority="13218">
      <formula>IF(AND($E82=TRUE,$I82="",$N82="Compliant"),TRUE,FALSE)</formula>
    </cfRule>
    <cfRule type="expression" dxfId="2349" priority="13219">
      <formula>IF(AND($E82=TRUE,$I82&lt;&gt;"",$N82="Compliant"),TRUE,FALSE)</formula>
    </cfRule>
    <cfRule type="expression" dxfId="2348" priority="13220">
      <formula>IF($N82&lt;&gt;"",TRUE,FALSE)</formula>
    </cfRule>
    <cfRule type="expression" dxfId="2347" priority="13221">
      <formula>IF(AND($E82=FALSE,$N82&lt;&gt;""),TRUE,FALSE)</formula>
    </cfRule>
    <cfRule type="expression" dxfId="2346" priority="13222">
      <formula>IF(AND($I82&lt;&gt;"",$N82&lt;&gt;""),TRUE,FALSE)</formula>
    </cfRule>
  </conditionalFormatting>
  <conditionalFormatting sqref="B8">
    <cfRule type="expression" dxfId="2345" priority="468">
      <formula>IF($E8,TRUE)</formula>
    </cfRule>
  </conditionalFormatting>
  <conditionalFormatting sqref="B10:B13">
    <cfRule type="expression" dxfId="2344" priority="459">
      <formula>IF($E10=TRUE,TRUE,FALSE)</formula>
    </cfRule>
  </conditionalFormatting>
  <conditionalFormatting sqref="D10:D13">
    <cfRule type="expression" dxfId="2343" priority="458">
      <formula>IF($E10,TRUE)</formula>
    </cfRule>
  </conditionalFormatting>
  <conditionalFormatting sqref="D50:D53">
    <cfRule type="expression" dxfId="2342" priority="446">
      <formula>IF($D50="Compliant",TRUE)</formula>
    </cfRule>
    <cfRule type="expression" dxfId="2341" priority="447">
      <formula>IF($D50=" ",TRUE)</formula>
    </cfRule>
    <cfRule type="expression" dxfId="2340" priority="453">
      <formula>IF($D50="Not Compliant",TRUE)</formula>
    </cfRule>
  </conditionalFormatting>
  <conditionalFormatting sqref="B49 D49">
    <cfRule type="expression" dxfId="2339" priority="445">
      <formula>IF($E49,TRUE)</formula>
    </cfRule>
  </conditionalFormatting>
  <conditionalFormatting sqref="B23:B28">
    <cfRule type="expression" dxfId="2338" priority="440">
      <formula>IF(AND($E23=TRUE,$F$22&gt;1),TRUE,FALSE)</formula>
    </cfRule>
    <cfRule type="expression" dxfId="2337" priority="441">
      <formula>IF(AND($E23=FALSE,OR($I23&lt;&gt;"",$L23&lt;&gt;"")),TRUE,FALSE)</formula>
    </cfRule>
    <cfRule type="expression" dxfId="2336" priority="442">
      <formula>IF(AND($E23=TRUE,OR($I23="",$J23="")),TRUE,FALSE)</formula>
    </cfRule>
    <cfRule type="expression" dxfId="2335" priority="443">
      <formula>IF(AND($E23=TRUE,AND($I23&lt;&gt;"",$L23&lt;&gt;"")),TRUE,FALSE)</formula>
    </cfRule>
    <cfRule type="expression" dxfId="2334" priority="444">
      <formula>IF(AND($E23=FALSE,$E$22=TRUE),TRUE,FALSE)</formula>
    </cfRule>
  </conditionalFormatting>
  <conditionalFormatting sqref="D23">
    <cfRule type="expression" dxfId="2333" priority="432">
      <formula>IF($D23="Compliant",TRUE)</formula>
    </cfRule>
    <cfRule type="expression" dxfId="2332" priority="433">
      <formula>IF($D23=" ",TRUE)</formula>
    </cfRule>
    <cfRule type="expression" dxfId="2331" priority="439">
      <formula>IF($D23="Not Compliant",TRUE)</formula>
    </cfRule>
  </conditionalFormatting>
  <conditionalFormatting sqref="B22 D17">
    <cfRule type="expression" dxfId="2330" priority="430" stopIfTrue="1">
      <formula>IF(AND($F$22&gt;1,$E17=TRUE),TRUE,FALSE)</formula>
    </cfRule>
    <cfRule type="expression" dxfId="2329" priority="431" stopIfTrue="1">
      <formula>IF(AND($F$22=1,$E17=TRUE),TRUE,FALSE)</formula>
    </cfRule>
  </conditionalFormatting>
  <conditionalFormatting sqref="D22">
    <cfRule type="expression" dxfId="2328" priority="428" stopIfTrue="1">
      <formula>IF(AND($F$22&gt;1,$E22=TRUE),TRUE,FALSE)</formula>
    </cfRule>
    <cfRule type="expression" dxfId="2327" priority="429" stopIfTrue="1">
      <formula>IF(AND($F$22=1,$E22=TRUE),TRUE,FALSE)</formula>
    </cfRule>
  </conditionalFormatting>
  <conditionalFormatting sqref="D18">
    <cfRule type="expression" dxfId="2326" priority="424" stopIfTrue="1">
      <formula>IF(AND($F$22&gt;1,$E18=TRUE),TRUE,FALSE)</formula>
    </cfRule>
    <cfRule type="expression" dxfId="2325" priority="425" stopIfTrue="1">
      <formula>IF(AND($F$22=1,$E18=TRUE),TRUE,FALSE)</formula>
    </cfRule>
  </conditionalFormatting>
  <conditionalFormatting sqref="D19:D21">
    <cfRule type="expression" dxfId="2324" priority="416">
      <formula>IF($D19="Compliant",TRUE)</formula>
    </cfRule>
    <cfRule type="expression" dxfId="2323" priority="417">
      <formula>IF($D19=" ",TRUE)</formula>
    </cfRule>
    <cfRule type="expression" dxfId="2322" priority="423">
      <formula>IF($D19="Not Compliant",TRUE)</formula>
    </cfRule>
  </conditionalFormatting>
  <conditionalFormatting sqref="D24:D28">
    <cfRule type="expression" dxfId="2321" priority="408">
      <formula>IF($D24="Compliant",TRUE)</formula>
    </cfRule>
    <cfRule type="expression" dxfId="2320" priority="409">
      <formula>IF($D24=" ",TRUE)</formula>
    </cfRule>
    <cfRule type="expression" dxfId="2319" priority="415">
      <formula>IF($D24="Not Compliant",TRUE)</formula>
    </cfRule>
  </conditionalFormatting>
  <conditionalFormatting sqref="B18 D18">
    <cfRule type="expression" dxfId="2318" priority="403">
      <formula>IF($E18,TRUE)</formula>
    </cfRule>
  </conditionalFormatting>
  <conditionalFormatting sqref="D30:D32">
    <cfRule type="expression" dxfId="2317" priority="395">
      <formula>IF($D30="Compliant",TRUE)</formula>
    </cfRule>
    <cfRule type="expression" dxfId="2316" priority="396">
      <formula>IF($D30=" ",TRUE)</formula>
    </cfRule>
    <cfRule type="expression" dxfId="2315" priority="402">
      <formula>IF($D30="Not Compliant",TRUE)</formula>
    </cfRule>
  </conditionalFormatting>
  <conditionalFormatting sqref="B30:B32">
    <cfRule type="expression" dxfId="2314" priority="390">
      <formula>IF(AND($E30=TRUE,$F$22&gt;3),TRUE,FALSE)</formula>
    </cfRule>
    <cfRule type="expression" dxfId="2313" priority="391">
      <formula>IF(AND($E30=FALSE,OR($I30&lt;&gt;"",$L30&lt;&gt;"")),TRUE,FALSE)</formula>
    </cfRule>
    <cfRule type="expression" dxfId="2312" priority="392">
      <formula>IF(AND($E30=TRUE,OR($I30="",$J30="")),TRUE,FALSE)</formula>
    </cfRule>
    <cfRule type="expression" dxfId="2311" priority="393">
      <formula>IF(AND($E30=TRUE,AND($I30&lt;&gt;"",$L30&lt;&gt;"")),TRUE,FALSE)</formula>
    </cfRule>
    <cfRule type="expression" dxfId="2310" priority="394">
      <formula>IF(AND($E30=FALSE,$E$22=TRUE),TRUE,FALSE)</formula>
    </cfRule>
  </conditionalFormatting>
  <conditionalFormatting sqref="B29 D29">
    <cfRule type="expression" dxfId="2309" priority="388" stopIfTrue="1">
      <formula>IF(AND($F$29&gt;3,$E29=TRUE),TRUE,FALSE)</formula>
    </cfRule>
    <cfRule type="expression" dxfId="2308" priority="389" stopIfTrue="1">
      <formula>IF(AND($F$29=3,$E29=TRUE),TRUE,FALSE)</formula>
    </cfRule>
  </conditionalFormatting>
  <conditionalFormatting sqref="B17">
    <cfRule type="expression" dxfId="2307" priority="385" stopIfTrue="1">
      <formula>IF(AND($F$22&gt;1,$E17=TRUE),TRUE,FALSE)</formula>
    </cfRule>
    <cfRule type="expression" dxfId="2306" priority="386" stopIfTrue="1">
      <formula>IF(AND($F$22=1,$E17=TRUE),TRUE,FALSE)</formula>
    </cfRule>
  </conditionalFormatting>
  <conditionalFormatting sqref="B33 D33">
    <cfRule type="expression" dxfId="2305" priority="371">
      <formula>IF($F33&gt;1,TRUE,FALSE)</formula>
    </cfRule>
    <cfRule type="expression" dxfId="2304" priority="376">
      <formula>IF($E33,TRUE)</formula>
    </cfRule>
  </conditionalFormatting>
  <conditionalFormatting sqref="B35:B42">
    <cfRule type="expression" dxfId="2303" priority="2">
      <formula>IF(AND($E35=TRUE,$E$33=TRUE,OR($E$34=FALSE,$F$33&gt;1)),TRUE,FALSE)</formula>
    </cfRule>
    <cfRule type="expression" dxfId="2302" priority="13877">
      <formula>IF(AND($E35=FALSE,OR($I35&lt;&gt;"",$L35&lt;&gt;"")),TRUE,FALSE)</formula>
    </cfRule>
    <cfRule type="expression" dxfId="2301" priority="13878">
      <formula>IF(AND($E35=TRUE,OR($I35="",$J35="")),TRUE,FALSE)</formula>
    </cfRule>
    <cfRule type="expression" dxfId="2300" priority="13879">
      <formula>IF(AND($E35=TRUE,OR($I35&lt;&gt;"",$L35="")),TRUE,FALSE)</formula>
    </cfRule>
    <cfRule type="expression" dxfId="2299" priority="13880">
      <formula>IF(AND($E35=FALSE,$E$33=TRUE),TRUE,FALSE)</formula>
    </cfRule>
  </conditionalFormatting>
  <conditionalFormatting sqref="B44:B45">
    <cfRule type="expression" dxfId="2298" priority="366">
      <formula>IF(AND($E44=FALSE,$E$33=TRUE),TRUE,FALSE)</formula>
    </cfRule>
    <cfRule type="expression" dxfId="2297" priority="367">
      <formula>IF(AND($E44=TRUE,$F$34&gt;0),TRUE,FALSE)</formula>
    </cfRule>
    <cfRule type="expression" dxfId="2296" priority="368">
      <formula>IF(AND($E44=FALSE,OR($I44&lt;&gt;"",$L44&lt;&gt;"")),TRUE,FALSE)</formula>
    </cfRule>
    <cfRule type="expression" dxfId="2295" priority="369">
      <formula>IF(AND($E44=TRUE,OR($I44="",$J44="")),TRUE,FALSE)</formula>
    </cfRule>
    <cfRule type="expression" dxfId="2294" priority="370">
      <formula>IF(AND($E44=TRUE,OR($I44&lt;&gt;"",$L44="")),TRUE,FALSE)</formula>
    </cfRule>
  </conditionalFormatting>
  <conditionalFormatting sqref="B34 D34">
    <cfRule type="expression" dxfId="2293" priority="356">
      <formula>IF(AND($F34&gt;0,$F43&gt;0),TRUE,FALSE)</formula>
    </cfRule>
    <cfRule type="expression" dxfId="2292" priority="362">
      <formula>IF(AND($E34,TRUE,$F$33&gt;1),TRUE,FALSE)</formula>
    </cfRule>
    <cfRule type="expression" dxfId="2291" priority="364">
      <formula>IF(AND($E34,TRUE,$F$33=1),TRUE,FALSE)</formula>
    </cfRule>
    <cfRule type="expression" dxfId="2290" priority="365">
      <formula>IF(AND($E34=FALSE,$F$34=0,$E$33=TRUE),TRUE,FALSE)</formula>
    </cfRule>
  </conditionalFormatting>
  <conditionalFormatting sqref="D43">
    <cfRule type="expression" dxfId="2289" priority="361">
      <formula>IF(AND($E$43=TRUE,$E$33=TRUE),TRUE,FALSE)</formula>
    </cfRule>
  </conditionalFormatting>
  <conditionalFormatting sqref="B43 D43">
    <cfRule type="expression" dxfId="2288" priority="357">
      <formula>IF(AND($F43&gt;0,$F$34&gt;1),TRUE,FALSE)</formula>
    </cfRule>
    <cfRule type="expression" dxfId="2287" priority="358">
      <formula>IF(AND($E43,TRUE,$F$33&gt;1),TRUE,FALSE)</formula>
    </cfRule>
    <cfRule type="expression" dxfId="2286" priority="359">
      <formula>IF(AND($E43,TRUE,$F$33=1),TRUE,FALSE)</formula>
    </cfRule>
    <cfRule type="expression" dxfId="2285" priority="360">
      <formula>IF(AND($E43=FALSE,$F$43=0,$E$33=TRUE),TRUE,FALSE)</formula>
    </cfRule>
  </conditionalFormatting>
  <conditionalFormatting sqref="D97:D123 D87:D95 D79:D81 D75:D77 D72:D73 D65:D70 D59:D63">
    <cfRule type="expression" dxfId="2284" priority="348">
      <formula>IF($D59="Compliant",TRUE)</formula>
    </cfRule>
    <cfRule type="expression" dxfId="2283" priority="349">
      <formula>IF($D59=" ",TRUE)</formula>
    </cfRule>
    <cfRule type="expression" dxfId="2282" priority="355">
      <formula>IF($D59="Not Compliant",TRUE)</formula>
    </cfRule>
  </conditionalFormatting>
  <conditionalFormatting sqref="B59:B63">
    <cfRule type="expression" dxfId="2281" priority="344">
      <formula>IF(AND($E59=FALSE,OR($I59&lt;&gt;"",$L59&lt;&gt;"")),TRUE,FALSE)</formula>
    </cfRule>
    <cfRule type="expression" dxfId="2280" priority="345">
      <formula>IF(AND($E59=TRUE,OR($I59="",$J59="")),TRUE,FALSE)</formula>
    </cfRule>
    <cfRule type="expression" dxfId="2279" priority="346">
      <formula>IF(AND($E59=TRUE,OR($I59&lt;&gt;"",$L59="")),TRUE,FALSE)</formula>
    </cfRule>
    <cfRule type="expression" dxfId="2278" priority="347">
      <formula>IF(AND($E59=FALSE,$E$58=TRUE),TRUE,FALSE)</formula>
    </cfRule>
  </conditionalFormatting>
  <conditionalFormatting sqref="B65:B70">
    <cfRule type="expression" dxfId="2277" priority="340">
      <formula>IF(AND($E65=FALSE,OR($I65&lt;&gt;"",$L65&lt;&gt;"")),TRUE,FALSE)</formula>
    </cfRule>
    <cfRule type="expression" dxfId="2276" priority="341">
      <formula>IF(AND($E65=TRUE,OR($I65="",$J65="")),TRUE,FALSE)</formula>
    </cfRule>
    <cfRule type="expression" dxfId="2275" priority="342">
      <formula>IF(AND($E65=TRUE,OR($I65&lt;&gt;"",$L65="")),TRUE,FALSE)</formula>
    </cfRule>
    <cfRule type="expression" dxfId="2274" priority="343">
      <formula>IF(AND($E65=FALSE,$E$64=TRUE),TRUE,FALSE)</formula>
    </cfRule>
  </conditionalFormatting>
  <conditionalFormatting sqref="B72:B73">
    <cfRule type="expression" dxfId="2273" priority="303">
      <formula>IF(AND($E72=TRUE,$F$74&gt;0),TRUE,FALSE)</formula>
    </cfRule>
    <cfRule type="expression" dxfId="2272" priority="336">
      <formula>IF(AND($E72=FALSE,OR($I72&lt;&gt;"",$L72&lt;&gt;"")),TRUE,FALSE)</formula>
    </cfRule>
    <cfRule type="expression" dxfId="2271" priority="337">
      <formula>IF(AND($E72=TRUE,OR($I72="",$J72="")),TRUE,FALSE)</formula>
    </cfRule>
    <cfRule type="expression" dxfId="2270" priority="338">
      <formula>IF(AND($E72=TRUE,OR($I72&lt;&gt;"",$L72="")),TRUE,FALSE)</formula>
    </cfRule>
    <cfRule type="expression" dxfId="2269" priority="339">
      <formula>IF(AND($E72=FALSE,$E$74=TRUE),TRUE,FALSE)</formula>
    </cfRule>
  </conditionalFormatting>
  <conditionalFormatting sqref="B75:B76">
    <cfRule type="expression" dxfId="2268" priority="301">
      <formula>IF(AND($E75=TRUE,$F$71&gt;0),TRUE,FALSE)</formula>
    </cfRule>
    <cfRule type="expression" dxfId="2267" priority="302">
      <formula>IF(AND($E75=FALSE,OR($I75&lt;&gt;"",$L75&lt;&gt;"")),TRUE,FALSE)</formula>
    </cfRule>
    <cfRule type="expression" dxfId="2266" priority="332">
      <formula>IF(AND($E75=TRUE,OR($I75="",$J75="")),TRUE,FALSE)</formula>
    </cfRule>
    <cfRule type="expression" dxfId="2265" priority="333">
      <formula>IF(AND($E75=TRUE,OR($I75&lt;&gt;"",$L75="")),TRUE,FALSE)</formula>
    </cfRule>
    <cfRule type="expression" dxfId="2264" priority="334">
      <formula>IF(AND($E75=FALSE,$E$74=TRUE),TRUE,FALSE)</formula>
    </cfRule>
    <cfRule type="expression" dxfId="2263" priority="335">
      <formula>IF(AND($E75=FALSE,$E$71=TRUE),TRUE,FALSE)</formula>
    </cfRule>
  </conditionalFormatting>
  <conditionalFormatting sqref="B79:B81">
    <cfRule type="expression" dxfId="2262" priority="328">
      <formula>IF(AND($E79=FALSE,OR($I79&lt;&gt;"",$L79&lt;&gt;"")),TRUE,FALSE)</formula>
    </cfRule>
    <cfRule type="expression" dxfId="2261" priority="329">
      <formula>IF(AND($E79=TRUE,OR($I79="",$J79="")),TRUE,FALSE)</formula>
    </cfRule>
    <cfRule type="expression" dxfId="2260" priority="330">
      <formula>IF(AND($E79=TRUE,OR($I79&lt;&gt;"",$L79="")),TRUE,FALSE)</formula>
    </cfRule>
    <cfRule type="expression" dxfId="2259" priority="331">
      <formula>IF(AND($E79=FALSE,$E$58=TRUE),TRUE,FALSE)</formula>
    </cfRule>
  </conditionalFormatting>
  <conditionalFormatting sqref="B87:B95">
    <cfRule type="expression" dxfId="2258" priority="324">
      <formula>IF(AND($E87=FALSE,OR($I87&lt;&gt;"",$L87&lt;&gt;"")),TRUE,FALSE)</formula>
    </cfRule>
    <cfRule type="expression" dxfId="2257" priority="325">
      <formula>IF(AND($E87=TRUE,OR($I87="",$J87="")),TRUE,FALSE)</formula>
    </cfRule>
    <cfRule type="expression" dxfId="2256" priority="326">
      <formula>IF(AND($E87=TRUE,OR($I87&lt;&gt;"",$L87="")),TRUE,FALSE)</formula>
    </cfRule>
    <cfRule type="expression" dxfId="2255" priority="327">
      <formula>IF(AND($E87=FALSE,$E$86=TRUE),TRUE,FALSE)</formula>
    </cfRule>
  </conditionalFormatting>
  <conditionalFormatting sqref="B97:B123">
    <cfRule type="expression" dxfId="2254" priority="320">
      <formula>IF(AND($E97=FALSE,OR($I97&lt;&gt;"",$L97&lt;&gt;"")),TRUE,FALSE)</formula>
    </cfRule>
    <cfRule type="expression" dxfId="2253" priority="321">
      <formula>IF(AND($E97=TRUE,OR($I97="",$J97="")),TRUE,FALSE)</formula>
    </cfRule>
    <cfRule type="expression" dxfId="2252" priority="322">
      <formula>IF(AND($E97=TRUE,OR($I97&lt;&gt;"",$L97="")),TRUE,FALSE)</formula>
    </cfRule>
    <cfRule type="expression" dxfId="2251" priority="323">
      <formula>IF(AND($E97=FALSE,$E$96=TRUE),TRUE,FALSE)</formula>
    </cfRule>
  </conditionalFormatting>
  <conditionalFormatting sqref="B57 D57">
    <cfRule type="expression" dxfId="2250" priority="319">
      <formula>IF($E57,TRUE)</formula>
    </cfRule>
  </conditionalFormatting>
  <conditionalFormatting sqref="B58 D58">
    <cfRule type="expression" dxfId="2249" priority="318">
      <formula>IF($E58,TRUE)</formula>
    </cfRule>
  </conditionalFormatting>
  <conditionalFormatting sqref="B64 D64">
    <cfRule type="expression" dxfId="2248" priority="317">
      <formula>IF($E64,TRUE)</formula>
    </cfRule>
  </conditionalFormatting>
  <conditionalFormatting sqref="D71">
    <cfRule type="expression" dxfId="2247" priority="316">
      <formula>IF($E71,TRUE)</formula>
    </cfRule>
  </conditionalFormatting>
  <conditionalFormatting sqref="D74">
    <cfRule type="expression" dxfId="2246" priority="315">
      <formula>IF($E74,TRUE)</formula>
    </cfRule>
  </conditionalFormatting>
  <conditionalFormatting sqref="B78 D78">
    <cfRule type="expression" dxfId="2245" priority="314">
      <formula>IF($E78,TRUE)</formula>
    </cfRule>
  </conditionalFormatting>
  <conditionalFormatting sqref="B85 D85">
    <cfRule type="expression" dxfId="2244" priority="313">
      <formula>IF($E85,TRUE)</formula>
    </cfRule>
  </conditionalFormatting>
  <conditionalFormatting sqref="B96 D96">
    <cfRule type="expression" dxfId="2243" priority="312">
      <formula>IF($E96,TRUE)</formula>
    </cfRule>
  </conditionalFormatting>
  <conditionalFormatting sqref="B77">
    <cfRule type="expression" dxfId="2242" priority="297">
      <formula>IF(AND($E77=FALSE,OR($I77&lt;&gt;"",$L77&lt;&gt;"")),TRUE,FALSE)</formula>
    </cfRule>
    <cfRule type="expression" dxfId="2241" priority="298">
      <formula>IF(AND($E77=TRUE,OR($I77="",$J77="")),TRUE,FALSE)</formula>
    </cfRule>
    <cfRule type="expression" dxfId="2240" priority="299">
      <formula>IF(AND($E77=TRUE,OR($I77&lt;&gt;"",$L77="")),TRUE,FALSE)</formula>
    </cfRule>
    <cfRule type="expression" dxfId="2239" priority="300">
      <formula>IF(AND($E77=FALSE,$E$58=TRUE),TRUE,FALSE)</formula>
    </cfRule>
  </conditionalFormatting>
  <conditionalFormatting sqref="B86 D86">
    <cfRule type="expression" dxfId="2238" priority="296">
      <formula>IF($E86,TRUE)</formula>
    </cfRule>
  </conditionalFormatting>
  <conditionalFormatting sqref="B50:B53 B19:B21">
    <cfRule type="expression" dxfId="2237" priority="13881">
      <formula>IF(AND($E19=FALSE,OR($I19&lt;&gt;"",$L19&lt;&gt;"")),TRUE,FALSE)</formula>
    </cfRule>
    <cfRule type="expression" dxfId="2236" priority="13882">
      <formula>IF(AND($E19=TRUE,OR($I19="",$J19="")),TRUE,FALSE)</formula>
    </cfRule>
    <cfRule type="expression" dxfId="2235" priority="13883">
      <formula>IF(AND($E19=TRUE,OR($I19&lt;&gt;"",$L19="")),TRUE,FALSE)</formula>
    </cfRule>
    <cfRule type="expression" dxfId="2234" priority="13884">
      <formula>IF(AND($E19=FALSE,$E$66=TRUE),TRUE,FALSE)</formula>
    </cfRule>
  </conditionalFormatting>
  <conditionalFormatting sqref="B71 D71">
    <cfRule type="expression" dxfId="2233" priority="13889">
      <formula>IF(AND($F71&gt;0,$F$74&gt;0),TRUE,FALSE)</formula>
    </cfRule>
    <cfRule type="expression" dxfId="2232" priority="13890">
      <formula>IF(AND($E71,TRUE,$F$33=1),TRUE,FALSE)</formula>
    </cfRule>
    <cfRule type="expression" dxfId="2231" priority="13891">
      <formula>IF(AND($E71=FALSE,$F$43=0,$E$33=TRUE),TRUE,FALSE)</formula>
    </cfRule>
  </conditionalFormatting>
  <conditionalFormatting sqref="B74 D74">
    <cfRule type="expression" dxfId="2230" priority="13895">
      <formula>IF(AND($F74&gt;0,$F$71&gt;0),TRUE,FALSE)</formula>
    </cfRule>
    <cfRule type="expression" dxfId="2229" priority="13896">
      <formula>IF(AND($E74,TRUE,$F$33=1),TRUE,FALSE)</formula>
    </cfRule>
    <cfRule type="expression" dxfId="2228" priority="13897">
      <formula>IF(AND($E74=FALSE,$F$43=0,$E$33=TRUE),TRUE,FALSE)</formula>
    </cfRule>
  </conditionalFormatting>
  <conditionalFormatting sqref="D35:D45">
    <cfRule type="expression" dxfId="2227" priority="460">
      <formula>IF($D35="Compliant",TRUE)</formula>
    </cfRule>
    <cfRule type="expression" dxfId="2226" priority="461">
      <formula>IF($D35=" ",TRUE)</formula>
    </cfRule>
    <cfRule type="expression" dxfId="2225" priority="467">
      <formula>IF($D35="Not Compliant",TRUE)</formula>
    </cfRule>
  </conditionalFormatting>
  <conditionalFormatting sqref="D8 N8 Q8 V8">
    <cfRule type="beginsWith" dxfId="2224" priority="869" operator="beginsWith" text="Likely">
      <formula>LEFT(D8,LEN("Likely"))="Likely"</formula>
    </cfRule>
    <cfRule type="beginsWith" dxfId="2223" priority="915" operator="beginsWith" text="Not Applicable">
      <formula>LEFT(D8,LEN("Not Applicable"))="Not Applicable"</formula>
    </cfRule>
    <cfRule type="beginsWith" dxfId="2222" priority="916" operator="beginsWith" text="Applicable">
      <formula>LEFT(D8,LEN("Applicable"))="Applicable"</formula>
    </cfRule>
    <cfRule type="beginsWith" dxfId="2221" priority="917" operator="beginsWith" text="Partly">
      <formula>LEFT(D8,LEN("Partly"))="Partly"</formula>
    </cfRule>
    <cfRule type="beginsWith" dxfId="2220" priority="918" operator="beginsWith" text="Missing">
      <formula>LEFT(D8,LEN("Missing"))="Missing"</formula>
    </cfRule>
    <cfRule type="beginsWith" dxfId="2219" priority="919" operator="beginsWith" text="Not">
      <formula>LEFT(D8,LEN("Not"))="Not"</formula>
    </cfRule>
    <cfRule type="beginsWith" dxfId="2218" priority="920" operator="beginsWith" text="Compliant">
      <formula>LEFT(D8,LEN("Compliant"))="Compliant"</formula>
    </cfRule>
    <cfRule type="containsText" dxfId="2217" priority="921" operator="containsText" text="Equivalent">
      <formula>NOT(ISERROR(SEARCH("Equivalent",D8)))</formula>
    </cfRule>
  </conditionalFormatting>
  <conditionalFormatting sqref="N18">
    <cfRule type="expression" dxfId="2216" priority="275">
      <formula>IF($N18="Compliant",TRUE)</formula>
    </cfRule>
    <cfRule type="expression" dxfId="2215" priority="276">
      <formula>IF($N18="FE with work-a-round",TRUE)</formula>
    </cfRule>
    <cfRule type="expression" dxfId="2214" priority="277">
      <formula>IF($N18="Functionally Equivalent",TRUE)</formula>
    </cfRule>
    <cfRule type="expression" dxfId="2213" priority="278">
      <formula>IF($N18="Likely to become compliant",TRUE)</formula>
    </cfRule>
    <cfRule type="expression" dxfId="2212" priority="279">
      <formula>IF($N18="Partly Compliant",TRUE)</formula>
    </cfRule>
    <cfRule type="expression" dxfId="2211" priority="280">
      <formula>IF($N18="Unknown/Missing",TRUE)</formula>
    </cfRule>
    <cfRule type="expression" dxfId="2210" priority="281">
      <formula>IF($N18="Not Required/Applicable",TRUE)</formula>
    </cfRule>
    <cfRule type="expression" dxfId="2209" priority="282">
      <formula>IF($N18="Not Compliant",TRUE)</formula>
    </cfRule>
    <cfRule type="expression" dxfId="2208" priority="283">
      <formula>IF($N18=" ",TRUE)</formula>
    </cfRule>
  </conditionalFormatting>
  <conditionalFormatting sqref="Q19:Q21 Q23:Q28">
    <cfRule type="expression" dxfId="2207" priority="266">
      <formula>IF(Q19="Compliant",TRUE)</formula>
    </cfRule>
    <cfRule type="expression" dxfId="2206" priority="267">
      <formula>IF(Q19="FE with work-a-round",TRUE)</formula>
    </cfRule>
    <cfRule type="expression" dxfId="2205" priority="268">
      <formula>IF(Q19="Functionally Equivalent",TRUE)</formula>
    </cfRule>
    <cfRule type="expression" dxfId="2204" priority="269">
      <formula>IF($Q19="Likely to become compliant",TRUE)</formula>
    </cfRule>
    <cfRule type="expression" dxfId="2203" priority="270">
      <formula>IF($Q19="Partly Compliant",TRUE)</formula>
    </cfRule>
    <cfRule type="expression" dxfId="2202" priority="271">
      <formula>IF($Q19="Unknown/Missing",TRUE)</formula>
    </cfRule>
    <cfRule type="expression" dxfId="2201" priority="272">
      <formula>IF($Q19="Not Required/Applicable",TRUE)</formula>
    </cfRule>
    <cfRule type="expression" dxfId="2200" priority="273">
      <formula>IF(Q19="Not Compliant",TRUE)</formula>
    </cfRule>
    <cfRule type="expression" dxfId="2199" priority="274">
      <formula>IF(Q19=" ",TRUE)</formula>
    </cfRule>
  </conditionalFormatting>
  <conditionalFormatting sqref="V18">
    <cfRule type="expression" dxfId="2198" priority="257">
      <formula>IF(V18="Compliant",TRUE)</formula>
    </cfRule>
    <cfRule type="expression" dxfId="2197" priority="258">
      <formula>IF(V18="FE with work-a-round",TRUE)</formula>
    </cfRule>
    <cfRule type="expression" dxfId="2196" priority="259">
      <formula>IF(V18="Functionally Equivalent",TRUE)</formula>
    </cfRule>
    <cfRule type="expression" dxfId="2195" priority="260">
      <formula>IF(V18="Likely to become compliant",TRUE)</formula>
    </cfRule>
    <cfRule type="expression" dxfId="2194" priority="261">
      <formula>IF(V18="Partly Compliant",TRUE)</formula>
    </cfRule>
    <cfRule type="expression" dxfId="2193" priority="262">
      <formula>IF(V18="Unknown/Missing",TRUE)</formula>
    </cfRule>
    <cfRule type="expression" dxfId="2192" priority="263">
      <formula>IF(V18="Not Required/Applicable",TRUE)</formula>
    </cfRule>
    <cfRule type="expression" dxfId="2191" priority="264">
      <formula>IF(V18="Not Compliant",TRUE)</formula>
    </cfRule>
    <cfRule type="expression" dxfId="2190" priority="265">
      <formula>IF($N18=" ",TRUE)</formula>
    </cfRule>
  </conditionalFormatting>
  <conditionalFormatting sqref="N17 N57 N85">
    <cfRule type="expression" dxfId="2189" priority="255">
      <formula>IF(O17=FALSE,TRUE,FALSE)</formula>
    </cfRule>
    <cfRule type="expression" dxfId="2188" priority="256">
      <formula>IF(O17=TRUE,TRUE,FALSE)</formula>
    </cfRule>
  </conditionalFormatting>
  <conditionalFormatting sqref="N29">
    <cfRule type="expression" dxfId="2187" priority="237">
      <formula>IF($N29="Compliant",TRUE)</formula>
    </cfRule>
    <cfRule type="expression" dxfId="2186" priority="238">
      <formula>IF($N29="FE with work-a-round",TRUE)</formula>
    </cfRule>
    <cfRule type="expression" dxfId="2185" priority="239">
      <formula>IF($N29="Functionally Equivalent",TRUE)</formula>
    </cfRule>
    <cfRule type="expression" dxfId="2184" priority="240">
      <formula>IF($N29="Likely to become compliant",TRUE)</formula>
    </cfRule>
    <cfRule type="expression" dxfId="2183" priority="241">
      <formula>IF($N29="Partly Compliant",TRUE)</formula>
    </cfRule>
    <cfRule type="expression" dxfId="2182" priority="242">
      <formula>IF($N29="Unknown/Missing",TRUE)</formula>
    </cfRule>
    <cfRule type="expression" dxfId="2181" priority="243">
      <formula>IF($N29="Not Required/Applicable",TRUE)</formula>
    </cfRule>
    <cfRule type="expression" dxfId="2180" priority="244">
      <formula>IF($N29="Not Compliant",TRUE)</formula>
    </cfRule>
    <cfRule type="expression" dxfId="2179" priority="245">
      <formula>IF($N29=" ",TRUE)</formula>
    </cfRule>
  </conditionalFormatting>
  <conditionalFormatting sqref="N33">
    <cfRule type="expression" dxfId="2178" priority="228">
      <formula>IF($N33="Compliant",TRUE)</formula>
    </cfRule>
    <cfRule type="expression" dxfId="2177" priority="229">
      <formula>IF($N33="FE with work-a-round",TRUE)</formula>
    </cfRule>
    <cfRule type="expression" dxfId="2176" priority="230">
      <formula>IF($N33="Functionally Equivalent",TRUE)</formula>
    </cfRule>
    <cfRule type="expression" dxfId="2175" priority="231">
      <formula>IF($N33="Likely to become compliant",TRUE)</formula>
    </cfRule>
    <cfRule type="expression" dxfId="2174" priority="232">
      <formula>IF($N33="Partly Compliant",TRUE)</formula>
    </cfRule>
    <cfRule type="expression" dxfId="2173" priority="233">
      <formula>IF($N33="Unknown/Missing",TRUE)</formula>
    </cfRule>
    <cfRule type="expression" dxfId="2172" priority="234">
      <formula>IF($N33="Not Required/Applicable",TRUE)</formula>
    </cfRule>
    <cfRule type="expression" dxfId="2171" priority="235">
      <formula>IF($N33="Not Compliant",TRUE)</formula>
    </cfRule>
    <cfRule type="expression" dxfId="2170" priority="236">
      <formula>IF($N33=" ",TRUE)</formula>
    </cfRule>
  </conditionalFormatting>
  <conditionalFormatting sqref="N49">
    <cfRule type="expression" dxfId="2169" priority="192">
      <formula>IF($N49="Compliant",TRUE)</formula>
    </cfRule>
    <cfRule type="expression" dxfId="2168" priority="193">
      <formula>IF($N49="FE with work-a-round",TRUE)</formula>
    </cfRule>
    <cfRule type="expression" dxfId="2167" priority="194">
      <formula>IF($N49="Functionally Equivalent",TRUE)</formula>
    </cfRule>
    <cfRule type="expression" dxfId="2166" priority="195">
      <formula>IF($N49="Likely to become compliant",TRUE)</formula>
    </cfRule>
    <cfRule type="expression" dxfId="2165" priority="196">
      <formula>IF($N49="Partly Compliant",TRUE)</formula>
    </cfRule>
    <cfRule type="expression" dxfId="2164" priority="197">
      <formula>IF($N49="Unknown/Missing",TRUE)</formula>
    </cfRule>
    <cfRule type="expression" dxfId="2163" priority="198">
      <formula>IF($N49="Not Required/Applicable",TRUE)</formula>
    </cfRule>
    <cfRule type="expression" dxfId="2162" priority="199">
      <formula>IF($N49="Not Compliant",TRUE)</formula>
    </cfRule>
    <cfRule type="expression" dxfId="2161" priority="200">
      <formula>IF($N49=" ",TRUE)</formula>
    </cfRule>
  </conditionalFormatting>
  <conditionalFormatting sqref="N58">
    <cfRule type="expression" dxfId="2160" priority="183">
      <formula>IF($N58="Compliant",TRUE)</formula>
    </cfRule>
    <cfRule type="expression" dxfId="2159" priority="184">
      <formula>IF($N58="FE with work-a-round",TRUE)</formula>
    </cfRule>
    <cfRule type="expression" dxfId="2158" priority="185">
      <formula>IF($N58="Functionally Equivalent",TRUE)</formula>
    </cfRule>
    <cfRule type="expression" dxfId="2157" priority="186">
      <formula>IF($N58="Likely to become compliant",TRUE)</formula>
    </cfRule>
    <cfRule type="expression" dxfId="2156" priority="187">
      <formula>IF($N58="Partly Compliant",TRUE)</formula>
    </cfRule>
    <cfRule type="expression" dxfId="2155" priority="188">
      <formula>IF($N58="Unknown/Missing",TRUE)</formula>
    </cfRule>
    <cfRule type="expression" dxfId="2154" priority="189">
      <formula>IF($N58="Not Required/Applicable",TRUE)</formula>
    </cfRule>
    <cfRule type="expression" dxfId="2153" priority="190">
      <formula>IF($N58="Not Compliant",TRUE)</formula>
    </cfRule>
    <cfRule type="expression" dxfId="2152" priority="191">
      <formula>IF($N58=" ",TRUE)</formula>
    </cfRule>
  </conditionalFormatting>
  <conditionalFormatting sqref="N64">
    <cfRule type="expression" dxfId="2151" priority="174">
      <formula>IF($N64="Compliant",TRUE)</formula>
    </cfRule>
    <cfRule type="expression" dxfId="2150" priority="175">
      <formula>IF($N64="FE with work-a-round",TRUE)</formula>
    </cfRule>
    <cfRule type="expression" dxfId="2149" priority="176">
      <formula>IF($N64="Functionally Equivalent",TRUE)</formula>
    </cfRule>
    <cfRule type="expression" dxfId="2148" priority="177">
      <formula>IF($N64="Likely to become compliant",TRUE)</formula>
    </cfRule>
    <cfRule type="expression" dxfId="2147" priority="178">
      <formula>IF($N64="Partly Compliant",TRUE)</formula>
    </cfRule>
    <cfRule type="expression" dxfId="2146" priority="179">
      <formula>IF($N64="Unknown/Missing",TRUE)</formula>
    </cfRule>
    <cfRule type="expression" dxfId="2145" priority="180">
      <formula>IF($N64="Not Required/Applicable",TRUE)</formula>
    </cfRule>
    <cfRule type="expression" dxfId="2144" priority="181">
      <formula>IF($N64="Not Compliant",TRUE)</formula>
    </cfRule>
    <cfRule type="expression" dxfId="2143" priority="182">
      <formula>IF($N64=" ",TRUE)</formula>
    </cfRule>
  </conditionalFormatting>
  <conditionalFormatting sqref="N71">
    <cfRule type="expression" dxfId="2142" priority="165">
      <formula>IF($N71="Compliant",TRUE)</formula>
    </cfRule>
    <cfRule type="expression" dxfId="2141" priority="166">
      <formula>IF($N71="FE with work-a-round",TRUE)</formula>
    </cfRule>
    <cfRule type="expression" dxfId="2140" priority="167">
      <formula>IF($N71="Functionally Equivalent",TRUE)</formula>
    </cfRule>
    <cfRule type="expression" dxfId="2139" priority="168">
      <formula>IF($N71="Likely to become compliant",TRUE)</formula>
    </cfRule>
    <cfRule type="expression" dxfId="2138" priority="169">
      <formula>IF($N71="Partly Compliant",TRUE)</formula>
    </cfRule>
    <cfRule type="expression" dxfId="2137" priority="170">
      <formula>IF($N71="Unknown/Missing",TRUE)</formula>
    </cfRule>
    <cfRule type="expression" dxfId="2136" priority="171">
      <formula>IF($N71="Not Required/Applicable",TRUE)</formula>
    </cfRule>
    <cfRule type="expression" dxfId="2135" priority="172">
      <formula>IF($N71="Not Compliant",TRUE)</formula>
    </cfRule>
    <cfRule type="expression" dxfId="2134" priority="173">
      <formula>IF($N71=" ",TRUE)</formula>
    </cfRule>
  </conditionalFormatting>
  <conditionalFormatting sqref="N78">
    <cfRule type="expression" dxfId="2133" priority="156">
      <formula>IF($N78="Compliant",TRUE)</formula>
    </cfRule>
    <cfRule type="expression" dxfId="2132" priority="157">
      <formula>IF($N78="FE with work-a-round",TRUE)</formula>
    </cfRule>
    <cfRule type="expression" dxfId="2131" priority="158">
      <formula>IF($N78="Functionally Equivalent",TRUE)</formula>
    </cfRule>
    <cfRule type="expression" dxfId="2130" priority="159">
      <formula>IF($N78="Likely to become compliant",TRUE)</formula>
    </cfRule>
    <cfRule type="expression" dxfId="2129" priority="160">
      <formula>IF($N78="Partly Compliant",TRUE)</formula>
    </cfRule>
    <cfRule type="expression" dxfId="2128" priority="161">
      <formula>IF($N78="Unknown/Missing",TRUE)</formula>
    </cfRule>
    <cfRule type="expression" dxfId="2127" priority="162">
      <formula>IF($N78="Not Required/Applicable",TRUE)</formula>
    </cfRule>
    <cfRule type="expression" dxfId="2126" priority="163">
      <formula>IF($N78="Not Compliant",TRUE)</formula>
    </cfRule>
    <cfRule type="expression" dxfId="2125" priority="164">
      <formula>IF($N78=" ",TRUE)</formula>
    </cfRule>
  </conditionalFormatting>
  <conditionalFormatting sqref="N86">
    <cfRule type="expression" dxfId="2124" priority="147">
      <formula>IF($N86="Compliant",TRUE)</formula>
    </cfRule>
    <cfRule type="expression" dxfId="2123" priority="148">
      <formula>IF($N86="FE with work-a-round",TRUE)</formula>
    </cfRule>
    <cfRule type="expression" dxfId="2122" priority="149">
      <formula>IF($N86="Functionally Equivalent",TRUE)</formula>
    </cfRule>
    <cfRule type="expression" dxfId="2121" priority="150">
      <formula>IF($N86="Likely to become compliant",TRUE)</formula>
    </cfRule>
    <cfRule type="expression" dxfId="2120" priority="151">
      <formula>IF($N86="Partly Compliant",TRUE)</formula>
    </cfRule>
    <cfRule type="expression" dxfId="2119" priority="152">
      <formula>IF($N86="Unknown/Missing",TRUE)</formula>
    </cfRule>
    <cfRule type="expression" dxfId="2118" priority="153">
      <formula>IF($N86="Not Required/Applicable",TRUE)</formula>
    </cfRule>
    <cfRule type="expression" dxfId="2117" priority="154">
      <formula>IF($N86="Not Compliant",TRUE)</formula>
    </cfRule>
    <cfRule type="expression" dxfId="2116" priority="155">
      <formula>IF($N86=" ",TRUE)</formula>
    </cfRule>
  </conditionalFormatting>
  <conditionalFormatting sqref="N96">
    <cfRule type="expression" dxfId="2115" priority="138">
      <formula>IF($N96="Compliant",TRUE)</formula>
    </cfRule>
    <cfRule type="expression" dxfId="2114" priority="139">
      <formula>IF($N96="FE with work-a-round",TRUE)</formula>
    </cfRule>
    <cfRule type="expression" dxfId="2113" priority="140">
      <formula>IF($N96="Functionally Equivalent",TRUE)</formula>
    </cfRule>
    <cfRule type="expression" dxfId="2112" priority="141">
      <formula>IF($N96="Likely to become compliant",TRUE)</formula>
    </cfRule>
    <cfRule type="expression" dxfId="2111" priority="142">
      <formula>IF($N96="Partly Compliant",TRUE)</formula>
    </cfRule>
    <cfRule type="expression" dxfId="2110" priority="143">
      <formula>IF($N96="Unknown/Missing",TRUE)</formula>
    </cfRule>
    <cfRule type="expression" dxfId="2109" priority="144">
      <formula>IF($N96="Not Required/Applicable",TRUE)</formula>
    </cfRule>
    <cfRule type="expression" dxfId="2108" priority="145">
      <formula>IF($N96="Not Compliant",TRUE)</formula>
    </cfRule>
    <cfRule type="expression" dxfId="2107" priority="146">
      <formula>IF($N96=" ",TRUE)</formula>
    </cfRule>
  </conditionalFormatting>
  <conditionalFormatting sqref="V96 V86 V78 V71 V64 V33 V29">
    <cfRule type="expression" dxfId="2106" priority="80">
      <formula>IF(V29="Compliant",TRUE)</formula>
    </cfRule>
    <cfRule type="expression" dxfId="2105" priority="81">
      <formula>IF(V29="FE with work-a-round",TRUE)</formula>
    </cfRule>
    <cfRule type="expression" dxfId="2104" priority="82">
      <formula>IF(V29="Functionally Equivalent",TRUE)</formula>
    </cfRule>
    <cfRule type="expression" dxfId="2103" priority="83">
      <formula>IF(V29="Likely to become compliant",TRUE)</formula>
    </cfRule>
    <cfRule type="expression" dxfId="2102" priority="84">
      <formula>IF(V29="Partly Compliant",TRUE)</formula>
    </cfRule>
    <cfRule type="expression" dxfId="2101" priority="85">
      <formula>IF(V29="Unknown/Missing",TRUE)</formula>
    </cfRule>
    <cfRule type="expression" dxfId="2100" priority="86">
      <formula>IF(V29="Not Required/Applicable",TRUE)</formula>
    </cfRule>
    <cfRule type="expression" dxfId="2099" priority="87">
      <formula>IF(V29="Not Compliant",TRUE)</formula>
    </cfRule>
    <cfRule type="expression" dxfId="2098" priority="88">
      <formula>IF($N29=" ",TRUE)</formula>
    </cfRule>
  </conditionalFormatting>
  <conditionalFormatting sqref="V49">
    <cfRule type="expression" dxfId="2097" priority="71">
      <formula>IF(V49="Compliant",TRUE)</formula>
    </cfRule>
    <cfRule type="expression" dxfId="2096" priority="72">
      <formula>IF(V49="FE with work-a-round",TRUE)</formula>
    </cfRule>
    <cfRule type="expression" dxfId="2095" priority="73">
      <formula>IF(V49="Functionally Equivalent",TRUE)</formula>
    </cfRule>
    <cfRule type="expression" dxfId="2094" priority="74">
      <formula>IF(V49="Likely to become compliant",TRUE)</formula>
    </cfRule>
    <cfRule type="expression" dxfId="2093" priority="75">
      <formula>IF(V49="Partly Compliant",TRUE)</formula>
    </cfRule>
    <cfRule type="expression" dxfId="2092" priority="76">
      <formula>IF(V49="Unknown/Missing",TRUE)</formula>
    </cfRule>
    <cfRule type="expression" dxfId="2091" priority="77">
      <formula>IF(V49="Not Required/Applicable",TRUE)</formula>
    </cfRule>
    <cfRule type="expression" dxfId="2090" priority="78">
      <formula>IF(V49="Not Compliant",TRUE)</formula>
    </cfRule>
    <cfRule type="expression" dxfId="2089" priority="79">
      <formula>IF($N49=" ",TRUE)</formula>
    </cfRule>
  </conditionalFormatting>
  <conditionalFormatting sqref="V58">
    <cfRule type="expression" dxfId="2088" priority="13898">
      <formula>IF(V58="Compliant",TRUE)</formula>
    </cfRule>
    <cfRule type="expression" dxfId="2087" priority="13899">
      <formula>IF(V58="FE with work-a-round",TRUE)</formula>
    </cfRule>
    <cfRule type="expression" dxfId="2086" priority="13900">
      <formula>IF(V58="Functionally Equivalent",TRUE)</formula>
    </cfRule>
    <cfRule type="expression" dxfId="2085" priority="13901">
      <formula>IF(V58="Likely to become compliant",TRUE)</formula>
    </cfRule>
    <cfRule type="expression" dxfId="2084" priority="13902">
      <formula>IF(V58="Partly Compliant",TRUE)</formula>
    </cfRule>
    <cfRule type="expression" dxfId="2083" priority="13903">
      <formula>IF(V58="Unknown/Missing",TRUE)</formula>
    </cfRule>
    <cfRule type="expression" dxfId="2082" priority="13904">
      <formula>IF(V58="Not Required/Applicable",TRUE)</formula>
    </cfRule>
    <cfRule type="expression" dxfId="2081" priority="13905">
      <formula>IF(V58="Not Compliant",TRUE)</formula>
    </cfRule>
    <cfRule type="expression" dxfId="2080" priority="13906">
      <formula>IF($N59=" ",TRUE)</formula>
    </cfRule>
  </conditionalFormatting>
  <conditionalFormatting sqref="Q17:Q18 Q29 Q33:Q34 Q43 Q49 Q57:Q58 Q64 Q71 Q74 Q78 Q85:Q86 Q96">
    <cfRule type="expression" dxfId="2079" priority="70">
      <formula>IF(R17=TRUE,TRUE,FALSE)</formula>
    </cfRule>
  </conditionalFormatting>
  <conditionalFormatting sqref="V17">
    <cfRule type="expression" dxfId="2078" priority="67">
      <formula>IF(W17=FALSE,TRUE,FALSE)</formula>
    </cfRule>
    <cfRule type="expression" dxfId="2077" priority="68">
      <formula>IF(W17=TRUE,TRUE,FALSE)</formula>
    </cfRule>
  </conditionalFormatting>
  <conditionalFormatting sqref="Q17:Q18 Q29 Q33:Q34 Q43 Q49 Q57:Q58 Q64 Q71 Q74 Q78 Q85:Q86 Q96">
    <cfRule type="expression" dxfId="2076" priority="69">
      <formula>IF(R17=FALSE,TRUE,FALSE)</formula>
    </cfRule>
  </conditionalFormatting>
  <conditionalFormatting sqref="N22">
    <cfRule type="expression" dxfId="2075" priority="58">
      <formula>IF($N22="Compliant",TRUE)</formula>
    </cfRule>
    <cfRule type="expression" dxfId="2074" priority="59">
      <formula>IF($N22="FE with work-a-round",TRUE)</formula>
    </cfRule>
    <cfRule type="expression" dxfId="2073" priority="60">
      <formula>IF($N22="Functionally Equivalent",TRUE)</formula>
    </cfRule>
    <cfRule type="expression" dxfId="2072" priority="61">
      <formula>IF($N22="Likely to become compliant",TRUE)</formula>
    </cfRule>
    <cfRule type="expression" dxfId="2071" priority="62">
      <formula>IF($N22="Partly Compliant",TRUE)</formula>
    </cfRule>
    <cfRule type="expression" dxfId="2070" priority="63">
      <formula>IF($N22="Unknown/Missing",TRUE)</formula>
    </cfRule>
    <cfRule type="expression" dxfId="2069" priority="64">
      <formula>IF($N22="Not Required/Applicable",TRUE)</formula>
    </cfRule>
    <cfRule type="expression" dxfId="2068" priority="65">
      <formula>IF($N22="Not Compliant",TRUE)</formula>
    </cfRule>
    <cfRule type="expression" dxfId="2067" priority="66">
      <formula>IF($N22=" ",TRUE)</formula>
    </cfRule>
  </conditionalFormatting>
  <conditionalFormatting sqref="V22">
    <cfRule type="expression" dxfId="2066" priority="49">
      <formula>IF(V22="Compliant",TRUE)</formula>
    </cfRule>
    <cfRule type="expression" dxfId="2065" priority="50">
      <formula>IF(V22="FE with work-a-round",TRUE)</formula>
    </cfRule>
    <cfRule type="expression" dxfId="2064" priority="51">
      <formula>IF(V22="Functionally Equivalent",TRUE)</formula>
    </cfRule>
    <cfRule type="expression" dxfId="2063" priority="52">
      <formula>IF(V22="Likely to become compliant",TRUE)</formula>
    </cfRule>
    <cfRule type="expression" dxfId="2062" priority="53">
      <formula>IF(V22="Partly Compliant",TRUE)</formula>
    </cfRule>
    <cfRule type="expression" dxfId="2061" priority="54">
      <formula>IF(V22="Unknown/Missing",TRUE)</formula>
    </cfRule>
    <cfRule type="expression" dxfId="2060" priority="55">
      <formula>IF(V22="Not Required/Applicable",TRUE)</formula>
    </cfRule>
    <cfRule type="expression" dxfId="2059" priority="56">
      <formula>IF(V22="Not Compliant",TRUE)</formula>
    </cfRule>
    <cfRule type="expression" dxfId="2058" priority="57">
      <formula>IF($N22=" ",TRUE)</formula>
    </cfRule>
  </conditionalFormatting>
  <conditionalFormatting sqref="V10:V13 Q10:Q13 N10:N13">
    <cfRule type="expression" dxfId="2057" priority="38">
      <formula>IF(O10=FALSE,TRUE,FALSE)</formula>
    </cfRule>
    <cfRule type="expression" dxfId="2056" priority="39">
      <formula>IF(O10=TRUE,TRUE,FALSE)</formula>
    </cfRule>
  </conditionalFormatting>
  <conditionalFormatting sqref="V57">
    <cfRule type="expression" dxfId="2055" priority="36">
      <formula>IF(W57=FALSE,TRUE,FALSE)</formula>
    </cfRule>
    <cfRule type="expression" dxfId="2054" priority="37">
      <formula>IF(W57=TRUE,TRUE,FALSE)</formula>
    </cfRule>
  </conditionalFormatting>
  <conditionalFormatting sqref="V85">
    <cfRule type="containsText" dxfId="2053" priority="30" operator="containsText" text="Not Compliant">
      <formula>NOT(ISERROR(SEARCH("Not Compliant",V85)))</formula>
    </cfRule>
    <cfRule type="expression" dxfId="2052" priority="31">
      <formula>IF(AND($E85=TRUE,$I85="",$N85="Compliant"),TRUE,FALSE)</formula>
    </cfRule>
    <cfRule type="expression" dxfId="2051" priority="32">
      <formula>IF(AND($E85=TRUE,$I85&lt;&gt;"",$N85="Compliant"),TRUE,FALSE)</formula>
    </cfRule>
    <cfRule type="expression" dxfId="2050" priority="33">
      <formula>IF($N85&lt;&gt;"",TRUE,FALSE)</formula>
    </cfRule>
    <cfRule type="expression" dxfId="2049" priority="34">
      <formula>IF(AND($E85=FALSE,$N85&lt;&gt;""),TRUE,FALSE)</formula>
    </cfRule>
    <cfRule type="expression" dxfId="2048" priority="35">
      <formula>IF(AND($I85&lt;&gt;"",$N85&lt;&gt;""),TRUE,FALSE)</formula>
    </cfRule>
  </conditionalFormatting>
  <conditionalFormatting sqref="V85">
    <cfRule type="expression" dxfId="2047" priority="28">
      <formula>IF(W85=FALSE,TRUE,FALSE)</formula>
    </cfRule>
    <cfRule type="expression" dxfId="2046" priority="29">
      <formula>IF(W85=TRUE,TRUE,FALSE)</formula>
    </cfRule>
  </conditionalFormatting>
  <conditionalFormatting sqref="Q97:Q123 Q87:Q95 Q79:Q81 Q75:Q77 Q72:Q73 Q65:Q70 Q59:Q63 Q44:Q45 Q35:Q42 Q30:Q32 Q50:Q53">
    <cfRule type="expression" dxfId="2045" priority="19">
      <formula>IF(Q30="Compliant",TRUE)</formula>
    </cfRule>
    <cfRule type="expression" dxfId="2044" priority="20">
      <formula>IF(Q30="FE with work-a-round",TRUE)</formula>
    </cfRule>
    <cfRule type="expression" dxfId="2043" priority="21">
      <formula>IF(Q30="Functionally Equivalent",TRUE)</formula>
    </cfRule>
    <cfRule type="expression" dxfId="2042" priority="22">
      <formula>IF($Q30="Likely to become compliant",TRUE)</formula>
    </cfRule>
    <cfRule type="expression" dxfId="2041" priority="23">
      <formula>IF($Q30="Partly Compliant",TRUE)</formula>
    </cfRule>
    <cfRule type="expression" dxfId="2040" priority="24">
      <formula>IF($Q30="Unknown/Missing",TRUE)</formula>
    </cfRule>
    <cfRule type="expression" dxfId="2039" priority="25">
      <formula>IF($Q30="Not Required/Applicable",TRUE)</formula>
    </cfRule>
    <cfRule type="expression" dxfId="2038" priority="26">
      <formula>IF(Q30="Not Compliant",TRUE)</formula>
    </cfRule>
    <cfRule type="expression" dxfId="2037" priority="27">
      <formula>IF(Q30=" ",TRUE)</formula>
    </cfRule>
  </conditionalFormatting>
  <conditionalFormatting sqref="Q22">
    <cfRule type="expression" dxfId="2036" priority="16">
      <formula>IF(R22=TRUE,TRUE,FALSE)</formula>
    </cfRule>
  </conditionalFormatting>
  <conditionalFormatting sqref="Q22">
    <cfRule type="expression" dxfId="2035" priority="15">
      <formula>IF(R22=FALSE,TRUE,FALSE)</formula>
    </cfRule>
  </conditionalFormatting>
  <dataValidations count="1">
    <dataValidation type="list" allowBlank="1" showInputMessage="1" showErrorMessage="1" sqref="N82">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48" id="{3D019478-9E13-4B34-9320-14F0F5860A3C}">
            <xm:f>ISNUMBER(SEARCH($D50,Dropdowns!$D$18))</xm:f>
            <x14:dxf>
              <fill>
                <patternFill>
                  <bgColor rgb="FFFFFF00"/>
                </patternFill>
              </fill>
            </x14:dxf>
          </x14:cfRule>
          <x14:cfRule type="expression" priority="449" id="{902F9150-DBF2-4604-AF7D-474650AADCB3}">
            <xm:f>ISNUMBER(SEARCH($D50,Dropdowns!$D$19))</xm:f>
            <x14:dxf>
              <fill>
                <patternFill>
                  <bgColor theme="6" tint="0.39994506668294322"/>
                </patternFill>
              </fill>
            </x14:dxf>
          </x14:cfRule>
          <x14:cfRule type="expression" priority="450" id="{24FF6CDD-9986-445B-811A-407DC50F41E3}">
            <xm:f>ISNUMBER(SEARCH($D50,Dropdowns!$D$20))</xm:f>
            <x14:dxf>
              <fill>
                <patternFill>
                  <bgColor theme="6" tint="0.39994506668294322"/>
                </patternFill>
              </fill>
            </x14:dxf>
          </x14:cfRule>
          <x14:cfRule type="expression" priority="451" id="{91A3BBF6-337B-417D-8CD2-485A93879730}">
            <xm:f>ISNUMBER(SEARCH($D50,Dropdowns!$D$21))</xm:f>
            <x14:dxf>
              <fill>
                <patternFill>
                  <bgColor rgb="FFFFFF00"/>
                </patternFill>
              </fill>
            </x14:dxf>
          </x14:cfRule>
          <x14:cfRule type="expression" priority="452" id="{ACABCCE8-C901-4F62-B7FE-AB60D3E90A24}">
            <xm:f>ISNUMBER(SEARCH($D50,Dropdowns!$D$23))</xm:f>
            <x14:dxf>
              <fill>
                <patternFill>
                  <bgColor rgb="FFFFFF00"/>
                </patternFill>
              </fill>
            </x14:dxf>
          </x14:cfRule>
          <xm:sqref>D50:D53</xm:sqref>
        </x14:conditionalFormatting>
        <x14:conditionalFormatting xmlns:xm="http://schemas.microsoft.com/office/excel/2006/main">
          <x14:cfRule type="expression" priority="434" id="{A5B675AE-5071-4C81-A4DF-E4D58D6F1E4F}">
            <xm:f>ISNUMBER(SEARCH($D23,Dropdowns!$D$18))</xm:f>
            <x14:dxf>
              <fill>
                <patternFill>
                  <bgColor rgb="FFFFFF00"/>
                </patternFill>
              </fill>
            </x14:dxf>
          </x14:cfRule>
          <x14:cfRule type="expression" priority="435" id="{0741B28F-490B-4106-97DF-1D95C61E5920}">
            <xm:f>ISNUMBER(SEARCH($D23,Dropdowns!$D$19))</xm:f>
            <x14:dxf>
              <fill>
                <patternFill>
                  <bgColor theme="6" tint="0.39994506668294322"/>
                </patternFill>
              </fill>
            </x14:dxf>
          </x14:cfRule>
          <x14:cfRule type="expression" priority="436" id="{9934E9FC-49E0-4A98-BE77-D0F1E66FD023}">
            <xm:f>ISNUMBER(SEARCH($D23,Dropdowns!$D$20))</xm:f>
            <x14:dxf>
              <fill>
                <patternFill>
                  <bgColor theme="6" tint="0.39994506668294322"/>
                </patternFill>
              </fill>
            </x14:dxf>
          </x14:cfRule>
          <x14:cfRule type="expression" priority="437" id="{AD63D6E2-72DA-45BB-B093-96946A11CFA4}">
            <xm:f>ISNUMBER(SEARCH($D23,Dropdowns!$D$21))</xm:f>
            <x14:dxf>
              <fill>
                <patternFill>
                  <bgColor rgb="FFFFFF00"/>
                </patternFill>
              </fill>
            </x14:dxf>
          </x14:cfRule>
          <x14:cfRule type="expression" priority="438" id="{ECE926F5-720A-46F3-A148-40150AF0BE69}">
            <xm:f>ISNUMBER(SEARCH($D23,Dropdowns!$D$23))</xm:f>
            <x14:dxf>
              <fill>
                <patternFill>
                  <bgColor rgb="FFFFFF00"/>
                </patternFill>
              </fill>
            </x14:dxf>
          </x14:cfRule>
          <xm:sqref>D23</xm:sqref>
        </x14:conditionalFormatting>
        <x14:conditionalFormatting xmlns:xm="http://schemas.microsoft.com/office/excel/2006/main">
          <x14:cfRule type="expression" priority="418" id="{AA01CA6C-DF3B-435B-9FE6-901057C592F1}">
            <xm:f>ISNUMBER(SEARCH($D19,Dropdowns!$D$18))</xm:f>
            <x14:dxf>
              <fill>
                <patternFill>
                  <bgColor rgb="FFFFFF00"/>
                </patternFill>
              </fill>
            </x14:dxf>
          </x14:cfRule>
          <x14:cfRule type="expression" priority="419" id="{25EF3509-C23C-47BC-AFA9-77EA7D47A38C}">
            <xm:f>ISNUMBER(SEARCH($D19,Dropdowns!$D$19))</xm:f>
            <x14:dxf>
              <fill>
                <patternFill>
                  <bgColor theme="6" tint="0.39994506668294322"/>
                </patternFill>
              </fill>
            </x14:dxf>
          </x14:cfRule>
          <x14:cfRule type="expression" priority="420" id="{072465B1-EAAB-4AFD-8C27-189B83DC93C9}">
            <xm:f>ISNUMBER(SEARCH($D19,Dropdowns!$D$20))</xm:f>
            <x14:dxf>
              <fill>
                <patternFill>
                  <bgColor theme="6" tint="0.39994506668294322"/>
                </patternFill>
              </fill>
            </x14:dxf>
          </x14:cfRule>
          <x14:cfRule type="expression" priority="421" id="{47C2748A-ADE3-4FE1-AD15-67A6BF85A89F}">
            <xm:f>ISNUMBER(SEARCH($D19,Dropdowns!$D$21))</xm:f>
            <x14:dxf>
              <fill>
                <patternFill>
                  <bgColor rgb="FFFFFF00"/>
                </patternFill>
              </fill>
            </x14:dxf>
          </x14:cfRule>
          <x14:cfRule type="expression" priority="422" id="{AAE64FFE-778D-450D-AA33-146159F4C8B5}">
            <xm:f>ISNUMBER(SEARCH($D19,Dropdowns!$D$23))</xm:f>
            <x14:dxf>
              <fill>
                <patternFill>
                  <bgColor rgb="FFFFFF00"/>
                </patternFill>
              </fill>
            </x14:dxf>
          </x14:cfRule>
          <xm:sqref>D19:D21</xm:sqref>
        </x14:conditionalFormatting>
        <x14:conditionalFormatting xmlns:xm="http://schemas.microsoft.com/office/excel/2006/main">
          <x14:cfRule type="expression" priority="410" id="{CA7D11A8-E1AD-4E3E-ADD5-9D1DE8CCC7A8}">
            <xm:f>ISNUMBER(SEARCH($D24,Dropdowns!$D$18))</xm:f>
            <x14:dxf>
              <fill>
                <patternFill>
                  <bgColor rgb="FFFFFF00"/>
                </patternFill>
              </fill>
            </x14:dxf>
          </x14:cfRule>
          <x14:cfRule type="expression" priority="411" id="{254C9096-7D29-428D-9849-D180CC5E22B8}">
            <xm:f>ISNUMBER(SEARCH($D24,Dropdowns!$D$19))</xm:f>
            <x14:dxf>
              <fill>
                <patternFill>
                  <bgColor theme="6" tint="0.39994506668294322"/>
                </patternFill>
              </fill>
            </x14:dxf>
          </x14:cfRule>
          <x14:cfRule type="expression" priority="412" id="{DF1AC445-54FC-4F9C-8029-F1770C39D155}">
            <xm:f>ISNUMBER(SEARCH($D24,Dropdowns!$D$20))</xm:f>
            <x14:dxf>
              <fill>
                <patternFill>
                  <bgColor theme="6" tint="0.39994506668294322"/>
                </patternFill>
              </fill>
            </x14:dxf>
          </x14:cfRule>
          <x14:cfRule type="expression" priority="413" id="{FDAF6C34-BF0F-4DD1-8341-652E0E08466D}">
            <xm:f>ISNUMBER(SEARCH($D24,Dropdowns!$D$21))</xm:f>
            <x14:dxf>
              <fill>
                <patternFill>
                  <bgColor rgb="FFFFFF00"/>
                </patternFill>
              </fill>
            </x14:dxf>
          </x14:cfRule>
          <x14:cfRule type="expression" priority="414" id="{EA67CE2E-7219-4024-93C6-FB016FF64F2E}">
            <xm:f>ISNUMBER(SEARCH($D24,Dropdowns!$D$23))</xm:f>
            <x14:dxf>
              <fill>
                <patternFill>
                  <bgColor rgb="FFFFFF00"/>
                </patternFill>
              </fill>
            </x14:dxf>
          </x14:cfRule>
          <xm:sqref>D24:D28</xm:sqref>
        </x14:conditionalFormatting>
        <x14:conditionalFormatting xmlns:xm="http://schemas.microsoft.com/office/excel/2006/main">
          <x14:cfRule type="expression" priority="397" id="{5F63701A-6C7D-40CF-A9F8-C088F7376AD3}">
            <xm:f>ISNUMBER(SEARCH($D30,Dropdowns!$D$18))</xm:f>
            <x14:dxf>
              <fill>
                <patternFill>
                  <bgColor rgb="FFFFFF00"/>
                </patternFill>
              </fill>
            </x14:dxf>
          </x14:cfRule>
          <x14:cfRule type="expression" priority="398" id="{28177E34-47A3-43C4-9FD7-B1745EACEDF3}">
            <xm:f>ISNUMBER(SEARCH($D30,Dropdowns!$D$19))</xm:f>
            <x14:dxf>
              <fill>
                <patternFill>
                  <bgColor theme="6" tint="0.39994506668294322"/>
                </patternFill>
              </fill>
            </x14:dxf>
          </x14:cfRule>
          <x14:cfRule type="expression" priority="399" id="{663EF663-F42E-49EB-9A7D-DAAF71B77D3A}">
            <xm:f>ISNUMBER(SEARCH($D30,Dropdowns!$D$20))</xm:f>
            <x14:dxf>
              <fill>
                <patternFill>
                  <bgColor theme="6" tint="0.39994506668294322"/>
                </patternFill>
              </fill>
            </x14:dxf>
          </x14:cfRule>
          <x14:cfRule type="expression" priority="400" id="{D7E28237-220D-40BE-83A9-CF8FCFCEF013}">
            <xm:f>ISNUMBER(SEARCH($D30,Dropdowns!$D$21))</xm:f>
            <x14:dxf>
              <fill>
                <patternFill>
                  <bgColor rgb="FFFFFF00"/>
                </patternFill>
              </fill>
            </x14:dxf>
          </x14:cfRule>
          <x14:cfRule type="expression" priority="401" id="{40B939F3-CE12-4352-B969-9494C3DB60BC}">
            <xm:f>ISNUMBER(SEARCH($D30,Dropdowns!$D$23))</xm:f>
            <x14:dxf>
              <fill>
                <patternFill>
                  <bgColor rgb="FFFFFF00"/>
                </patternFill>
              </fill>
            </x14:dxf>
          </x14:cfRule>
          <xm:sqref>D30:D32</xm:sqref>
        </x14:conditionalFormatting>
        <x14:conditionalFormatting xmlns:xm="http://schemas.microsoft.com/office/excel/2006/main">
          <x14:cfRule type="expression" priority="350" id="{BE4574C6-ABEF-44D2-AC1F-0962A51A2B2C}">
            <xm:f>ISNUMBER(SEARCH($D59,Dropdowns!$D$18))</xm:f>
            <x14:dxf>
              <fill>
                <patternFill>
                  <bgColor rgb="FFFFFF00"/>
                </patternFill>
              </fill>
            </x14:dxf>
          </x14:cfRule>
          <x14:cfRule type="expression" priority="351" id="{DF9E5B3C-1ABF-41EE-934B-3AB28440B65B}">
            <xm:f>ISNUMBER(SEARCH($D59,Dropdowns!$D$19))</xm:f>
            <x14:dxf>
              <fill>
                <patternFill>
                  <bgColor theme="6" tint="0.39994506668294322"/>
                </patternFill>
              </fill>
            </x14:dxf>
          </x14:cfRule>
          <x14:cfRule type="expression" priority="352" id="{728F689C-1E72-4900-AB1E-3132C17F22F2}">
            <xm:f>ISNUMBER(SEARCH($D59,Dropdowns!$D$20))</xm:f>
            <x14:dxf>
              <fill>
                <patternFill>
                  <bgColor theme="6" tint="0.39994506668294322"/>
                </patternFill>
              </fill>
            </x14:dxf>
          </x14:cfRule>
          <x14:cfRule type="expression" priority="353" id="{22788A7A-E4EC-462A-8602-B12018A3F07B}">
            <xm:f>ISNUMBER(SEARCH($D59,Dropdowns!$D$21))</xm:f>
            <x14:dxf>
              <fill>
                <patternFill>
                  <bgColor rgb="FFFFFF00"/>
                </patternFill>
              </fill>
            </x14:dxf>
          </x14:cfRule>
          <x14:cfRule type="expression" priority="354" id="{EE241F53-5CAD-4BEE-B43F-C92474633606}">
            <xm:f>ISNUMBER(SEARCH($D59,Dropdowns!$D$23))</xm:f>
            <x14:dxf>
              <fill>
                <patternFill>
                  <bgColor rgb="FFFFFF00"/>
                </patternFill>
              </fill>
            </x14:dxf>
          </x14:cfRule>
          <xm:sqref>D97:D123 D87:D95 D79:D81 D75:D77 D72:D73 D65:D70 D59:D63</xm:sqref>
        </x14:conditionalFormatting>
        <x14:conditionalFormatting xmlns:xm="http://schemas.microsoft.com/office/excel/2006/main">
          <x14:cfRule type="expression" priority="462" id="{A63DE2CE-F8F6-469D-B6D4-5E62AD547F0B}">
            <xm:f>ISNUMBER(SEARCH($D35,Dropdowns!$D$18))</xm:f>
            <x14:dxf>
              <fill>
                <patternFill>
                  <bgColor rgb="FFFFFF00"/>
                </patternFill>
              </fill>
            </x14:dxf>
          </x14:cfRule>
          <x14:cfRule type="expression" priority="463" id="{5C0F8502-77EC-4898-BE6B-7552714259AE}">
            <xm:f>ISNUMBER(SEARCH($D35,Dropdowns!$D$19))</xm:f>
            <x14:dxf>
              <fill>
                <patternFill>
                  <bgColor theme="6" tint="0.39994506668294322"/>
                </patternFill>
              </fill>
            </x14:dxf>
          </x14:cfRule>
          <x14:cfRule type="expression" priority="464" id="{E60EDCAF-59E2-4A9E-9085-8CEA69793041}">
            <xm:f>ISNUMBER(SEARCH($D35,Dropdowns!$D$20))</xm:f>
            <x14:dxf>
              <fill>
                <patternFill>
                  <bgColor theme="6" tint="0.39994506668294322"/>
                </patternFill>
              </fill>
            </x14:dxf>
          </x14:cfRule>
          <x14:cfRule type="expression" priority="465" id="{0273F45A-7C6A-4F63-ABAD-426D8C06139C}">
            <xm:f>ISNUMBER(SEARCH($D35,Dropdowns!$D$21))</xm:f>
            <x14:dxf>
              <fill>
                <patternFill>
                  <bgColor rgb="FFFFFF00"/>
                </patternFill>
              </fill>
            </x14:dxf>
          </x14:cfRule>
          <x14:cfRule type="expression" priority="466" id="{7545E9AC-1CE5-402B-8888-4FFB9712652F}">
            <xm:f>ISNUMBER(SEARCH($D35,Dropdowns!$D$23))</xm:f>
            <x14:dxf>
              <fill>
                <patternFill>
                  <bgColor rgb="FFFFFF00"/>
                </patternFill>
              </fill>
            </x14:dxf>
          </x14:cfRule>
          <xm:sqref>D35:D45</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Dropdowns!$G$11:$G$16</xm:f>
          </x14:formula1>
          <xm:sqref>V49 V126 V14 V56 V124 V18 V33 V58 V29 V86 V96 V82 V78 V71 V64 V22</xm:sqref>
        </x14:dataValidation>
        <x14:dataValidation type="list" allowBlank="1" showInputMessage="1" showErrorMessage="1">
          <x14:formula1>
            <xm:f>Dropdowns!$F$9:$F$12</xm:f>
          </x14:formula1>
          <xm:sqref>N124 N56 N126</xm:sqref>
        </x14:dataValidation>
        <x14:dataValidation type="list" allowBlank="1" showInputMessage="1" showErrorMessage="1">
          <x14:formula1>
            <xm:f>Dropdowns!$C$11:$C$13</xm:f>
          </x14:formula1>
          <xm:sqref>V8 Q8 D8 N8:N9</xm:sqref>
        </x14:dataValidation>
        <x14:dataValidation type="list" allowBlank="1" showInputMessage="1" showErrorMessage="1">
          <x14:formula1>
            <xm:f>Dropdowns!$C$16:$C$19</xm:f>
          </x14:formula1>
          <xm:sqref>V48</xm:sqref>
        </x14:dataValidation>
        <x14:dataValidation type="list" allowBlank="1" showInputMessage="1" showErrorMessage="1">
          <x14:formula1>
            <xm:f>Dropdowns!$D$16:$D$23</xm:f>
          </x14:formula1>
          <xm:sqref>D50:D53 D59:D63 D65:D70 D72:D73 D75:D77 D97:D123 D23:D26 D19:D21 D79:D81 D87:D95 D30:D32 D35:D42 D44:D45</xm:sqref>
        </x14:dataValidation>
        <x14:dataValidation type="list" allowBlank="1" showInputMessage="1" showErrorMessage="1">
          <x14:formula1>
            <xm:f>Dropdowns!$F$2:$F$8</xm:f>
          </x14:formula1>
          <xm:sqref>N18 N49 N29 N33 N64 N78 N86 N96 N71 N58 N22</xm:sqref>
        </x14:dataValidation>
        <x14:dataValidation type="list" allowBlank="1" showInputMessage="1" showErrorMessage="1">
          <x14:formula1>
            <xm:f>Dropdowns!$E$11:$E$15</xm:f>
          </x14:formula1>
          <xm:sqref>Q97:Q123 Q87:Q95 Q50:Q53 Q30:Q32 Q35:Q42 Q44:Q45 Q59:Q63 Q65:Q70 Q72:Q73 Q75:Q77 Q79:Q81 Q19:Q21 Q23:Q28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F108"/>
  <sheetViews>
    <sheetView zoomScale="75" zoomScaleNormal="75" workbookViewId="0">
      <pane xSplit="4" ySplit="5" topLeftCell="I6" activePane="bottomRight" state="frozen"/>
      <selection activeCell="B1" sqref="B1"/>
      <selection pane="topRight" activeCell="E1" sqref="E1"/>
      <selection pane="bottomLeft" activeCell="B3" sqref="B3"/>
      <selection pane="bottomRight" activeCell="I12" sqref="I12"/>
    </sheetView>
  </sheetViews>
  <sheetFormatPr defaultColWidth="8.796875" defaultRowHeight="13" x14ac:dyDescent="0.3"/>
  <cols>
    <col min="1" max="1" width="8.796875" style="1118" hidden="1" customWidth="1"/>
    <col min="2" max="2" width="51.796875" style="17" customWidth="1"/>
    <col min="3" max="3" width="52.19921875" style="17" customWidth="1"/>
    <col min="4" max="4" width="36.19921875" style="17" customWidth="1"/>
    <col min="5" max="5" width="12.796875" style="17" hidden="1" customWidth="1"/>
    <col min="6" max="6" width="13.296875" style="17" hidden="1" customWidth="1"/>
    <col min="7" max="7" width="12.3984375" style="17" hidden="1" customWidth="1"/>
    <col min="8" max="8" width="10.69921875" style="17" hidden="1" customWidth="1"/>
    <col min="9" max="9" width="58.296875" style="17" customWidth="1"/>
    <col min="10" max="10" width="9.796875" style="17" hidden="1" customWidth="1"/>
    <col min="11" max="11" width="9.19921875" style="17" hidden="1" customWidth="1"/>
    <col min="12" max="12" width="28.69921875" style="14" customWidth="1"/>
    <col min="13" max="13" width="28.69921875" style="17" customWidth="1"/>
    <col min="14" max="14" width="37.3984375" style="17" customWidth="1"/>
    <col min="15" max="15" width="8.69921875" style="17" hidden="1" customWidth="1"/>
    <col min="16" max="16" width="50.296875" style="17" customWidth="1"/>
    <col min="17" max="17" width="33.69921875" style="17" customWidth="1"/>
    <col min="18" max="18" width="8.796875" style="17" hidden="1" customWidth="1"/>
    <col min="19" max="19" width="57.3984375" style="17" customWidth="1"/>
    <col min="20" max="20" width="36" style="17" customWidth="1"/>
    <col min="21" max="21" width="41" style="17" customWidth="1"/>
    <col min="22" max="22" width="34.19921875" style="17" customWidth="1"/>
    <col min="23" max="23" width="9.296875" style="17" hidden="1" customWidth="1"/>
    <col min="24" max="24" width="53.69921875" style="17" customWidth="1"/>
    <col min="25" max="25" width="30" style="17" customWidth="1"/>
    <col min="26" max="26" width="28.3984375" style="17" customWidth="1"/>
    <col min="27" max="16384" width="8.796875" style="17"/>
  </cols>
  <sheetData>
    <row r="1" spans="1:84" ht="73.5" customHeight="1" x14ac:dyDescent="0.3">
      <c r="B1" s="4521"/>
      <c r="C1" s="4521"/>
      <c r="D1" s="4521"/>
    </row>
    <row r="2" spans="1:84" ht="96.75" customHeight="1" x14ac:dyDescent="0.3">
      <c r="B2" s="4398" t="s">
        <v>2280</v>
      </c>
      <c r="C2" s="4494"/>
      <c r="D2" s="4494"/>
    </row>
    <row r="3" spans="1:84" x14ac:dyDescent="0.3">
      <c r="B3" s="4643"/>
      <c r="C3" s="4643"/>
      <c r="D3" s="4643"/>
    </row>
    <row r="4" spans="1:84" ht="53.25" customHeight="1" thickBot="1" x14ac:dyDescent="0.35">
      <c r="A4" s="4547" t="s">
        <v>1887</v>
      </c>
      <c r="B4" s="4547"/>
      <c r="C4" s="4547"/>
      <c r="D4" s="4547"/>
      <c r="E4" s="1111"/>
      <c r="F4" s="1117"/>
      <c r="G4" s="1117"/>
      <c r="H4" s="1117"/>
      <c r="I4" s="1117"/>
      <c r="J4" s="1117"/>
      <c r="K4" s="1117"/>
      <c r="L4" s="1117"/>
    </row>
    <row r="5" spans="1:84" s="561" customFormat="1" ht="40.5" customHeight="1" thickTop="1" thickBot="1" x14ac:dyDescent="0.35">
      <c r="A5" s="2059"/>
      <c r="B5" s="1114" t="s">
        <v>1872</v>
      </c>
      <c r="C5" s="1114" t="s">
        <v>1873</v>
      </c>
      <c r="D5" s="1114" t="s">
        <v>1236</v>
      </c>
      <c r="E5" s="1114"/>
      <c r="F5" s="1114"/>
      <c r="G5" s="1114"/>
      <c r="H5" s="1114"/>
      <c r="I5" s="1114" t="s">
        <v>458</v>
      </c>
      <c r="J5" s="1114"/>
      <c r="K5" s="1114"/>
      <c r="L5" s="1114" t="s">
        <v>408</v>
      </c>
      <c r="M5" s="1114" t="s">
        <v>466</v>
      </c>
      <c r="N5" s="1114" t="s">
        <v>465</v>
      </c>
      <c r="O5" s="1114"/>
      <c r="P5" s="1114" t="s">
        <v>1221</v>
      </c>
      <c r="Q5" s="1114" t="s">
        <v>1212</v>
      </c>
      <c r="R5" s="1114"/>
      <c r="S5" s="1114" t="s">
        <v>396</v>
      </c>
      <c r="T5" s="1114" t="s">
        <v>409</v>
      </c>
      <c r="U5" s="1114" t="s">
        <v>1211</v>
      </c>
      <c r="V5" s="1114" t="s">
        <v>1801</v>
      </c>
      <c r="W5" s="1114"/>
      <c r="X5" s="1114" t="s">
        <v>10</v>
      </c>
      <c r="Y5" s="1114" t="s">
        <v>11</v>
      </c>
      <c r="Z5" s="1116" t="s">
        <v>12</v>
      </c>
    </row>
    <row r="6" spans="1:84" ht="19" thickTop="1" x14ac:dyDescent="0.3">
      <c r="A6" s="1119"/>
      <c r="B6" s="4863" t="s">
        <v>900</v>
      </c>
      <c r="C6" s="4863"/>
      <c r="D6" s="4863"/>
      <c r="I6" s="1876"/>
      <c r="J6" s="1876"/>
      <c r="K6" s="1876"/>
      <c r="L6" s="696"/>
      <c r="M6" s="1876"/>
      <c r="N6" s="1876"/>
      <c r="O6" s="1876"/>
      <c r="P6" s="1876"/>
      <c r="Q6" s="1876"/>
      <c r="R6" s="1876"/>
      <c r="S6" s="1876"/>
      <c r="T6" s="1876"/>
      <c r="U6" s="1876"/>
      <c r="V6" s="1876"/>
      <c r="W6" s="1876"/>
      <c r="X6" s="1876"/>
      <c r="Y6" s="1876"/>
      <c r="Z6" s="1876"/>
    </row>
    <row r="7" spans="1:84" ht="110.15" customHeight="1" x14ac:dyDescent="0.3">
      <c r="A7" s="1119"/>
      <c r="B7" s="4862" t="s">
        <v>1606</v>
      </c>
      <c r="C7" s="4862"/>
      <c r="D7" s="4862"/>
    </row>
    <row r="8" spans="1:84" ht="11.5" customHeight="1" x14ac:dyDescent="0.3">
      <c r="A8" s="1119"/>
      <c r="B8" s="560"/>
      <c r="C8" s="560"/>
      <c r="D8" s="560"/>
    </row>
    <row r="9" spans="1:84" s="4020" customFormat="1" ht="18.649999999999999" customHeight="1" x14ac:dyDescent="0.3">
      <c r="A9" s="4864" t="s">
        <v>1892</v>
      </c>
      <c r="B9" s="4865"/>
      <c r="C9" s="4865"/>
      <c r="D9" s="4865"/>
      <c r="E9" s="4865"/>
      <c r="F9" s="4865"/>
      <c r="G9" s="4865"/>
      <c r="H9" s="4865"/>
      <c r="I9" s="4865"/>
      <c r="J9" s="4865"/>
      <c r="K9" s="4865"/>
      <c r="L9" s="4865"/>
      <c r="M9" s="4865"/>
      <c r="N9" s="4865"/>
      <c r="O9" s="4240"/>
      <c r="P9" s="3683"/>
      <c r="Q9" s="3683"/>
      <c r="R9" s="3683"/>
      <c r="S9" s="3684"/>
      <c r="T9" s="3685"/>
      <c r="U9" s="3685"/>
      <c r="V9" s="3669"/>
      <c r="W9" s="3669"/>
      <c r="X9" s="3683"/>
      <c r="Y9" s="3684"/>
      <c r="Z9" s="3685"/>
    </row>
    <row r="10" spans="1:84" s="3634" customFormat="1" ht="15" thickBot="1" x14ac:dyDescent="0.35">
      <c r="A10" s="4241"/>
      <c r="D10" s="3638"/>
      <c r="E10" s="3638"/>
      <c r="F10" s="3638"/>
      <c r="G10" s="3638"/>
      <c r="H10" s="3638"/>
      <c r="L10" s="3686"/>
      <c r="N10" s="3638"/>
      <c r="V10" s="3635"/>
      <c r="W10" s="3635"/>
      <c r="AS10" s="3687"/>
      <c r="AT10" s="3688"/>
      <c r="AU10" s="3688"/>
      <c r="AV10" s="3688"/>
      <c r="AW10" s="3688"/>
      <c r="AX10" s="3688"/>
      <c r="AY10" s="3688"/>
      <c r="AZ10" s="3688"/>
      <c r="BA10" s="3688"/>
      <c r="BB10" s="3688"/>
      <c r="BC10" s="3688"/>
      <c r="BD10" s="3688"/>
      <c r="BE10" s="3688"/>
      <c r="BF10" s="3688"/>
      <c r="BG10" s="3688"/>
      <c r="BH10" s="3688"/>
      <c r="BI10" s="3688"/>
      <c r="BJ10" s="3688"/>
      <c r="BK10" s="3688"/>
      <c r="BL10" s="3688"/>
      <c r="BM10" s="3688"/>
      <c r="BN10" s="3688"/>
      <c r="BO10" s="3688"/>
      <c r="BP10" s="3688"/>
      <c r="BQ10" s="3688"/>
      <c r="BR10" s="3688"/>
      <c r="BS10" s="3688"/>
      <c r="BT10" s="3688"/>
      <c r="BU10" s="3688"/>
      <c r="BV10" s="3688"/>
      <c r="BW10" s="3688"/>
      <c r="BX10" s="3688"/>
      <c r="BY10" s="3688"/>
      <c r="BZ10" s="3688"/>
      <c r="CA10" s="3688"/>
      <c r="CB10" s="3688"/>
      <c r="CC10" s="3688"/>
      <c r="CD10" s="3688"/>
      <c r="CE10" s="3688"/>
      <c r="CF10" s="3689"/>
    </row>
    <row r="11" spans="1:84" ht="47.15" customHeight="1" thickTop="1" x14ac:dyDescent="0.3">
      <c r="A11" s="1120" t="s">
        <v>866</v>
      </c>
      <c r="B11" s="1509" t="s">
        <v>461</v>
      </c>
      <c r="C11" s="1685" t="s">
        <v>1608</v>
      </c>
      <c r="D11" s="1819" t="s">
        <v>565</v>
      </c>
      <c r="E11" s="2058" t="b">
        <f>IF(AND(E12=TRUE,E13=TRUE),TRUE,FALSE)</f>
        <v>0</v>
      </c>
      <c r="F11" s="197">
        <f>COUNTIF(E12:E13,TRUE)</f>
        <v>0</v>
      </c>
      <c r="G11" s="197">
        <f>COUNTIFS(E12:E13,TRUE,G12:G13,"Not Blank")</f>
        <v>0</v>
      </c>
      <c r="H11" s="454">
        <f>COUNTIFS(E12:E13,FALSE,G12:G13,"Not Blank")</f>
        <v>0</v>
      </c>
      <c r="I11" s="1801" t="str">
        <f xml:space="preserve">
IF(F11&gt;2,"Too Many Entries - Check Red Lines",
IF(G11&lt;F11,"Valid Entry required below - Check Amber Line/s",
IF(AND(E11=FALSE,G11=0,H11=0),"Nothing Entered below Yet",
IF(G11&lt;F11,"Valid Entry required below - Check Amber Line/s",
IF(AND(G11=0,H11&gt;0),"**Non-Valid Entry/ies below - Check Yellow Line/s",
IF(AND(G11&gt;0,H11&gt;0),"**Valid and Non-Valid Entries made below - Check Yellow Line/s",
IF(AND(E11=FALSE,F11&lt;2),"Not all requirements addressed below - Check Pink Line/s",
IF(AND(E11=FALSE,G11&lt;2,G11&gt;0,H11=0),"More entries to come",
IF(AND(E11,TRUE,G11=2,H11=0),"Valid Entries made below"
)))))))))</f>
        <v>Nothing Entered below Yet</v>
      </c>
      <c r="J11" s="1514">
        <f>COUNTIFS(E12:E14,TRUE,J12:J14,"Not Blank")</f>
        <v>0</v>
      </c>
      <c r="K11" s="1514">
        <f>COUNTIFS(E12:E14,FALSE,J12:J14,"Not Blank")</f>
        <v>0</v>
      </c>
      <c r="L11" s="1514" t="str">
        <f xml:space="preserve">
IF(J11&gt;2,"Too Many Entries - Check Red Lines",
IF(AND(E11=FALSE,J11=0,K11=0,E11=TRUE),"Nothing Required Below",
IF(J11&lt;F11,"Valid Entry required below - Check Amber Line/s",
IF(AND(E11=FALSE,J11=0,K11=0),"Nothing Entered below Yet",
IF(AND(J11=0,K11&gt;0),"**Non-Valid Entry/ies below - Check Yellow Line/s",
IF(AND(J11&gt;0,K11&gt;0),"**Valid and Non-Valid Entries made below - Check Yellow Line/s",
IF(AND(E11=FALSE,J11&lt;2),"Not all requirements addressed below - Check Pink Line/s",
IF(AND(E11=FALSE,J11&lt;2,J11&gt;0,K11=0),"More entries to come",
IF(AND(E11,TRUE,J11=2,K11=0),"Valid Entries made below"
)))))))))</f>
        <v>Nothing Entered below Yet</v>
      </c>
      <c r="M11" s="120"/>
      <c r="N11" s="4851" t="s">
        <v>3</v>
      </c>
      <c r="O11" s="637" t="b">
        <f>IF(OR(N11="Compliant",N11="FE with work-a-round",N11="Functionally Equivalent"),TRUE,FALSE)</f>
        <v>0</v>
      </c>
      <c r="P11" s="3546"/>
      <c r="Q11" s="4484" t="s">
        <v>3</v>
      </c>
      <c r="R11" s="1073"/>
      <c r="S11" s="2764"/>
      <c r="T11" s="2764"/>
      <c r="U11" s="4244"/>
      <c r="V11" s="4414" t="s">
        <v>3</v>
      </c>
      <c r="W11" s="1069"/>
      <c r="X11" s="4247"/>
      <c r="Y11" s="1395"/>
      <c r="Z11" s="4244"/>
      <c r="AL11" s="564"/>
      <c r="AM11" s="380"/>
      <c r="AN11" s="380"/>
      <c r="AO11" s="380"/>
      <c r="AP11" s="380"/>
      <c r="AQ11" s="380"/>
      <c r="AR11" s="380"/>
      <c r="AS11" s="380"/>
      <c r="AT11" s="380"/>
      <c r="AU11" s="380"/>
      <c r="AV11" s="380"/>
      <c r="AW11" s="380"/>
      <c r="AX11" s="380"/>
      <c r="AY11" s="380"/>
      <c r="AZ11" s="380"/>
      <c r="BA11" s="380"/>
      <c r="BB11" s="380"/>
      <c r="BC11" s="380"/>
      <c r="BD11" s="380"/>
      <c r="BE11" s="380"/>
      <c r="BF11" s="380"/>
      <c r="BG11" s="380"/>
      <c r="BH11" s="380"/>
      <c r="BI11" s="380"/>
      <c r="BJ11" s="380"/>
      <c r="BK11" s="380"/>
      <c r="BL11" s="380"/>
      <c r="BM11" s="380"/>
      <c r="BN11" s="380"/>
      <c r="BO11" s="380"/>
      <c r="BP11" s="380"/>
      <c r="BQ11" s="380"/>
      <c r="BR11" s="380"/>
      <c r="BS11" s="380"/>
      <c r="BT11" s="380"/>
      <c r="BU11" s="380"/>
      <c r="BV11" s="380"/>
      <c r="BW11" s="380"/>
      <c r="BX11" s="380"/>
      <c r="BY11" s="380"/>
      <c r="BZ11" s="380"/>
      <c r="CA11" s="380"/>
      <c r="CB11" s="380"/>
      <c r="CC11" s="380"/>
      <c r="CD11" s="380"/>
      <c r="CE11" s="380"/>
      <c r="CF11" s="565"/>
    </row>
    <row r="12" spans="1:84" ht="102" customHeight="1" x14ac:dyDescent="0.3">
      <c r="A12" s="1120" t="s">
        <v>982</v>
      </c>
      <c r="B12" s="1504"/>
      <c r="C12" s="1686" t="s">
        <v>937</v>
      </c>
      <c r="D12" s="1072" t="s">
        <v>3</v>
      </c>
      <c r="E12" s="94" t="b">
        <f>IF(D12="Compliant",TRUE,FALSE)</f>
        <v>0</v>
      </c>
      <c r="F12" s="72"/>
      <c r="G12" s="27" t="str">
        <f>IF(I12&lt;&gt;"", "Not Blank", "")</f>
        <v/>
      </c>
      <c r="H12" s="60"/>
      <c r="I12" s="121"/>
      <c r="J12" s="44" t="str">
        <f>IF(L12&lt;&gt;"", "Not Blank", "")</f>
        <v/>
      </c>
      <c r="K12" s="44"/>
      <c r="L12" s="44"/>
      <c r="M12" s="122"/>
      <c r="N12" s="4866"/>
      <c r="O12" s="637"/>
      <c r="P12" s="4242"/>
      <c r="Q12" s="4485"/>
      <c r="R12" s="1074"/>
      <c r="S12" s="361"/>
      <c r="T12" s="361"/>
      <c r="U12" s="4245"/>
      <c r="V12" s="4444"/>
      <c r="W12" s="1070"/>
      <c r="X12" s="4248"/>
      <c r="Y12" s="1403"/>
      <c r="Z12" s="4245"/>
      <c r="AL12" s="564"/>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565"/>
    </row>
    <row r="13" spans="1:84" ht="290.25" customHeight="1" thickBot="1" x14ac:dyDescent="0.35">
      <c r="A13" s="1120" t="s">
        <v>983</v>
      </c>
      <c r="B13" s="1505"/>
      <c r="C13" s="1687" t="s">
        <v>938</v>
      </c>
      <c r="D13" s="638" t="s">
        <v>3</v>
      </c>
      <c r="E13" s="94" t="b">
        <f>IF(D13="Compliant",TRUE,FALSE)</f>
        <v>0</v>
      </c>
      <c r="F13" s="72"/>
      <c r="G13" s="27" t="str">
        <f>IF(I13&lt;&gt;"", "Not Blank", "")</f>
        <v/>
      </c>
      <c r="H13" s="60"/>
      <c r="I13" s="123"/>
      <c r="J13" s="124" t="str">
        <f>IF(L13&lt;&gt;"", "Not Blank", "")</f>
        <v/>
      </c>
      <c r="K13" s="124"/>
      <c r="L13" s="124"/>
      <c r="M13" s="125"/>
      <c r="N13" s="4867"/>
      <c r="O13" s="637"/>
      <c r="P13" s="4243"/>
      <c r="Q13" s="4486"/>
      <c r="R13" s="1075"/>
      <c r="S13" s="258"/>
      <c r="T13" s="258"/>
      <c r="U13" s="4246"/>
      <c r="V13" s="4445"/>
      <c r="W13" s="1071"/>
      <c r="X13" s="4249"/>
      <c r="Y13" s="1446"/>
      <c r="Z13" s="4246"/>
      <c r="AL13" s="564"/>
      <c r="AM13" s="380"/>
      <c r="AN13" s="380"/>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0"/>
      <c r="BM13" s="380"/>
      <c r="BN13" s="380"/>
      <c r="BO13" s="380"/>
      <c r="BP13" s="380"/>
      <c r="BQ13" s="380"/>
      <c r="BR13" s="380"/>
      <c r="BS13" s="380"/>
      <c r="BT13" s="380"/>
      <c r="BU13" s="380"/>
      <c r="BV13" s="380"/>
      <c r="BW13" s="380"/>
      <c r="BX13" s="380"/>
      <c r="BY13" s="380"/>
      <c r="BZ13" s="380"/>
      <c r="CA13" s="380"/>
      <c r="CB13" s="380"/>
      <c r="CC13" s="380"/>
      <c r="CD13" s="380"/>
      <c r="CE13" s="380"/>
      <c r="CF13" s="565"/>
    </row>
    <row r="14" spans="1:84" ht="18" customHeight="1" thickTop="1" x14ac:dyDescent="0.3">
      <c r="A14" s="1119"/>
      <c r="B14" s="560"/>
      <c r="C14" s="560"/>
      <c r="D14" s="560"/>
    </row>
    <row r="15" spans="1:84" ht="18.5" x14ac:dyDescent="0.3">
      <c r="A15" s="4722" t="s">
        <v>1252</v>
      </c>
      <c r="B15" s="4722"/>
      <c r="C15" s="4722"/>
      <c r="D15" s="725"/>
      <c r="E15" s="725"/>
      <c r="F15" s="725"/>
      <c r="G15" s="725"/>
      <c r="H15" s="725"/>
      <c r="I15" s="725"/>
      <c r="J15" s="725"/>
      <c r="K15" s="725"/>
      <c r="L15" s="725"/>
      <c r="M15" s="725"/>
      <c r="N15" s="725"/>
      <c r="O15" s="725"/>
      <c r="P15" s="4722"/>
      <c r="Q15" s="4722"/>
      <c r="R15" s="4722"/>
      <c r="S15" s="4722"/>
      <c r="T15" s="4722"/>
      <c r="U15" s="4722"/>
      <c r="V15" s="4722"/>
      <c r="W15" s="4722"/>
      <c r="X15" s="4722"/>
      <c r="Y15" s="4722"/>
      <c r="Z15" s="4722"/>
    </row>
    <row r="16" spans="1:84" ht="15" thickBot="1" x14ac:dyDescent="0.35">
      <c r="A16" s="1119"/>
      <c r="B16" s="103"/>
    </row>
    <row r="17" spans="1:26" ht="30" thickTop="1" thickBot="1" x14ac:dyDescent="0.35">
      <c r="A17" s="1121" t="s">
        <v>1589</v>
      </c>
      <c r="B17" s="1857" t="s">
        <v>901</v>
      </c>
      <c r="C17" s="2057" t="s">
        <v>903</v>
      </c>
      <c r="D17" s="102"/>
      <c r="E17" s="132" t="b">
        <f>IF(D17="Applicable",TRUE,FALSE)</f>
        <v>0</v>
      </c>
      <c r="F17" s="133"/>
      <c r="G17" s="133"/>
      <c r="H17" s="133"/>
      <c r="I17" s="133"/>
      <c r="J17" s="133"/>
      <c r="K17" s="133"/>
      <c r="L17" s="133"/>
      <c r="M17" s="134"/>
      <c r="N17" s="102"/>
      <c r="O17" s="132" t="b">
        <f>IF(N17="Applicable",TRUE,FALSE)</f>
        <v>0</v>
      </c>
      <c r="P17" s="102"/>
      <c r="Q17" s="463"/>
      <c r="R17" s="132" t="b">
        <f>IF(Q17="Applicable",TRUE,FALSE)</f>
        <v>0</v>
      </c>
      <c r="S17" s="336"/>
      <c r="T17" s="336"/>
      <c r="U17" s="337"/>
      <c r="V17" s="102"/>
      <c r="W17" s="132" t="b">
        <f>IF(V17="Applicable",TRUE,FALSE)</f>
        <v>0</v>
      </c>
      <c r="X17" s="821"/>
      <c r="Y17" s="821"/>
      <c r="Z17" s="1553"/>
    </row>
    <row r="18" spans="1:26" s="3663" customFormat="1" ht="14" thickTop="1" thickBot="1" x14ac:dyDescent="0.35">
      <c r="A18" s="4250"/>
      <c r="B18" s="3636"/>
      <c r="C18" s="3636"/>
      <c r="D18" s="3636"/>
      <c r="E18" s="3636"/>
      <c r="F18" s="3636"/>
      <c r="G18" s="3636"/>
      <c r="H18" s="3636"/>
      <c r="I18" s="3636"/>
      <c r="J18" s="3636"/>
      <c r="K18" s="3636"/>
      <c r="L18" s="3636"/>
      <c r="M18" s="3636"/>
      <c r="N18" s="3636"/>
      <c r="O18" s="3636"/>
      <c r="P18" s="3639"/>
      <c r="Q18" s="3639"/>
      <c r="R18" s="3639"/>
      <c r="S18" s="3639"/>
      <c r="T18" s="3639"/>
      <c r="U18" s="3639"/>
      <c r="V18" s="3639"/>
      <c r="W18" s="3639"/>
      <c r="X18" s="3639"/>
      <c r="Y18" s="3639"/>
      <c r="Z18" s="4251"/>
    </row>
    <row r="19" spans="1:26" ht="30" thickTop="1" thickBot="1" x14ac:dyDescent="0.35">
      <c r="A19" s="2190"/>
      <c r="B19" s="2187" t="s">
        <v>824</v>
      </c>
      <c r="C19" s="2185" t="s">
        <v>475</v>
      </c>
      <c r="D19" s="2184" t="s">
        <v>1233</v>
      </c>
      <c r="E19" s="35" t="b">
        <f>E26</f>
        <v>0</v>
      </c>
      <c r="F19" s="111"/>
      <c r="G19" s="323"/>
      <c r="H19" s="323"/>
      <c r="I19" s="1783"/>
      <c r="J19" s="1783"/>
      <c r="K19" s="1783"/>
      <c r="L19" s="1783"/>
      <c r="M19" s="4255"/>
      <c r="N19" s="1499" t="s">
        <v>1233</v>
      </c>
      <c r="O19" s="35" t="b">
        <f>O26</f>
        <v>0</v>
      </c>
      <c r="P19" s="102"/>
      <c r="Q19" s="1499" t="s">
        <v>1233</v>
      </c>
      <c r="R19" s="138" t="b">
        <f>R26</f>
        <v>0</v>
      </c>
      <c r="S19" s="186"/>
      <c r="T19" s="186"/>
      <c r="U19" s="459"/>
      <c r="V19" s="1489" t="s">
        <v>1233</v>
      </c>
      <c r="W19" s="585" t="b">
        <f>W26</f>
        <v>0</v>
      </c>
      <c r="X19" s="482"/>
      <c r="Y19" s="482"/>
      <c r="Z19" s="4252"/>
    </row>
    <row r="20" spans="1:26" ht="30" thickTop="1" thickBot="1" x14ac:dyDescent="0.35">
      <c r="A20" s="2191" t="s">
        <v>403</v>
      </c>
      <c r="B20" s="2187" t="s">
        <v>825</v>
      </c>
      <c r="C20" s="2026" t="s">
        <v>474</v>
      </c>
      <c r="D20" s="2010" t="s">
        <v>1233</v>
      </c>
      <c r="E20" s="35" t="b">
        <f>E54</f>
        <v>0</v>
      </c>
      <c r="F20" s="44"/>
      <c r="G20" s="324"/>
      <c r="H20" s="333"/>
      <c r="I20" s="3627"/>
      <c r="J20" s="1783"/>
      <c r="K20" s="1783"/>
      <c r="L20" s="1783"/>
      <c r="M20" s="4255"/>
      <c r="N20" s="1499" t="s">
        <v>1233</v>
      </c>
      <c r="O20" s="35" t="b">
        <f>O54</f>
        <v>0</v>
      </c>
      <c r="P20" s="102"/>
      <c r="Q20" s="1645" t="s">
        <v>1233</v>
      </c>
      <c r="R20" s="67" t="b">
        <f>R54</f>
        <v>0</v>
      </c>
      <c r="S20" s="261"/>
      <c r="T20" s="261"/>
      <c r="U20" s="589"/>
      <c r="V20" s="1490" t="s">
        <v>1233</v>
      </c>
      <c r="W20" s="294" t="b">
        <f>W54</f>
        <v>0</v>
      </c>
      <c r="X20" s="3184"/>
      <c r="Y20" s="3184"/>
      <c r="Z20" s="1409"/>
    </row>
    <row r="21" spans="1:26" ht="30" thickTop="1" thickBot="1" x14ac:dyDescent="0.35">
      <c r="A21" s="2190"/>
      <c r="B21" s="2187" t="s">
        <v>826</v>
      </c>
      <c r="C21" s="2026" t="s">
        <v>822</v>
      </c>
      <c r="D21" s="1925" t="s">
        <v>1233</v>
      </c>
      <c r="E21" s="400" t="b">
        <f>E63</f>
        <v>0</v>
      </c>
      <c r="F21" s="124"/>
      <c r="G21" s="124"/>
      <c r="H21" s="124"/>
      <c r="I21" s="160"/>
      <c r="J21" s="160"/>
      <c r="K21" s="160"/>
      <c r="L21" s="160"/>
      <c r="M21" s="188"/>
      <c r="N21" s="2182" t="s">
        <v>1233</v>
      </c>
      <c r="O21" s="36" t="b">
        <f>O62</f>
        <v>0</v>
      </c>
      <c r="P21" s="3609"/>
      <c r="Q21" s="1499" t="s">
        <v>1233</v>
      </c>
      <c r="R21" s="67" t="b">
        <f>R62</f>
        <v>0</v>
      </c>
      <c r="S21" s="261"/>
      <c r="T21" s="261"/>
      <c r="U21" s="589"/>
      <c r="V21" s="1490" t="s">
        <v>1233</v>
      </c>
      <c r="W21" s="294" t="b">
        <f>W62</f>
        <v>0</v>
      </c>
      <c r="X21" s="3184"/>
      <c r="Y21" s="3184"/>
      <c r="Z21" s="1410"/>
    </row>
    <row r="22" spans="1:26" ht="30" thickTop="1" thickBot="1" x14ac:dyDescent="0.35">
      <c r="A22" s="2190"/>
      <c r="B22" s="2188" t="s">
        <v>827</v>
      </c>
      <c r="C22" s="2189" t="s">
        <v>823</v>
      </c>
      <c r="D22" s="2181" t="s">
        <v>1233</v>
      </c>
      <c r="E22" s="245" t="b">
        <f>E76</f>
        <v>0</v>
      </c>
      <c r="F22" s="160"/>
      <c r="G22" s="160"/>
      <c r="H22" s="160"/>
      <c r="I22" s="160"/>
      <c r="J22" s="160"/>
      <c r="K22" s="160"/>
      <c r="L22" s="160"/>
      <c r="M22" s="188"/>
      <c r="N22" s="2182" t="s">
        <v>1233</v>
      </c>
      <c r="O22" s="36" t="b">
        <f>O76</f>
        <v>0</v>
      </c>
      <c r="P22" s="3609"/>
      <c r="Q22" s="2182" t="s">
        <v>1233</v>
      </c>
      <c r="R22" s="161" t="b">
        <f>R76</f>
        <v>0</v>
      </c>
      <c r="S22" s="1555"/>
      <c r="T22" s="1555"/>
      <c r="U22" s="1164"/>
      <c r="V22" s="1491" t="s">
        <v>1233</v>
      </c>
      <c r="W22" s="295" t="b">
        <f>W76</f>
        <v>0</v>
      </c>
      <c r="X22" s="4253"/>
      <c r="Y22" s="4253"/>
      <c r="Z22" s="4254"/>
    </row>
    <row r="23" spans="1:26" s="542" customFormat="1" ht="15" thickTop="1" x14ac:dyDescent="0.3">
      <c r="A23" s="1123"/>
      <c r="C23" s="481"/>
      <c r="E23" s="497"/>
      <c r="F23" s="497"/>
      <c r="G23" s="481"/>
      <c r="H23" s="481"/>
      <c r="I23" s="543"/>
      <c r="J23" s="543"/>
      <c r="K23" s="543"/>
      <c r="L23" s="543"/>
      <c r="M23" s="543"/>
      <c r="N23" s="481"/>
      <c r="O23" s="481"/>
      <c r="R23" s="543"/>
      <c r="S23" s="543"/>
      <c r="T23" s="543"/>
      <c r="U23" s="543"/>
      <c r="V23" s="543"/>
      <c r="W23" s="543"/>
      <c r="X23" s="543"/>
      <c r="Y23" s="543"/>
      <c r="Z23" s="543"/>
    </row>
    <row r="24" spans="1:26" s="561" customFormat="1" ht="18.5" x14ac:dyDescent="0.3">
      <c r="A24" s="4594" t="s">
        <v>1135</v>
      </c>
      <c r="B24" s="4595"/>
      <c r="C24" s="4595"/>
      <c r="D24" s="4595"/>
      <c r="E24" s="4595"/>
      <c r="F24" s="4595"/>
      <c r="G24" s="4595"/>
      <c r="H24" s="4595"/>
      <c r="I24" s="4595"/>
      <c r="J24" s="4595"/>
      <c r="K24" s="4595"/>
      <c r="L24" s="4595"/>
      <c r="M24" s="4595"/>
      <c r="N24" s="4595"/>
      <c r="O24" s="474"/>
      <c r="P24" s="226"/>
      <c r="Q24" s="226"/>
      <c r="R24" s="226"/>
      <c r="S24" s="227"/>
      <c r="T24" s="228"/>
      <c r="U24" s="228"/>
      <c r="V24" s="474"/>
      <c r="W24" s="474"/>
      <c r="X24" s="226"/>
      <c r="Y24" s="227"/>
      <c r="Z24" s="228"/>
    </row>
    <row r="25" spans="1:26" s="545" customFormat="1" ht="15" thickBot="1" x14ac:dyDescent="0.35">
      <c r="A25" s="1124"/>
      <c r="B25" s="544"/>
      <c r="C25" s="544"/>
      <c r="D25" s="544"/>
      <c r="E25" s="544"/>
      <c r="F25" s="544"/>
      <c r="G25" s="544"/>
      <c r="H25" s="544"/>
      <c r="I25" s="544"/>
      <c r="J25" s="544"/>
      <c r="K25" s="544"/>
      <c r="L25" s="566"/>
      <c r="M25" s="544"/>
      <c r="N25" s="544"/>
      <c r="O25" s="544"/>
      <c r="P25" s="544"/>
      <c r="Q25" s="544"/>
      <c r="R25" s="544"/>
      <c r="S25" s="544"/>
      <c r="T25" s="544"/>
      <c r="U25" s="544"/>
    </row>
    <row r="26" spans="1:26" s="562" customFormat="1" ht="44.5" thickTop="1" thickBot="1" x14ac:dyDescent="0.35">
      <c r="A26" s="1125" t="s">
        <v>987</v>
      </c>
      <c r="B26" s="1509" t="s">
        <v>1587</v>
      </c>
      <c r="C26" s="2009" t="s">
        <v>940</v>
      </c>
      <c r="D26" s="2056" t="s">
        <v>1588</v>
      </c>
      <c r="E26" s="2011" t="b">
        <f>IF(AND(E30=TRUE,E39=TRUE),TRUE,FALSE)</f>
        <v>0</v>
      </c>
      <c r="F26" s="2012">
        <f>SUM(F27,F30,F39,F43,F46)</f>
        <v>0</v>
      </c>
      <c r="G26" s="2012">
        <f>SUM(G27,G30,G39,G43,G46)</f>
        <v>0</v>
      </c>
      <c r="H26" s="2012">
        <f>SUM(H27,H30,H39,H43,H46)</f>
        <v>0</v>
      </c>
      <c r="I26" s="2012" t="str">
        <f xml:space="preserve">
IF(F26&gt;12,"Too Many Entries - Check Red Lines",
IF(G26&lt;F26,"Valid Entry required below - Check Amber Line/s",
IF(AND(E26=FALSE,G26=0,H26=0),"Nothing Entered below Yet",
IF(G26&lt;F26,"Valid Entry required below - Check Amber Line/s",
IF(AND(G26=0,H26&gt;0),"**Non-Valid Entry/ies below - Check Yellow Line/s",
IF(AND(G26&gt;0,H26&gt;0),"**Valid and Non-Valid Entries made below - Check Yellow Line/s",
IF(AND(E26=FALSE,F26&lt;120),"Not all requirements addressed below - Check Pink Line/s",
IF(AND(E26=FALSE,G26&lt;12,G26&gt;0,H26=0),"More entries to come",
IF(AND(E26,TRUE,G26=12,H26=0),"Valid Entries made below"
)))))))))</f>
        <v>Nothing Entered below Yet</v>
      </c>
      <c r="J26" s="2009">
        <f>SUM(J27,J30,J39,J43,J46)</f>
        <v>0</v>
      </c>
      <c r="K26" s="2009">
        <f>SUM(K27,K30,K39,K43,K46)</f>
        <v>0</v>
      </c>
      <c r="L26" s="2009" t="str">
        <f xml:space="preserve">
IF(J26&gt;12,"Too Many Entries - Check Red Lines",
IF(AND(E26=FALSE,J26=0,K26=0,E26=TRUE),"Nothing Required Below",
IF(J26&lt;F26,"Valid Entry required below - Check Amber Line/s",
IF(AND(E26=FALSE,J26=0,K26=0),"Nothing Entered below Yet",
IF(AND(J26=0,K26&gt;0),"**Non-Valid Entry/ies below - Check Yellow Line/s",
IF(AND(J26&gt;0,K26&gt;0),"**Valid and Non-Valid Entries made below - Check Yellow Line/s",
IF(AND(E26=FALSE,J26&lt;12),"Not all requirements addressed below - Check Pink Line/s",
IF(AND(E26=FALSE,J26&lt;12,J26&gt;0,K26=0),"More entries to come",
IF(AND(E26,TRUE,J26=12,K26=0),"Valid Entries made below"
)))))))))</f>
        <v>Nothing Entered below Yet</v>
      </c>
      <c r="M26" s="3621"/>
      <c r="N26" s="376" t="s">
        <v>565</v>
      </c>
      <c r="O26" s="473" t="b">
        <f>IF(AND(O27=TRUE,O30=TRUE,O39=TRUE,O43=TRUE,O46=TRUE),TRUE,FALSE)</f>
        <v>0</v>
      </c>
      <c r="P26" s="2693"/>
      <c r="Q26" s="698" t="s">
        <v>565</v>
      </c>
      <c r="R26" s="735" t="b">
        <f>IF(AND(R28=TRUE,R31=TRUE,R38=TRUE),TRUE,FALSE)</f>
        <v>0</v>
      </c>
      <c r="S26" s="2693"/>
      <c r="T26" s="2693"/>
      <c r="U26" s="1552"/>
      <c r="V26" s="698" t="s">
        <v>565</v>
      </c>
      <c r="W26" s="857" t="b">
        <f>IF(AND(W27=TRUE,W30=TRUE,W39=TRUE,W43=TRUE,W46=TRUE),TRUE,FALSE)</f>
        <v>0</v>
      </c>
      <c r="X26" s="2634"/>
      <c r="Y26" s="4256"/>
      <c r="Z26" s="4257"/>
    </row>
    <row r="27" spans="1:26" s="546" customFormat="1" ht="44" thickTop="1" x14ac:dyDescent="0.3">
      <c r="A27" s="1121" t="s">
        <v>708</v>
      </c>
      <c r="B27" s="1910" t="s">
        <v>1577</v>
      </c>
      <c r="C27" s="2148" t="s">
        <v>1593</v>
      </c>
      <c r="D27" s="2149" t="s">
        <v>565</v>
      </c>
      <c r="E27" s="1929" t="b">
        <f>IF(AND(E28=TRUE,E29=TRUE),TRUE,FALSE)</f>
        <v>0</v>
      </c>
      <c r="F27" s="1514">
        <f>COUNTIF(E28:E29,TRUE)</f>
        <v>0</v>
      </c>
      <c r="G27" s="1514">
        <f>COUNTIFS(E28:E29,TRUE,G28:G29,"Not Blank")</f>
        <v>0</v>
      </c>
      <c r="H27" s="1514">
        <f>COUNTIFS(E28:E29,FALSE,G28:G29,"Not Blank")</f>
        <v>0</v>
      </c>
      <c r="I27" s="2155" t="str">
        <f xml:space="preserve">
IF(F27&gt;2,"Too Many Entries - Check Red Lines",
IF(G27&lt;F27,"Valid Entry required below - Check Amber Line/s",
IF(AND(E27=FALSE,G27=0,H27=0),"Nothing Entered below Yet",
IF(G27&lt;F27,"Valid Entry required below - Check Amber Line/s",
IF(AND(G27=0,H27&gt;0),"**Non-Valid Entry/ies below - Check Yellow Line/s",
IF(AND(G27&gt;0,H27&gt;0),"**Valid and Non-Valid Entries made below - Check Yellow Line/s",
IF(AND(E27=FALSE,F27&lt;2),"Not all requirements addressed below - Check Pink Line/s",
IF(AND(E27=FALSE,G27&lt;2,G27&gt;0,H27=0),"More entries to come",
IF(AND(E27,TRUE,G27=2,H27=0),"Valid Entries made below"
)))))))))</f>
        <v>Nothing Entered below Yet</v>
      </c>
      <c r="J27" s="2155">
        <f>COUNTIFS(E28:E30,TRUE,J28:J30,"Not Blank")</f>
        <v>0</v>
      </c>
      <c r="K27" s="2155">
        <f>COUNTIFS(E28:E30,FALSE,J28:J30,"Not Blank")</f>
        <v>0</v>
      </c>
      <c r="L27" s="2148" t="str">
        <f xml:space="preserve">
IF(J27&gt;2,"Too Many Entries - Check Red Lines",
IF(AND(E27=FALSE,J27=0,K27=0,E27=TRUE),"Nothing Required Below",
IF(J27&lt;F27,"Valid Entry required below - Check Amber Line/s",
IF(AND(E27=FALSE,J27=0,K27=0),"Nothing Entered below Yet",
IF(AND(J27=0,K27&gt;0),"**Non-Valid Entry/ies below - Check Yellow Line/s",
IF(AND(J27&gt;0,K27&gt;0),"**Valid and Non-Valid Entries made below - Check Yellow Line/s",
IF(AND(E27=FALSE,J27&lt;2),"Not all requirements addressed below - Check Pink Line/s",
IF(AND(E27=FALSE,J27&lt;2,J27&gt;0,K27=0),"More entries to come",
IF(AND(E27,TRUE,J27=2,K27=0),"Valid Entries made below"
)))))))))</f>
        <v>Nothing Entered below Yet</v>
      </c>
      <c r="M27" s="2176"/>
      <c r="N27" s="4414" t="s">
        <v>3</v>
      </c>
      <c r="O27" s="4491" t="b">
        <f t="shared" ref="O27:O50" si="0">IF(OR(N27="Compliant",N27="FE with work-a-round",N27="Functionally Equivalent"),TRUE,FALSE)</f>
        <v>0</v>
      </c>
      <c r="P27" s="3600"/>
      <c r="Q27" s="698" t="s">
        <v>565</v>
      </c>
      <c r="R27" s="840" t="b">
        <f>IF(AND(R29=TRUE,R32=TRUE,R39=TRUE),TRUE,FALSE)</f>
        <v>0</v>
      </c>
      <c r="S27" s="186"/>
      <c r="T27" s="186"/>
      <c r="U27" s="306"/>
      <c r="V27" s="4414" t="s">
        <v>3</v>
      </c>
      <c r="W27" s="4849" t="b">
        <f>IF(OR(V27="Compliant",V27="FE with work-a-round",V27="Functionally Equivalent",V27="Not Required/Applicable"),TRUE,FALSE)</f>
        <v>0</v>
      </c>
      <c r="X27" s="186"/>
      <c r="Y27" s="4082"/>
      <c r="Z27" s="4083"/>
    </row>
    <row r="28" spans="1:26" s="233" customFormat="1" ht="58" x14ac:dyDescent="0.3">
      <c r="A28" s="1120" t="s">
        <v>945</v>
      </c>
      <c r="B28" s="1504"/>
      <c r="C28" s="1806" t="s">
        <v>1594</v>
      </c>
      <c r="D28" s="1013" t="s">
        <v>3</v>
      </c>
      <c r="E28" s="67" t="b">
        <f>IF(D28="Compliant",TRUE,FALSE)</f>
        <v>0</v>
      </c>
      <c r="F28" s="44"/>
      <c r="G28" s="44" t="str">
        <f>IF(I28&lt;&gt;"", "Not Blank", "")</f>
        <v/>
      </c>
      <c r="H28" s="44"/>
      <c r="I28" s="42"/>
      <c r="J28" s="42" t="str">
        <f>IF(L28&lt;&gt;"", "Not Blank", "")</f>
        <v/>
      </c>
      <c r="K28" s="42"/>
      <c r="L28" s="144"/>
      <c r="M28" s="128"/>
      <c r="N28" s="4415"/>
      <c r="O28" s="4492"/>
      <c r="P28" s="2584"/>
      <c r="Q28" s="2180" t="s">
        <v>3</v>
      </c>
      <c r="R28" s="839" t="b">
        <f>IF(OR(Q28="Compliant",Q28="FE with work-a-round",Q28="Functionally Equivalent"),TRUE,FALSE)</f>
        <v>0</v>
      </c>
      <c r="S28" s="261"/>
      <c r="T28" s="261"/>
      <c r="U28" s="575"/>
      <c r="V28" s="4415"/>
      <c r="W28" s="4793"/>
      <c r="X28" s="261"/>
      <c r="Y28" s="261"/>
      <c r="Z28" s="575"/>
    </row>
    <row r="29" spans="1:26" s="233" customFormat="1" ht="73" thickBot="1" x14ac:dyDescent="0.35">
      <c r="A29" s="1118" t="s">
        <v>910</v>
      </c>
      <c r="B29" s="1504"/>
      <c r="C29" s="1800" t="s">
        <v>911</v>
      </c>
      <c r="D29" s="230" t="s">
        <v>3</v>
      </c>
      <c r="E29" s="161" t="b">
        <f>IF(D29="Compliant",TRUE,FALSE)</f>
        <v>0</v>
      </c>
      <c r="F29" s="124"/>
      <c r="G29" s="124" t="str">
        <f>IF(I29&lt;&gt;"", "Not Blank", "")</f>
        <v/>
      </c>
      <c r="H29" s="124"/>
      <c r="I29" s="124"/>
      <c r="J29" s="124" t="str">
        <f>IF(L29&lt;&gt;"", "Not Blank", "")</f>
        <v/>
      </c>
      <c r="K29" s="124"/>
      <c r="L29" s="246"/>
      <c r="M29" s="125"/>
      <c r="N29" s="4416"/>
      <c r="O29" s="4493"/>
      <c r="P29" s="1164"/>
      <c r="Q29" s="691" t="s">
        <v>3</v>
      </c>
      <c r="R29" s="660" t="b">
        <f>IF(OR(Q29="Compliant",Q29="FE with work-a-round",Q29="Functionally Equivalent"),TRUE,FALSE)</f>
        <v>0</v>
      </c>
      <c r="S29" s="1555"/>
      <c r="T29" s="1555"/>
      <c r="U29" s="1556"/>
      <c r="V29" s="4416"/>
      <c r="W29" s="4850"/>
      <c r="X29" s="718"/>
      <c r="Y29" s="718"/>
      <c r="Z29" s="1758"/>
    </row>
    <row r="30" spans="1:26" s="562" customFormat="1" ht="30" thickTop="1" thickBot="1" x14ac:dyDescent="0.35">
      <c r="A30" s="1125" t="s">
        <v>987</v>
      </c>
      <c r="B30" s="1910" t="s">
        <v>1574</v>
      </c>
      <c r="C30" s="2052" t="s">
        <v>1570</v>
      </c>
      <c r="D30" s="2054" t="s">
        <v>565</v>
      </c>
      <c r="E30" s="2045" t="b">
        <f>IF(OR(E31=TRUE,E32=TRUE,E33=TRUE,E34=TRUE,E35=TRUE,E36=TRUE),TRUE,FALSE)</f>
        <v>0</v>
      </c>
      <c r="F30" s="2055">
        <f>COUNTIFS(E31:E36,TRUE)</f>
        <v>0</v>
      </c>
      <c r="G30" s="2055">
        <f>COUNTIFS(E31:E35,TRUE,G31:G35,"Not Blank")+COUNTIFS(E36,TRUE,G36,2)</f>
        <v>0</v>
      </c>
      <c r="H30" s="2055">
        <f>COUNTIFS(E31:E35,FALSE,G31:G35,"Not Blank")+COUNTIFS(E36,FALSE,G36,"&gt;0")</f>
        <v>0</v>
      </c>
      <c r="I30" s="2152" t="str">
        <f xml:space="preserve">
IF(F30&gt;1,"Too Many Entries - Check Red Lines",
IF(G30&lt;F30,"Valid Entry required below - Check Amber Line/s",
IF(AND(E30=FALSE,G30=0,H30=0),"Nothing Entered below Yet",
IF(G30&lt;F30,"Valid Entry required below - Check Amber Line/s",
IF(AND(G30=0,H30&gt;0),"**Non-Valid Entry/ies below - Check Yellow Line/s",
IF(AND(G30&gt;0,H30&gt;0),"**Valid and Non-Valid Entries made below - Check Yellow Line/s",
IF(AND(E30=FALSE,F30&lt;1),"Not all requirements addressed below - Check Pink Line/s",
IF(AND(E30=FALSE,G30&lt;1,G30&gt;0,H30=0),"More entries to come",
IF(AND(E30,TRUE,G30=1,H30=0),"Valid Entries made below"
)))))))))</f>
        <v>Nothing Entered below Yet</v>
      </c>
      <c r="J30" s="2153">
        <f>COUNTIFS(E31:E35,TRUE,J31:J35,"Not Blank")+COUNTIFS(E36,TRUE,J36,2)</f>
        <v>0</v>
      </c>
      <c r="K30" s="2153">
        <f>COUNTIFS(E31:E35,FALSE,J31:J35,"Not Blank")+COUNTIFS(E36,FALSE,K36,"&gt;0")</f>
        <v>0</v>
      </c>
      <c r="L30" s="2153" t="str">
        <f xml:space="preserve">
IF(J30&gt;1,"Too Many Entries - Check Red Lines",
IF(AND(E30=FALSE,J30=0,K30=0,E30=TRUE),"Nothing Required Below",
IF(J30&lt;F30,"Valid Entry required below - Check Amber Line/s",
IF(AND(E30=FALSE,J30=0,K30=0),"Nothing Entered below Yet",
IF(AND(J30=0,K30&gt;0),"**Non-Valid Entry/ies below - Check Yellow Line/s",
IF(AND(J30&gt;0,K30&gt;0),"**Valid and Non-Valid Entries made below - Check Yellow Line/s",
IF(AND(E30=FALSE,J30&lt;1),"Not all requirements addressed below - Check Pink Line/s",
IF(AND(E30=FALSE,J30&lt;1,J30&gt;0,K30=0),"More entries to come",
IF(AND(E30,TRUE,J30=1,K30=0),"Valid Entries made below"
)))))))))</f>
        <v>Nothing Entered below Yet</v>
      </c>
      <c r="M30" s="2154"/>
      <c r="N30" s="4444" t="s">
        <v>3</v>
      </c>
      <c r="O30" s="1019" t="b">
        <f t="shared" si="0"/>
        <v>0</v>
      </c>
      <c r="P30" s="2693"/>
      <c r="Q30" s="1939" t="s">
        <v>565</v>
      </c>
      <c r="R30" s="840" t="b">
        <f>IF(AND(R32=TRUE,R35=TRUE,R42=TRUE),TRUE,FALSE)</f>
        <v>0</v>
      </c>
      <c r="S30" s="406"/>
      <c r="T30" s="406"/>
      <c r="U30" s="1398"/>
      <c r="V30" s="4414" t="s">
        <v>3</v>
      </c>
      <c r="W30" s="4859" t="b">
        <f>IF(OR(V30="Compliant",V30="FE with work-a-round",V30="Functionally Equivalent",V30="Not Required/Applicable"),TRUE,FALSE)</f>
        <v>0</v>
      </c>
      <c r="X30" s="1433"/>
      <c r="Y30" s="4258"/>
      <c r="Z30" s="4259"/>
    </row>
    <row r="31" spans="1:26" ht="44" thickTop="1" x14ac:dyDescent="0.3">
      <c r="A31" s="1126"/>
      <c r="B31" s="2050"/>
      <c r="C31" s="2047" t="s">
        <v>904</v>
      </c>
      <c r="D31" s="319" t="s">
        <v>3</v>
      </c>
      <c r="E31" s="59" t="b">
        <f>IF(D31="Compliant",TRUE,FALSE)</f>
        <v>0</v>
      </c>
      <c r="F31" s="27"/>
      <c r="G31" s="27" t="str">
        <f>IF(I31&lt;&gt;"", "Not Blank", "")</f>
        <v/>
      </c>
      <c r="H31" s="27"/>
      <c r="I31" s="2150"/>
      <c r="J31" s="301" t="str">
        <f>IF(L31&lt;&gt;"", "Not Blank", "")</f>
        <v/>
      </c>
      <c r="K31" s="301"/>
      <c r="L31" s="329"/>
      <c r="M31" s="2151"/>
      <c r="N31" s="4444"/>
      <c r="O31" s="741" t="b">
        <f t="shared" si="0"/>
        <v>0</v>
      </c>
      <c r="P31" s="2389"/>
      <c r="Q31" s="863" t="s">
        <v>3</v>
      </c>
      <c r="R31" s="420" t="b">
        <f>IF(OR(Q31="Compliant",Q31="FE with work-a-round",Q31="Functionally Equivalent"),TRUE,FALSE)</f>
        <v>0</v>
      </c>
      <c r="S31" s="471"/>
      <c r="T31" s="471"/>
      <c r="U31" s="1406"/>
      <c r="V31" s="4415"/>
      <c r="W31" s="4860"/>
      <c r="X31" s="1431"/>
      <c r="Y31" s="1431"/>
      <c r="Z31" s="1432"/>
    </row>
    <row r="32" spans="1:26" ht="29" x14ac:dyDescent="0.3">
      <c r="A32" s="1126"/>
      <c r="B32" s="2050"/>
      <c r="C32" s="2047" t="s">
        <v>905</v>
      </c>
      <c r="D32" s="319" t="s">
        <v>3</v>
      </c>
      <c r="E32" s="59" t="b">
        <f>IF(D32="Compliant",TRUE,FALSE)</f>
        <v>0</v>
      </c>
      <c r="F32" s="27"/>
      <c r="G32" s="27" t="str">
        <f>IF(I32&lt;&gt;"", "Not Blank", "")</f>
        <v/>
      </c>
      <c r="H32" s="27"/>
      <c r="I32" s="1080"/>
      <c r="J32" s="281" t="str">
        <f>IF(L32&lt;&gt;"", "Not Blank", "")</f>
        <v/>
      </c>
      <c r="K32" s="281"/>
      <c r="L32" s="287"/>
      <c r="M32" s="2028"/>
      <c r="N32" s="4444"/>
      <c r="O32" s="741" t="b">
        <f t="shared" si="0"/>
        <v>0</v>
      </c>
      <c r="P32" s="1218"/>
      <c r="Q32" s="690" t="s">
        <v>3</v>
      </c>
      <c r="R32" s="420" t="b">
        <f>IF(OR(Q32="Compliant",Q32="FE with work-a-round",Q32="Functionally Equivalent"),TRUE,FALSE)</f>
        <v>0</v>
      </c>
      <c r="S32" s="471"/>
      <c r="T32" s="471"/>
      <c r="U32" s="1406"/>
      <c r="V32" s="4415"/>
      <c r="W32" s="4860"/>
      <c r="X32" s="1431"/>
      <c r="Y32" s="1431"/>
      <c r="Z32" s="1432"/>
    </row>
    <row r="33" spans="1:26" ht="29" x14ac:dyDescent="0.3">
      <c r="A33" s="1126"/>
      <c r="B33" s="2050"/>
      <c r="C33" s="2047" t="s">
        <v>906</v>
      </c>
      <c r="D33" s="319" t="s">
        <v>3</v>
      </c>
      <c r="E33" s="59" t="b">
        <f>IF(D33="Compliant",TRUE,FALSE)</f>
        <v>0</v>
      </c>
      <c r="F33" s="27"/>
      <c r="G33" s="27" t="str">
        <f>IF(I33&lt;&gt;"", "Not Blank", "")</f>
        <v/>
      </c>
      <c r="H33" s="27"/>
      <c r="I33" s="1080"/>
      <c r="J33" s="281" t="str">
        <f>IF(L33&lt;&gt;"", "Not Blank", "")</f>
        <v/>
      </c>
      <c r="K33" s="281"/>
      <c r="L33" s="287"/>
      <c r="M33" s="2028"/>
      <c r="N33" s="4444"/>
      <c r="O33" s="741" t="b">
        <f t="shared" si="0"/>
        <v>0</v>
      </c>
      <c r="P33" s="1218"/>
      <c r="Q33" s="690" t="s">
        <v>3</v>
      </c>
      <c r="R33" s="420" t="b">
        <f>IF(OR(Q33="Compliant",Q33="FE with work-a-round",Q33="Functionally Equivalent"),TRUE,FALSE)</f>
        <v>0</v>
      </c>
      <c r="S33" s="471"/>
      <c r="T33" s="471"/>
      <c r="U33" s="1406"/>
      <c r="V33" s="4415"/>
      <c r="W33" s="4860"/>
      <c r="X33" s="1431"/>
      <c r="Y33" s="1431"/>
      <c r="Z33" s="1432"/>
    </row>
    <row r="34" spans="1:26" ht="43.5" x14ac:dyDescent="0.3">
      <c r="A34" s="1126"/>
      <c r="B34" s="2050"/>
      <c r="C34" s="2047" t="s">
        <v>907</v>
      </c>
      <c r="D34" s="319" t="s">
        <v>3</v>
      </c>
      <c r="E34" s="59" t="b">
        <f>IF(D34="Compliant",TRUE,FALSE)</f>
        <v>0</v>
      </c>
      <c r="F34" s="27"/>
      <c r="G34" s="27" t="str">
        <f>IF(I34&lt;&gt;"", "Not Blank", "")</f>
        <v/>
      </c>
      <c r="H34" s="27"/>
      <c r="I34" s="1080"/>
      <c r="J34" s="281" t="str">
        <f>IF(L34&lt;&gt;"", "Not Blank", "")</f>
        <v/>
      </c>
      <c r="K34" s="281"/>
      <c r="L34" s="287"/>
      <c r="M34" s="2028"/>
      <c r="N34" s="4444"/>
      <c r="O34" s="741" t="b">
        <f t="shared" si="0"/>
        <v>0</v>
      </c>
      <c r="P34" s="1218"/>
      <c r="Q34" s="690" t="s">
        <v>3</v>
      </c>
      <c r="R34" s="420" t="b">
        <f>IF(OR(Q34="Compliant",Q34="FE with work-a-round",Q34="Functionally Equivalent"),TRUE,FALSE)</f>
        <v>0</v>
      </c>
      <c r="S34" s="471"/>
      <c r="T34" s="471"/>
      <c r="U34" s="1406"/>
      <c r="V34" s="4415"/>
      <c r="W34" s="4860"/>
      <c r="X34" s="1431"/>
      <c r="Y34" s="1431"/>
      <c r="Z34" s="1432"/>
    </row>
    <row r="35" spans="1:26" ht="87.5" thickBot="1" x14ac:dyDescent="0.35">
      <c r="A35" s="1126"/>
      <c r="B35" s="2050"/>
      <c r="C35" s="2053" t="s">
        <v>908</v>
      </c>
      <c r="D35" s="230" t="s">
        <v>3</v>
      </c>
      <c r="E35" s="96" t="b">
        <f>IF(D35="Compliant",TRUE,FALSE)</f>
        <v>0</v>
      </c>
      <c r="F35" s="83"/>
      <c r="G35" s="83" t="str">
        <f>IF(I35&lt;&gt;"", "Not Blank", "")</f>
        <v/>
      </c>
      <c r="H35" s="83"/>
      <c r="I35" s="2031"/>
      <c r="J35" s="296" t="str">
        <f>IF(L35&lt;&gt;"", "Not Blank", "")</f>
        <v/>
      </c>
      <c r="K35" s="296"/>
      <c r="L35" s="596"/>
      <c r="M35" s="2029"/>
      <c r="N35" s="4444"/>
      <c r="O35" s="741" t="b">
        <f t="shared" si="0"/>
        <v>0</v>
      </c>
      <c r="P35" s="1225"/>
      <c r="Q35" s="691" t="s">
        <v>3</v>
      </c>
      <c r="R35" s="422" t="b">
        <f>IF(OR(Q35="Compliant",Q35="FE with work-a-round",Q35="Functionally Equivalent"),TRUE,FALSE)</f>
        <v>0</v>
      </c>
      <c r="S35" s="1224"/>
      <c r="T35" s="1224"/>
      <c r="U35" s="1411"/>
      <c r="V35" s="4415"/>
      <c r="W35" s="4860"/>
      <c r="X35" s="1435"/>
      <c r="Y35" s="1435"/>
      <c r="Z35" s="1436"/>
    </row>
    <row r="36" spans="1:26" ht="30" thickTop="1" thickBot="1" x14ac:dyDescent="0.35">
      <c r="A36" s="1126"/>
      <c r="B36" s="1910" t="s">
        <v>1585</v>
      </c>
      <c r="C36" s="2049" t="s">
        <v>984</v>
      </c>
      <c r="D36" s="2051" t="s">
        <v>565</v>
      </c>
      <c r="E36" s="2032" t="b">
        <f>IF(AND(E37=TRUE,E38=TRUE),TRUE,FALSE)</f>
        <v>0</v>
      </c>
      <c r="F36" s="1639">
        <f>COUNTIF(E37:E38,TRUE)</f>
        <v>0</v>
      </c>
      <c r="G36" s="1639">
        <f>COUNTIFS(E37:E38,TRUE,G37:G38,"Not Blank")</f>
        <v>0</v>
      </c>
      <c r="H36" s="1639">
        <f>COUNTIFS(E37:E38,FALSE,G37:G38,"Not Blank")</f>
        <v>0</v>
      </c>
      <c r="I36" s="2156" t="str">
        <f xml:space="preserve">
IF(F36&gt;2,"Too Many Entries - Check Red Lines",
IF(AND(E36=FALSE,G36=0,H36=0,E30=TRUE),"Nothing Required Below",
IF(G36&lt;F36,"Valid Entry required below - Check Amber Line/s",
IF(AND(E36=FALSE,G36=0,H36=0),"Nothing Entered below Yet",
IF(G36&lt;F36,"Valid Entry required below - Check Amber Line/s",
IF(AND(G36=0,H36&gt;0),"**Non-Valid Entry/ies below - Check Yellow Line/s",
IF(AND(G36&gt;0,H36&gt;0),"**Valid and Non-Valid Entries made below - Check Yellow Line/s",
IF(AND(E36=FALSE,F36&lt;2),"Not all requirements addressed below - Check Pink Line/s",
IF(AND(E36=FALSE,G36&lt;2,G36&gt;0,H36=0),"More entries to come",
IF(AND(E36,TRUE,G36=2,H36=0),"Valid Entries made below"
))))))))))</f>
        <v>Nothing Entered below Yet</v>
      </c>
      <c r="J36" s="2157">
        <f>COUNTIFS(E37:E38,TRUE,J37:J38,"Not Blank")</f>
        <v>0</v>
      </c>
      <c r="K36" s="2157">
        <f>COUNTIFS(E37:E38,FALSE,J37:J38,"Not Blank")</f>
        <v>0</v>
      </c>
      <c r="L36" s="2157" t="str">
        <f xml:space="preserve">
IF(J36&gt;2,"Too Many Entries - Check Red Lines",
IF(AND(E36=FALSE,J36=0,K36=0,E30=TRUE),"Nothing Required Below",
IF(J36&lt;F36,"Valid Entry required below - Check Amber Line/s",
IF(AND(E36=FALSE,J36=0,K36=0),"Nothing Entered below Yet",
IF(AND(J36=0,K36&gt;0),"**Non-Valid Entry/ies below - Check Yellow Line/s",
IF(AND(J36&gt;0,K36&gt;0),"**Valid and Non-Valid Entries made below - Check Yellow Line/s",
IF(AND(E36=FALSE,J36&lt;2),"Not all requirements addressed below - Check Pink Line/s",
IF(AND(E36=FALSE,J36&lt;2,J36&gt;0,K36=0),"More entries to come",
IF(AND(E36,TRUE,J36=2,K36=0),"Valid Entries made below"
)))))))))</f>
        <v>Nothing Entered below Yet</v>
      </c>
      <c r="M36" s="2158"/>
      <c r="N36" s="4444"/>
      <c r="O36" s="741" t="b">
        <f t="shared" si="0"/>
        <v>0</v>
      </c>
      <c r="P36" s="1629"/>
      <c r="Q36" s="1939" t="s">
        <v>565</v>
      </c>
      <c r="R36" s="815" t="b">
        <f>IF(AND(R38=TRUE,R41=TRUE,R48=TRUE),TRUE,FALSE)</f>
        <v>0</v>
      </c>
      <c r="S36" s="1551"/>
      <c r="T36" s="1551"/>
      <c r="U36" s="1550"/>
      <c r="V36" s="4415"/>
      <c r="W36" s="4860"/>
      <c r="X36" s="1421"/>
      <c r="Y36" s="1421"/>
      <c r="Z36" s="1422"/>
    </row>
    <row r="37" spans="1:26" ht="58.5" thickTop="1" x14ac:dyDescent="0.3">
      <c r="A37" s="1126"/>
      <c r="B37" s="2050"/>
      <c r="C37" s="2047" t="s">
        <v>985</v>
      </c>
      <c r="D37" s="319" t="s">
        <v>3</v>
      </c>
      <c r="E37" s="59" t="b">
        <f>IF(D37="Compliant",TRUE,FALSE)</f>
        <v>0</v>
      </c>
      <c r="F37" s="27"/>
      <c r="G37" s="27" t="str">
        <f>IF(I37&lt;&gt;"", "Not Blank", "")</f>
        <v/>
      </c>
      <c r="H37" s="27"/>
      <c r="I37" s="2150"/>
      <c r="J37" s="301" t="str">
        <f>IF(L37&lt;&gt;"", "Not Blank", "")</f>
        <v/>
      </c>
      <c r="K37" s="301"/>
      <c r="L37" s="329"/>
      <c r="M37" s="2151"/>
      <c r="N37" s="4444"/>
      <c r="O37" s="741" t="b">
        <f t="shared" si="0"/>
        <v>0</v>
      </c>
      <c r="P37" s="2389"/>
      <c r="Q37" s="863" t="s">
        <v>3</v>
      </c>
      <c r="R37" s="420" t="b">
        <f>IF(OR(Q37="Compliant",Q37="FE with work-a-round",Q37="Functionally Equivalent"),TRUE,FALSE)</f>
        <v>0</v>
      </c>
      <c r="S37" s="471"/>
      <c r="T37" s="471"/>
      <c r="U37" s="1406"/>
      <c r="V37" s="4415"/>
      <c r="W37" s="4860"/>
      <c r="X37" s="1431"/>
      <c r="Y37" s="1431"/>
      <c r="Z37" s="1432"/>
    </row>
    <row r="38" spans="1:26" ht="116.5" thickBot="1" x14ac:dyDescent="0.35">
      <c r="A38" s="1119" t="s">
        <v>939</v>
      </c>
      <c r="B38" s="2050"/>
      <c r="C38" s="2048" t="s">
        <v>986</v>
      </c>
      <c r="D38" s="849" t="s">
        <v>3</v>
      </c>
      <c r="E38" s="1078" t="b">
        <f>IF(D38="Compliant",TRUE,FALSE)</f>
        <v>0</v>
      </c>
      <c r="F38" s="1079"/>
      <c r="G38" s="1079" t="str">
        <f>IF(I38&lt;&gt;"", "Not Blank", "")</f>
        <v/>
      </c>
      <c r="H38" s="1079"/>
      <c r="I38" s="4263"/>
      <c r="J38" s="2593" t="str">
        <f>IF(L38&lt;&gt;"", "Not Blank", "")</f>
        <v/>
      </c>
      <c r="K38" s="2593"/>
      <c r="L38" s="4264"/>
      <c r="M38" s="4265"/>
      <c r="N38" s="4445"/>
      <c r="O38" s="742" t="b">
        <f t="shared" si="0"/>
        <v>0</v>
      </c>
      <c r="P38" s="4260"/>
      <c r="Q38" s="691" t="s">
        <v>3</v>
      </c>
      <c r="R38" s="862" t="b">
        <f>IF(OR(Q38="Compliant",Q38="FE with work-a-round",Q38="Functionally Equivalent"),TRUE,FALSE)</f>
        <v>0</v>
      </c>
      <c r="S38" s="1446"/>
      <c r="T38" s="1446"/>
      <c r="U38" s="4246"/>
      <c r="V38" s="4416"/>
      <c r="W38" s="4861"/>
      <c r="X38" s="1446"/>
      <c r="Y38" s="1446"/>
      <c r="Z38" s="4246"/>
    </row>
    <row r="39" spans="1:26" s="233" customFormat="1" ht="44.5" thickTop="1" thickBot="1" x14ac:dyDescent="0.35">
      <c r="A39" s="1126">
        <v>4.3</v>
      </c>
      <c r="B39" s="1910" t="s">
        <v>1586</v>
      </c>
      <c r="C39" s="2044" t="s">
        <v>909</v>
      </c>
      <c r="D39" s="2160" t="s">
        <v>565</v>
      </c>
      <c r="E39" s="2161" t="b">
        <f>IF(AND(E40=TRUE,E41=TRUE,E42=TRUE),TRUE,FALSE)</f>
        <v>0</v>
      </c>
      <c r="F39" s="2162">
        <f>COUNTIF(E40:E42,TRUE)</f>
        <v>0</v>
      </c>
      <c r="G39" s="2162">
        <f>COUNTIFS(E40:E42,TRUE,G40:G42,"Not Blank")</f>
        <v>0</v>
      </c>
      <c r="H39" s="2162">
        <f>COUNTIFS(E40:E53,FALSE,G40:G53,"Not Blank")</f>
        <v>0</v>
      </c>
      <c r="I39" s="2162" t="str">
        <f xml:space="preserve">
IF(F39&gt;3,"Too Many Entries - Check Red Lines",
IF(AND(E39=FALSE,G39=0,H39=0,E38=TRUE),"Nothing Required Below",
IF(G39&lt;F39,"Valid Entry required below - Check Amber Line/s",
IF(AND(E39=FALSE,G39=0,H39=0),"Nothing Entered below Yet",
IF(G39&lt;F39,"Valid Entry required below - Check Amber Line/s",
IF(AND(G39=0,H39&gt;0),"**Non-Valid Entry/ies below - Check Yellow Line/s",
IF(AND(G39&gt;0,H39&gt;0),"**Valid and Non-Valid Entries made below - Check Yellow Line/s",
IF(AND(E39=FALSE,F39&lt;3),"Not all requirements addressed below - Check Pink Line/s",
IF(AND(E39=FALSE,G39&lt;3,G39&gt;0,H39=0),"More entries to come",
IF(AND(E39,TRUE,G39=3,H39=0),"Valid Entries made below"
))))))))))</f>
        <v>Nothing Entered below Yet</v>
      </c>
      <c r="J39" s="2046">
        <f>COUNTIFS(E40:E42,TRUE,J40:J42,"Not Blank")</f>
        <v>0</v>
      </c>
      <c r="K39" s="2046">
        <f>COUNTIFS(E40:E42,FALSE,J40:J42,"Not Blank")</f>
        <v>0</v>
      </c>
      <c r="L39" s="2163" t="str">
        <f xml:space="preserve">
IF(J39&gt;3,"Too Many Entries - Check Red Lines",
IF(AND(E39=FALSE,J39=0,K39=0,E38=TRUE),"Nothing Required Below",
IF(J39&lt;F39,"Valid Entry required below - Check Amber Line/s",
IF(AND(E39=FALSE,J39=0,K39=0),"Nothing Entered below Yet",
IF(AND(J39=0,K39&gt;0),"**Non-Valid Entry/ies below - Check Yellow Line/s",
IF(AND(J39&gt;0,K39&gt;0),"**Valid and Non-Valid Entries made below - Check Yellow Line/s",
IF(AND(E39=FALSE,J39&lt;3),"Not all requirements addressed below - Check Pink Line/s",
IF(AND(E39=FALSE,J39&lt;3,J39&gt;0,K39=0),"More entries to come",
IF(AND(E39,TRUE,J39=3,K39=0),"Valid Entries made below"
)))))))))</f>
        <v>Nothing Entered below Yet</v>
      </c>
      <c r="M39" s="3319"/>
      <c r="N39" s="4414" t="s">
        <v>3</v>
      </c>
      <c r="O39" s="743" t="b">
        <f t="shared" si="0"/>
        <v>0</v>
      </c>
      <c r="P39" s="2439"/>
      <c r="Q39" s="1939" t="s">
        <v>565</v>
      </c>
      <c r="R39" s="735" t="b">
        <f>IF(AND(R41=TRUE,R44=TRUE,R51=TRUE),TRUE,FALSE)</f>
        <v>0</v>
      </c>
      <c r="S39" s="1750"/>
      <c r="T39" s="1750"/>
      <c r="U39" s="1772"/>
      <c r="V39" s="4414" t="s">
        <v>3</v>
      </c>
      <c r="W39" s="513" t="b">
        <f>IF(OR(V39="Compliant",V39="FE with work-a-round",V39="Functionally Equivalent",V39="Not Required/Applicable"),TRUE,FALSE)</f>
        <v>0</v>
      </c>
      <c r="X39" s="1750"/>
      <c r="Y39" s="1750"/>
      <c r="Z39" s="1772"/>
    </row>
    <row r="40" spans="1:26" ht="116.5" thickTop="1" x14ac:dyDescent="0.3">
      <c r="A40" s="1119" t="s">
        <v>1590</v>
      </c>
      <c r="B40" s="1504"/>
      <c r="C40" s="2047" t="s">
        <v>912</v>
      </c>
      <c r="D40" s="1013" t="s">
        <v>3</v>
      </c>
      <c r="E40" s="94" t="b">
        <f>IF(D40="Compliant",TRUE,FALSE)</f>
        <v>0</v>
      </c>
      <c r="F40" s="2159"/>
      <c r="G40" s="2159" t="str">
        <f>IF(I40&lt;&gt;"", "Not Blank", "")</f>
        <v/>
      </c>
      <c r="H40" s="2159"/>
      <c r="I40" s="4266"/>
      <c r="J40" s="2592" t="str">
        <f>IF(L40&lt;&gt;"", "Not Blank", "")</f>
        <v/>
      </c>
      <c r="K40" s="2592"/>
      <c r="L40" s="4267"/>
      <c r="M40" s="4268"/>
      <c r="N40" s="4415"/>
      <c r="O40" s="741" t="b">
        <f t="shared" si="0"/>
        <v>0</v>
      </c>
      <c r="P40" s="4261"/>
      <c r="Q40" s="863" t="s">
        <v>3</v>
      </c>
      <c r="R40" s="564" t="b">
        <f>IF(OR(Q40="Compliant",Q40="FE with work-a-round",Q40="Functionally Equivalent"),TRUE,FALSE)</f>
        <v>0</v>
      </c>
      <c r="S40" s="1403"/>
      <c r="T40" s="1403"/>
      <c r="U40" s="4245"/>
      <c r="V40" s="4415"/>
      <c r="W40" s="856"/>
      <c r="X40" s="1403"/>
      <c r="Y40" s="1403"/>
      <c r="Z40" s="4245"/>
    </row>
    <row r="41" spans="1:26" ht="87" x14ac:dyDescent="0.3">
      <c r="A41" s="1119" t="s">
        <v>1591</v>
      </c>
      <c r="B41" s="1504"/>
      <c r="C41" s="2047" t="s">
        <v>913</v>
      </c>
      <c r="D41" s="319" t="s">
        <v>3</v>
      </c>
      <c r="E41" s="59" t="b">
        <f>IF(D41="Compliant",TRUE,FALSE)</f>
        <v>0</v>
      </c>
      <c r="F41" s="563"/>
      <c r="G41" s="563" t="str">
        <f>IF(I41&lt;&gt;"", "Not Blank", "")</f>
        <v/>
      </c>
      <c r="H41" s="563"/>
      <c r="I41" s="4269"/>
      <c r="J41" s="2592" t="str">
        <f>IF(L41&lt;&gt;"", "Not Blank", "")</f>
        <v/>
      </c>
      <c r="K41" s="2592"/>
      <c r="L41" s="4270"/>
      <c r="M41" s="4271"/>
      <c r="N41" s="4415"/>
      <c r="O41" s="741" t="b">
        <f t="shared" si="0"/>
        <v>0</v>
      </c>
      <c r="P41" s="2419"/>
      <c r="Q41" s="690" t="s">
        <v>3</v>
      </c>
      <c r="R41" s="564" t="b">
        <f>IF(OR(Q41="Compliant",Q41="FE with work-a-round",Q41="Functionally Equivalent"),TRUE,FALSE)</f>
        <v>0</v>
      </c>
      <c r="S41" s="1403"/>
      <c r="T41" s="1403"/>
      <c r="U41" s="4245"/>
      <c r="V41" s="4415"/>
      <c r="W41" s="859"/>
      <c r="X41" s="1441"/>
      <c r="Y41" s="1441"/>
      <c r="Z41" s="4273"/>
    </row>
    <row r="42" spans="1:26" ht="73" thickBot="1" x14ac:dyDescent="0.35">
      <c r="A42" s="1119" t="s">
        <v>1592</v>
      </c>
      <c r="B42" s="1504"/>
      <c r="C42" s="2048" t="s">
        <v>914</v>
      </c>
      <c r="D42" s="849" t="s">
        <v>3</v>
      </c>
      <c r="E42" s="1078" t="b">
        <f>IF(D42="Compliant",TRUE,FALSE)</f>
        <v>0</v>
      </c>
      <c r="F42" s="1079"/>
      <c r="G42" s="1079" t="str">
        <f>IF(I42&lt;&gt;"", "Not Blank", "")</f>
        <v/>
      </c>
      <c r="H42" s="1079"/>
      <c r="I42" s="4263"/>
      <c r="J42" s="2593" t="str">
        <f>IF(L42&lt;&gt;"", "Not Blank", "")</f>
        <v/>
      </c>
      <c r="K42" s="2593"/>
      <c r="L42" s="4264"/>
      <c r="M42" s="4272"/>
      <c r="N42" s="4415"/>
      <c r="O42" s="1018" t="b">
        <f t="shared" si="0"/>
        <v>0</v>
      </c>
      <c r="P42" s="4262"/>
      <c r="Q42" s="691" t="s">
        <v>3</v>
      </c>
      <c r="R42" s="564" t="b">
        <f>IF(OR(Q42="Compliant",Q42="FE with work-a-round",Q42="Functionally Equivalent"),TRUE,FALSE)</f>
        <v>0</v>
      </c>
      <c r="S42" s="1441"/>
      <c r="T42" s="1441"/>
      <c r="U42" s="4273"/>
      <c r="V42" s="4416"/>
      <c r="W42" s="740"/>
      <c r="X42" s="1446"/>
      <c r="Y42" s="1446"/>
      <c r="Z42" s="4246"/>
    </row>
    <row r="43" spans="1:26" s="150" customFormat="1" ht="29.5" thickTop="1" x14ac:dyDescent="0.3">
      <c r="A43" s="1119"/>
      <c r="B43" s="1910" t="s">
        <v>1596</v>
      </c>
      <c r="C43" s="2165" t="s">
        <v>1573</v>
      </c>
      <c r="D43" s="2149" t="s">
        <v>565</v>
      </c>
      <c r="E43" s="1929" t="b">
        <f>IF(AND(E44=TRUE,E45=TRUE),TRUE,FALSE)</f>
        <v>0</v>
      </c>
      <c r="F43" s="1514">
        <f>COUNTIF(E44:E45,TRUE)</f>
        <v>0</v>
      </c>
      <c r="G43" s="1514">
        <f>COUNTIFS(E44:E45,TRUE,G44:G45,"Not Blank")</f>
        <v>0</v>
      </c>
      <c r="H43" s="1514">
        <f>COUNTIFS(E44:E45,FALSE,G44:G45,"Not Blank")</f>
        <v>0</v>
      </c>
      <c r="I43" s="1727" t="str">
        <f xml:space="preserve">
IF(F43&gt;2,"Too Many Entries - Check Red Lines",
IF(G43&lt;F43,"Valid Entry required below - Check Amber Line/s",
IF(AND(E43=FALSE,G43=0,H43=0),"Nothing Entered below Yet",
IF(G43&lt;F43,"Valid Entry required below - Check Amber Line/s",
IF(AND(G43=0,H43&gt;0),"**Non-Valid Entry/ies below - Check Yellow Line/s",
IF(AND(G43&gt;0,H43&gt;0),"**Valid and Non-Valid Entries made below - Check Yellow Line/s",
IF(AND(E43=FALSE,F43&lt;2),"Not all requirements addressed below - Check Pink Line/s",
IF(AND(E43=FALSE,G43&lt;2,G43&gt;0,H43=0),"More entries to come",
IF(AND(E43,TRUE,G43=2,H43=0),"Valid Entries made below"
)))))))))</f>
        <v>Nothing Entered below Yet</v>
      </c>
      <c r="J43" s="1514">
        <f>COUNTIFS(E44:E45,TRUE,J44:J45,"Not Blank")</f>
        <v>0</v>
      </c>
      <c r="K43" s="1514">
        <f>COUNTIFS(E44:E45,FALSE,J44:J45,"Not Blank")</f>
        <v>0</v>
      </c>
      <c r="L43" s="1734" t="str">
        <f xml:space="preserve">
IF(J43&gt;2,"Too Many Entries - Check Red Lines",
IF(AND(E43=FALSE,J43=0,K43=0,E43=TRUE),"Nothing Required Below",
IF(J43&lt;F43,"Valid Entry required below - Check Amber Line/s",
IF(AND(E43=FALSE,J43=0,K43=0),"Nothing Entered below Yet",
IF(AND(J43=0,K43&gt;0),"**Non-Valid Entry/ies below - Check Yellow Line/s",
IF(AND(J43&gt;0,K43&gt;0),"**Valid and Non-Valid Entries made below - Check Yellow Line/s",
IF(AND(E43=FALSE,J43&lt;2),"Not all requirements addressed below - Check Pink Line/s",
IF(AND(E43=FALSE,J43&lt;2,J43&gt;0,K43=0),"More entries to come",
IF(AND(E43,TRUE,J43=2,K43=0),"Valid Entries made below"
)))))))))</f>
        <v>Nothing Entered below Yet</v>
      </c>
      <c r="M43" s="4274"/>
      <c r="N43" s="4414" t="s">
        <v>3</v>
      </c>
      <c r="O43" s="743" t="b">
        <f t="shared" si="0"/>
        <v>0</v>
      </c>
      <c r="P43" s="4275"/>
      <c r="Q43" s="2178" t="s">
        <v>565</v>
      </c>
      <c r="R43" s="852" t="b">
        <f>IF(AND(R45=TRUE,R48=TRUE,R55=TRUE),TRUE,FALSE)</f>
        <v>0</v>
      </c>
      <c r="S43" s="4276"/>
      <c r="T43" s="1779"/>
      <c r="U43" s="4277"/>
      <c r="V43" s="4414" t="s">
        <v>3</v>
      </c>
      <c r="W43" s="854" t="b">
        <f>IF(OR(V43="Compliant",V43="FE with work-a-round",V43="Functionally Equivalent",V43="Not Required/Applicable"),TRUE,FALSE)</f>
        <v>0</v>
      </c>
      <c r="X43" s="3206"/>
      <c r="Y43" s="1779"/>
      <c r="Z43" s="4277"/>
    </row>
    <row r="44" spans="1:26" s="150" customFormat="1" ht="29" x14ac:dyDescent="0.3">
      <c r="A44" s="1119" t="s">
        <v>1598</v>
      </c>
      <c r="B44" s="1504"/>
      <c r="C44" s="2166" t="s">
        <v>1575</v>
      </c>
      <c r="D44" s="1013" t="s">
        <v>3</v>
      </c>
      <c r="E44" s="67" t="b">
        <f>IF(D44="Compliant",TRUE,FALSE)</f>
        <v>0</v>
      </c>
      <c r="F44" s="44"/>
      <c r="G44" s="44" t="str">
        <f>IF(I44&lt;&gt;"", "Not Blank", "")</f>
        <v/>
      </c>
      <c r="H44" s="44"/>
      <c r="I44" s="2164"/>
      <c r="J44" s="44" t="str">
        <f>IF(L44&lt;&gt;"", "Not Blank", "")</f>
        <v/>
      </c>
      <c r="K44" s="44"/>
      <c r="L44" s="2164"/>
      <c r="M44" s="2707"/>
      <c r="N44" s="4415"/>
      <c r="O44" s="741" t="b">
        <f t="shared" si="0"/>
        <v>0</v>
      </c>
      <c r="P44" s="3204"/>
      <c r="Q44" s="1826" t="s">
        <v>3</v>
      </c>
      <c r="R44" s="724" t="b">
        <f>IF(OR(Q44="Compliant",Q44="FE with work-a-round",Q44="Functionally Equivalent"),TRUE,FALSE)</f>
        <v>0</v>
      </c>
      <c r="S44" s="4278"/>
      <c r="T44" s="399"/>
      <c r="U44" s="1785"/>
      <c r="V44" s="4415"/>
      <c r="W44" s="576"/>
      <c r="X44" s="2837"/>
      <c r="Y44" s="399"/>
      <c r="Z44" s="1785"/>
    </row>
    <row r="45" spans="1:26" s="233" customFormat="1" ht="102" thickBot="1" x14ac:dyDescent="0.35">
      <c r="A45" s="1119" t="s">
        <v>1605</v>
      </c>
      <c r="B45" s="1504"/>
      <c r="C45" s="1800" t="s">
        <v>1965</v>
      </c>
      <c r="D45" s="230" t="s">
        <v>3</v>
      </c>
      <c r="E45" s="161" t="b">
        <f>IF(D45="Compliant",TRUE,FALSE)</f>
        <v>0</v>
      </c>
      <c r="F45" s="124"/>
      <c r="G45" s="124" t="str">
        <f>IF(I45&lt;&gt;"", "Not Blank", "")</f>
        <v/>
      </c>
      <c r="H45" s="124"/>
      <c r="I45" s="124"/>
      <c r="J45" s="124" t="str">
        <f>IF(L45&lt;&gt;"", "Not Blank", "")</f>
        <v/>
      </c>
      <c r="K45" s="124"/>
      <c r="L45" s="246"/>
      <c r="M45" s="2758"/>
      <c r="N45" s="4416"/>
      <c r="O45" s="742" t="b">
        <f t="shared" si="0"/>
        <v>0</v>
      </c>
      <c r="P45" s="1780"/>
      <c r="Q45" s="691" t="s">
        <v>3</v>
      </c>
      <c r="R45" s="661" t="b">
        <f>IF(OR(Q45="Compliant",Q45="FE with work-a-round",Q45="Functionally Equivalent"),TRUE,FALSE)</f>
        <v>0</v>
      </c>
      <c r="S45" s="4279"/>
      <c r="T45" s="1764"/>
      <c r="U45" s="1780"/>
      <c r="V45" s="4416"/>
      <c r="W45" s="855"/>
      <c r="X45" s="3208"/>
      <c r="Y45" s="1764"/>
      <c r="Z45" s="1780"/>
    </row>
    <row r="46" spans="1:26" s="150" customFormat="1" ht="30" thickTop="1" thickBot="1" x14ac:dyDescent="0.35">
      <c r="A46" s="1119" t="s">
        <v>933</v>
      </c>
      <c r="B46" s="1910" t="s">
        <v>1597</v>
      </c>
      <c r="C46" s="1734" t="s">
        <v>1603</v>
      </c>
      <c r="D46" s="2010" t="s">
        <v>565</v>
      </c>
      <c r="E46" s="1929" t="b">
        <f>IF(AND(E47=TRUE,E48=TRUE,E49=TRUE),TRUE,FALSE)</f>
        <v>0</v>
      </c>
      <c r="F46" s="1514">
        <f>COUNTIF(E47:E50,TRUE)</f>
        <v>0</v>
      </c>
      <c r="G46" s="1514">
        <f>COUNTIFS(E47:E50,TRUE,G47:G50,"Not Blank")</f>
        <v>0</v>
      </c>
      <c r="H46" s="1514">
        <f>COUNTIFS(E47:E50,FALSE,G47:G50,"Not Blank")</f>
        <v>0</v>
      </c>
      <c r="I46" s="1727" t="str">
        <f xml:space="preserve">
IF(F46&gt;4,"Too Many Entries - Check Red Lines",
IF(G46&lt;F46,"Valid Entry required below - Check Amber Line/s",
IF(AND(E46=FALSE,G46=0,H46=0),"Nothing Entered below Yet",
IF(G46&lt;F46,"Valid Entry required below - Check Amber Line/s",
IF(AND(G46=0,H46&gt;0),"**Non-Valid Entry/ies below - Check Yellow Line/s",
IF(AND(G46&gt;0,H46&gt;0),"**Valid and Non-Valid Entries made below - Check Yellow Line/s",
IF(AND(E46=FALSE,F46&lt;4),"Not all requirements addressed below - Check Pink Line/s",
IF(AND(E46=FALSE,G46&lt;4,G46&gt;0,H46=0),"More entries to come",
IF(AND(E46,TRUE,G46=4,H46=0),"Valid Entries made below"
)))))))))</f>
        <v>Nothing Entered below Yet</v>
      </c>
      <c r="J46" s="1514">
        <f>COUNTIFS(E47:E50,TRUE,J47:J50,"Not Blank")</f>
        <v>0</v>
      </c>
      <c r="K46" s="1514">
        <f>COUNTIFS(E47:E50,FALSE,J47:J50,"Not Blank")</f>
        <v>0</v>
      </c>
      <c r="L46" s="2148" t="str">
        <f xml:space="preserve">
IF(J46&gt;4,"Too Many Entries - Check Red Lines",
IF(AND(E46=FALSE,J46=0,K46=0,E46=TRUE),"Nothing Required Below",
IF(J46&lt;F46,"Valid Entry required below - Check Amber Line/s",
IF(AND(E46=FALSE,J46=0,K46=0),"Nothing Entered below Yet",
IF(AND(J46=0,K46&gt;0),"**Non-Valid Entry/ies below - Check Yellow Line/s",
IF(AND(J46&gt;0,K46&gt;0),"**Valid and Non-Valid Entries made below - Check Yellow Line/s",
IF(AND(E46=FALSE,J46&lt;4),"Not all requirements addressed below - Check Pink Line/s",
IF(AND(E46=FALSE,J46&lt;4,J46&gt;0,K46=0),"More entries to come",
IF(AND(E46,TRUE,J46=4,K46=0),"Valid Entries made below"
)))))))))</f>
        <v>Nothing Entered below Yet</v>
      </c>
      <c r="M46" s="4274"/>
      <c r="N46" s="4414" t="s">
        <v>3</v>
      </c>
      <c r="O46" s="743" t="b">
        <f t="shared" si="0"/>
        <v>0</v>
      </c>
      <c r="P46" s="4275"/>
      <c r="Q46" s="1939" t="s">
        <v>565</v>
      </c>
      <c r="R46" s="735" t="b">
        <f>IF(AND(R48=TRUE,R51=TRUE,R58=TRUE),TRUE,FALSE)</f>
        <v>0</v>
      </c>
      <c r="S46" s="2610"/>
      <c r="T46" s="2610"/>
      <c r="U46" s="2611"/>
      <c r="V46" s="4414" t="s">
        <v>3</v>
      </c>
      <c r="W46" s="853" t="b">
        <f>IF(OR(V46="Compliant",V46="FE with work-a-round",V46="Functionally Equivalent",V46="Not Required/Applicable"),TRUE,FALSE)</f>
        <v>0</v>
      </c>
      <c r="X46" s="2835"/>
      <c r="Y46" s="2610"/>
      <c r="Z46" s="2611"/>
    </row>
    <row r="47" spans="1:26" s="150" customFormat="1" ht="87.5" thickTop="1" x14ac:dyDescent="0.3">
      <c r="A47" s="1119" t="s">
        <v>1599</v>
      </c>
      <c r="B47" s="1504"/>
      <c r="C47" s="2167" t="s">
        <v>934</v>
      </c>
      <c r="D47" s="2168" t="s">
        <v>3</v>
      </c>
      <c r="E47" s="67" t="b">
        <f>IF(D47="Compliant",TRUE,FALSE)</f>
        <v>0</v>
      </c>
      <c r="F47" s="44"/>
      <c r="G47" s="44" t="str">
        <f>IF(I47&lt;&gt;"", "Not Blank", "")</f>
        <v/>
      </c>
      <c r="H47" s="44"/>
      <c r="I47" s="2164"/>
      <c r="J47" s="44" t="str">
        <f>IF(L47&lt;&gt;"", "Not Blank", "")</f>
        <v/>
      </c>
      <c r="K47" s="44"/>
      <c r="L47" s="144"/>
      <c r="M47" s="2707"/>
      <c r="N47" s="4415"/>
      <c r="O47" s="741" t="b">
        <f t="shared" si="0"/>
        <v>0</v>
      </c>
      <c r="P47" s="3204"/>
      <c r="Q47" s="863" t="s">
        <v>3</v>
      </c>
      <c r="R47" s="556" t="b">
        <f>IF(OR(Q47="Compliant",Q47="FE with work-a-round",Q47="Functionally Equivalent"),TRUE,FALSE)</f>
        <v>0</v>
      </c>
      <c r="S47" s="399"/>
      <c r="T47" s="399"/>
      <c r="U47" s="1785"/>
      <c r="V47" s="4415"/>
      <c r="W47" s="724"/>
      <c r="X47" s="2837"/>
      <c r="Y47" s="399"/>
      <c r="Z47" s="1785"/>
    </row>
    <row r="48" spans="1:26" s="233" customFormat="1" ht="29" x14ac:dyDescent="0.3">
      <c r="A48" s="1119" t="s">
        <v>1600</v>
      </c>
      <c r="B48" s="1504"/>
      <c r="C48" s="1717" t="s">
        <v>1604</v>
      </c>
      <c r="D48" s="319" t="s">
        <v>3</v>
      </c>
      <c r="E48" s="67" t="b">
        <f>IF(D48="Compliant",TRUE,FALSE)</f>
        <v>0</v>
      </c>
      <c r="F48" s="44"/>
      <c r="G48" s="44" t="str">
        <f>IF(I48&lt;&gt;"", "Not Blank", "")</f>
        <v/>
      </c>
      <c r="H48" s="44"/>
      <c r="I48" s="44"/>
      <c r="J48" s="44" t="str">
        <f>IF(L48&lt;&gt;"", "Not Blank", "")</f>
        <v/>
      </c>
      <c r="K48" s="44"/>
      <c r="L48" s="68"/>
      <c r="M48" s="1752"/>
      <c r="N48" s="4415"/>
      <c r="O48" s="741" t="b">
        <f t="shared" si="0"/>
        <v>0</v>
      </c>
      <c r="P48" s="1775"/>
      <c r="Q48" s="690" t="s">
        <v>3</v>
      </c>
      <c r="R48" s="334" t="b">
        <f>IF(OR(Q48="Compliant",Q48="FE with work-a-round",Q48="Functionally Equivalent"),TRUE,FALSE)</f>
        <v>0</v>
      </c>
      <c r="S48" s="1748"/>
      <c r="T48" s="1748"/>
      <c r="U48" s="1775"/>
      <c r="V48" s="4415"/>
      <c r="W48" s="661"/>
      <c r="X48" s="3197"/>
      <c r="Y48" s="1748"/>
      <c r="Z48" s="1775"/>
    </row>
    <row r="49" spans="1:84" s="150" customFormat="1" ht="58" x14ac:dyDescent="0.3">
      <c r="A49" s="1119" t="s">
        <v>1601</v>
      </c>
      <c r="B49" s="1508"/>
      <c r="C49" s="1807" t="s">
        <v>935</v>
      </c>
      <c r="D49" s="319" t="s">
        <v>3</v>
      </c>
      <c r="E49" s="78" t="b">
        <f>IF(D49="Compliant",TRUE,FALSE)</f>
        <v>0</v>
      </c>
      <c r="F49" s="79"/>
      <c r="G49" s="79" t="str">
        <f>IF(I49&lt;&gt;"", "Not Blank", "")</f>
        <v/>
      </c>
      <c r="H49" s="79"/>
      <c r="I49" s="79"/>
      <c r="J49" s="79" t="str">
        <f>IF(L49&lt;&gt;"", "Not Blank", "")</f>
        <v/>
      </c>
      <c r="K49" s="79"/>
      <c r="L49" s="143"/>
      <c r="M49" s="3317"/>
      <c r="N49" s="4415"/>
      <c r="O49" s="741" t="b">
        <f t="shared" si="0"/>
        <v>0</v>
      </c>
      <c r="P49" s="1785"/>
      <c r="Q49" s="690" t="s">
        <v>3</v>
      </c>
      <c r="R49" s="556" t="b">
        <f>IF(OR(Q49="Compliant",Q49="FE with work-a-round",Q49="Functionally Equivalent"),TRUE,FALSE)</f>
        <v>0</v>
      </c>
      <c r="S49" s="399"/>
      <c r="T49" s="399"/>
      <c r="U49" s="1785"/>
      <c r="V49" s="4415"/>
      <c r="W49" s="576"/>
      <c r="X49" s="4280"/>
      <c r="Y49" s="4280"/>
      <c r="Z49" s="4281"/>
    </row>
    <row r="50" spans="1:84" s="150" customFormat="1" ht="131" thickBot="1" x14ac:dyDescent="0.35">
      <c r="A50" s="1119" t="s">
        <v>1602</v>
      </c>
      <c r="B50" s="1505"/>
      <c r="C50" s="1800" t="s">
        <v>936</v>
      </c>
      <c r="D50" s="230" t="s">
        <v>3</v>
      </c>
      <c r="E50" s="161" t="b">
        <f>IF(D50="Compliant",TRUE,FALSE)</f>
        <v>0</v>
      </c>
      <c r="F50" s="124"/>
      <c r="G50" s="124" t="str">
        <f>IF(I50&lt;&gt;"", "Not Blank", "")</f>
        <v/>
      </c>
      <c r="H50" s="124"/>
      <c r="I50" s="124"/>
      <c r="J50" s="124" t="str">
        <f>IF(L50&lt;&gt;"", "Not Blank", "")</f>
        <v/>
      </c>
      <c r="K50" s="124"/>
      <c r="L50" s="246"/>
      <c r="M50" s="3323"/>
      <c r="N50" s="4416"/>
      <c r="O50" s="742" t="b">
        <f t="shared" si="0"/>
        <v>0</v>
      </c>
      <c r="P50" s="1784"/>
      <c r="Q50" s="691" t="s">
        <v>3</v>
      </c>
      <c r="R50" s="557" t="b">
        <f>IF(OR(Q50="Compliant",Q50="FE with work-a-round",Q50="Functionally Equivalent"),TRUE,FALSE)</f>
        <v>0</v>
      </c>
      <c r="S50" s="1765"/>
      <c r="T50" s="1765"/>
      <c r="U50" s="1784"/>
      <c r="V50" s="4416"/>
      <c r="W50" s="577"/>
      <c r="X50" s="4282"/>
      <c r="Y50" s="4282"/>
      <c r="Z50" s="4283"/>
    </row>
    <row r="51" spans="1:84" s="3652" customFormat="1" ht="15" thickTop="1" x14ac:dyDescent="0.3">
      <c r="A51" s="4284"/>
      <c r="B51" s="3634"/>
      <c r="C51" s="3634"/>
      <c r="D51" s="3634"/>
      <c r="E51" s="3634"/>
      <c r="F51" s="3634"/>
      <c r="G51" s="3634"/>
      <c r="H51" s="3634"/>
      <c r="I51" s="3634"/>
      <c r="J51" s="3634"/>
      <c r="K51" s="3634"/>
      <c r="L51" s="3634"/>
    </row>
    <row r="52" spans="1:84" s="3663" customFormat="1" ht="18.649999999999999" customHeight="1" x14ac:dyDescent="0.3">
      <c r="A52" s="4482" t="s">
        <v>1137</v>
      </c>
      <c r="B52" s="4483"/>
      <c r="C52" s="4483"/>
      <c r="D52" s="4483"/>
      <c r="E52" s="4483"/>
      <c r="F52" s="4483"/>
      <c r="G52" s="4483"/>
      <c r="H52" s="4483"/>
      <c r="I52" s="4483"/>
      <c r="J52" s="4483"/>
      <c r="K52" s="4483"/>
      <c r="L52" s="4483"/>
      <c r="M52" s="4483"/>
      <c r="N52" s="4483"/>
      <c r="O52" s="3669"/>
      <c r="P52" s="3670"/>
      <c r="Q52" s="3670"/>
      <c r="R52" s="3670"/>
      <c r="S52" s="3671"/>
      <c r="T52" s="3672"/>
      <c r="U52" s="3672"/>
      <c r="V52" s="3673"/>
      <c r="W52" s="3673"/>
      <c r="X52" s="3674"/>
      <c r="Y52" s="3675"/>
      <c r="Z52" s="3676"/>
    </row>
    <row r="53" spans="1:84" s="3663" customFormat="1" ht="18" customHeight="1" thickBot="1" x14ac:dyDescent="0.35">
      <c r="A53" s="4250"/>
      <c r="B53" s="3637"/>
      <c r="C53" s="3634"/>
      <c r="D53" s="3634"/>
      <c r="E53" s="3636"/>
      <c r="F53" s="3636"/>
      <c r="G53" s="3636"/>
      <c r="H53" s="3636"/>
      <c r="I53" s="3634"/>
      <c r="J53" s="3634"/>
      <c r="K53" s="3634"/>
      <c r="L53" s="3634"/>
      <c r="M53" s="3634"/>
      <c r="N53" s="3637"/>
      <c r="O53" s="3637"/>
      <c r="P53" s="3642"/>
      <c r="Q53" s="3642"/>
      <c r="R53" s="3642"/>
      <c r="S53" s="3642"/>
      <c r="T53" s="3642"/>
      <c r="U53" s="3642"/>
      <c r="V53" s="3660"/>
      <c r="W53" s="3660"/>
      <c r="X53" s="3660"/>
      <c r="Y53" s="3660"/>
      <c r="Z53" s="3660"/>
    </row>
    <row r="54" spans="1:84" s="27" customFormat="1" ht="30" thickTop="1" thickBot="1" x14ac:dyDescent="0.35">
      <c r="A54" s="1122">
        <v>11</v>
      </c>
      <c r="B54" s="1502" t="s">
        <v>474</v>
      </c>
      <c r="C54" s="1684" t="s">
        <v>670</v>
      </c>
      <c r="D54" s="2149" t="s">
        <v>565</v>
      </c>
      <c r="E54" s="2043" t="b">
        <f>IF(AND(E55=TRUE,E56=TRUE,E58=TRUE),TRUE,FALSE)</f>
        <v>0</v>
      </c>
      <c r="F54" s="1934">
        <f>COUNTIF(E55:E58,TRUE)</f>
        <v>0</v>
      </c>
      <c r="G54" s="1934">
        <f>COUNTIFS(E55:E58,TRUE,G55:G58,"Not Blank")</f>
        <v>0</v>
      </c>
      <c r="H54" s="1934">
        <f>COUNTIFS(E55:E58,FALSE,G55:G58,"Not Blank")</f>
        <v>0</v>
      </c>
      <c r="I54" s="2155" t="str">
        <f xml:space="preserve">
IF(F54&gt;4,"Too Many Entries - Check Red Lines",
IF(G54&lt;F54,"Valid Entry required below - Check Amber Line/s",
IF(AND(E54=FALSE,G54=0,H54=0),"Nothing Entered below Yet",
IF(G54&lt;F54,"Valid Entry required below - Check Amber Line/s",
IF(AND(G54=0,H54&gt;0),"**Non-Valid Entry/ies below - Check Yellow Line/s",
IF(AND(G54&gt;0,H54&gt;0),"**Valid and Non-Valid Entries made below - Check Yellow Line/s",
IF(AND(E54=FALSE,F54&lt;4),"Not all requirements addressed below - Check Pink Line/s",
IF(AND(E54=FALSE,G54&lt;4,G54&gt;0,H54=0),"More entries to come",
IF(AND(E54,TRUE,G54=4,H54=0),"Valid Entries made below"
)))))))))</f>
        <v>Nothing Entered below Yet</v>
      </c>
      <c r="J54" s="2155">
        <f>COUNTIFS(E55:E58,TRUE,J55:J58,"Not Blank")</f>
        <v>0</v>
      </c>
      <c r="K54" s="2155">
        <f>COUNTIFS(E55:E58,FALSE,J55:J58,"Not Blank")</f>
        <v>0</v>
      </c>
      <c r="L54" s="2155" t="str">
        <f>IF(AND(E54=FALSE,J54=0,K54=0),"Nothing Enterred below Yet",IF(AND(J54=0,K54&gt;0),"**Non-Valid Entry/ies below - Check Yellow Box/es",IF(J54&lt;F54,"Valid Entry required below - Check amber box",IF(AND(J54&gt;0,K54&gt;0),"**Valid and Non-Valid Entries made below - Check Yellow Box/es",IF(AND(E54=FALSE,J54&lt;4),"Not all requirements addressed below - Check Pink Box/es",IF(AND(E54,TRUE,J54=4,K54=0),"Valid Entries made below"))))))</f>
        <v>Nothing Enterred below Yet</v>
      </c>
      <c r="M54" s="2176"/>
      <c r="N54" s="4414" t="s">
        <v>3</v>
      </c>
      <c r="O54" s="4491" t="b">
        <f>IF(OR(N54="Compliant",N54="FE with work-a-round",N54="Functionally Equivalent"),TRUE,FALSE)</f>
        <v>0</v>
      </c>
      <c r="P54" s="2176"/>
      <c r="Q54" s="698" t="s">
        <v>565</v>
      </c>
      <c r="R54" s="735" t="b">
        <f>IF(AND(R55=TRUE,R56=TRUE,R58=TRUE),TRUE,FALSE)</f>
        <v>0</v>
      </c>
      <c r="S54" s="111"/>
      <c r="T54" s="111"/>
      <c r="U54" s="120"/>
      <c r="V54" s="4414" t="s">
        <v>3</v>
      </c>
      <c r="W54" s="4856" t="b">
        <f>IF(OR(V54="Compliant",V54="FE with work-a-round",V54="Functionally Equivalent",V54="Not Required/Applicable"),TRUE,FALSE)</f>
        <v>0</v>
      </c>
      <c r="X54" s="111"/>
      <c r="Y54" s="111"/>
      <c r="Z54" s="120"/>
      <c r="AA54" s="65"/>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40"/>
    </row>
    <row r="55" spans="1:84" s="27" customFormat="1" ht="58.5" thickTop="1" x14ac:dyDescent="0.3">
      <c r="A55" s="1122" t="s">
        <v>1106</v>
      </c>
      <c r="B55" s="1852"/>
      <c r="C55" s="2169" t="s">
        <v>1595</v>
      </c>
      <c r="D55" s="1013" t="s">
        <v>3</v>
      </c>
      <c r="E55" s="379" t="b">
        <f>IF(D55="Compliant",TRUE,FALSE)</f>
        <v>0</v>
      </c>
      <c r="F55" s="361"/>
      <c r="G55" s="380" t="str">
        <f>IF(I55&lt;&gt;"", "Not Blank", "")</f>
        <v/>
      </c>
      <c r="H55" s="380"/>
      <c r="I55" s="2586"/>
      <c r="J55" s="42" t="str">
        <f>IF(L55&lt;&gt;"", "Not Blank", "")</f>
        <v/>
      </c>
      <c r="K55" s="42"/>
      <c r="L55" s="42"/>
      <c r="M55" s="128"/>
      <c r="N55" s="4415"/>
      <c r="O55" s="4492"/>
      <c r="P55" s="144"/>
      <c r="Q55" s="863" t="s">
        <v>3</v>
      </c>
      <c r="R55" s="67" t="b">
        <f>IF(OR(Q55="Compliant",Q55="FE with work-a-round",Q55="Functionally Equivalent"),TRUE,FALSE)</f>
        <v>0</v>
      </c>
      <c r="S55" s="44"/>
      <c r="T55" s="44"/>
      <c r="U55" s="122"/>
      <c r="V55" s="4415"/>
      <c r="W55" s="4857"/>
      <c r="X55" s="44"/>
      <c r="Y55" s="44"/>
      <c r="Z55" s="122"/>
      <c r="AA55" s="65"/>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40"/>
    </row>
    <row r="56" spans="1:84" s="27" customFormat="1" ht="72.5" x14ac:dyDescent="0.3">
      <c r="A56" s="1122" t="s">
        <v>1106</v>
      </c>
      <c r="B56" s="1852"/>
      <c r="C56" s="2040" t="s">
        <v>1950</v>
      </c>
      <c r="D56" s="319" t="s">
        <v>3</v>
      </c>
      <c r="E56" s="379" t="b">
        <f>IF(D56="Compliant",TRUE,FALSE)</f>
        <v>0</v>
      </c>
      <c r="F56" s="361"/>
      <c r="G56" s="380" t="str">
        <f>IF(I56&lt;&gt;"", "Not Blank", "")</f>
        <v/>
      </c>
      <c r="H56" s="380"/>
      <c r="I56" s="2587"/>
      <c r="J56" s="44" t="str">
        <f>IF(L56&lt;&gt;"", "Not Blank", "")</f>
        <v/>
      </c>
      <c r="K56" s="44"/>
      <c r="L56" s="44"/>
      <c r="M56" s="122"/>
      <c r="N56" s="4415"/>
      <c r="O56" s="4492"/>
      <c r="P56" s="68"/>
      <c r="Q56" s="690" t="s">
        <v>3</v>
      </c>
      <c r="R56" s="67" t="b">
        <f>IF(OR(Q56="Compliant",Q56="FE with work-a-round",Q56="Functionally Equivalent"),TRUE,FALSE)</f>
        <v>0</v>
      </c>
      <c r="S56" s="44"/>
      <c r="T56" s="44"/>
      <c r="U56" s="122"/>
      <c r="V56" s="4415"/>
      <c r="W56" s="4857"/>
      <c r="X56" s="44"/>
      <c r="Y56" s="44"/>
      <c r="Z56" s="122"/>
      <c r="AA56" s="65"/>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40"/>
    </row>
    <row r="57" spans="1:84" s="27" customFormat="1" ht="362.5" x14ac:dyDescent="0.3">
      <c r="A57" s="1122">
        <v>7.5</v>
      </c>
      <c r="B57" s="1852"/>
      <c r="C57" s="2041" t="s">
        <v>1114</v>
      </c>
      <c r="D57" s="319" t="s">
        <v>3</v>
      </c>
      <c r="E57" s="379" t="b">
        <f>IF(D57="Compliant",TRUE,FALSE)</f>
        <v>0</v>
      </c>
      <c r="F57" s="361"/>
      <c r="G57" s="380" t="str">
        <f>IF(I57&lt;&gt;"", "Not Blank", "")</f>
        <v/>
      </c>
      <c r="H57" s="380"/>
      <c r="I57" s="2587"/>
      <c r="J57" s="44" t="str">
        <f>IF(L57&lt;&gt;"", "Not Blank", "")</f>
        <v/>
      </c>
      <c r="K57" s="44"/>
      <c r="L57" s="44"/>
      <c r="M57" s="122"/>
      <c r="N57" s="4415"/>
      <c r="O57" s="4492"/>
      <c r="P57" s="68"/>
      <c r="Q57" s="690" t="s">
        <v>3</v>
      </c>
      <c r="R57" s="67" t="b">
        <f>IF(OR(Q57="Compliant",Q57="FE with work-a-round",Q57="Functionally Equivalent"),TRUE,FALSE)</f>
        <v>0</v>
      </c>
      <c r="S57" s="44"/>
      <c r="T57" s="44"/>
      <c r="U57" s="122"/>
      <c r="V57" s="4415"/>
      <c r="W57" s="4857"/>
      <c r="X57" s="44"/>
      <c r="Y57" s="44"/>
      <c r="Z57" s="122"/>
      <c r="AA57" s="65"/>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40"/>
    </row>
    <row r="58" spans="1:84" s="27" customFormat="1" ht="55" customHeight="1" thickBot="1" x14ac:dyDescent="0.35">
      <c r="A58" s="1128" t="s">
        <v>1103</v>
      </c>
      <c r="B58" s="1696"/>
      <c r="C58" s="2042" t="s">
        <v>1251</v>
      </c>
      <c r="D58" s="230" t="s">
        <v>3</v>
      </c>
      <c r="E58" s="194" t="b">
        <f>IF(D58="Compliant",TRUE,FALSE)</f>
        <v>0</v>
      </c>
      <c r="F58" s="258"/>
      <c r="G58" s="404" t="str">
        <f>IF(I58&lt;&gt;"", "Not Blank", "")</f>
        <v/>
      </c>
      <c r="H58" s="404"/>
      <c r="I58" s="2588"/>
      <c r="J58" s="124" t="str">
        <f>IF(L58&lt;&gt;"", "Not Blank", "")</f>
        <v/>
      </c>
      <c r="K58" s="124"/>
      <c r="L58" s="124"/>
      <c r="M58" s="125"/>
      <c r="N58" s="4416"/>
      <c r="O58" s="4493"/>
      <c r="P58" s="246"/>
      <c r="Q58" s="691" t="s">
        <v>3</v>
      </c>
      <c r="R58" s="161" t="b">
        <f>IF(OR(Q58="Compliant",Q58="FE with work-a-round",Q58="Functionally Equivalent"),TRUE,FALSE)</f>
        <v>0</v>
      </c>
      <c r="S58" s="124"/>
      <c r="T58" s="124"/>
      <c r="U58" s="125"/>
      <c r="V58" s="4416"/>
      <c r="W58" s="4858"/>
      <c r="X58" s="124"/>
      <c r="Y58" s="124"/>
      <c r="Z58" s="125"/>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3716" customFormat="1" ht="19" customHeight="1" thickTop="1" x14ac:dyDescent="0.3">
      <c r="A59" s="4285"/>
      <c r="B59" s="3634"/>
      <c r="C59" s="3661"/>
      <c r="D59" s="3634"/>
      <c r="E59" s="3636"/>
      <c r="F59" s="3636"/>
      <c r="G59" s="3663"/>
      <c r="H59" s="3663"/>
      <c r="I59" s="3993"/>
      <c r="J59" s="3634"/>
      <c r="K59" s="3634"/>
      <c r="L59" s="3634"/>
      <c r="M59" s="3634"/>
      <c r="N59" s="3634"/>
      <c r="O59" s="3634"/>
      <c r="P59" s="3634"/>
      <c r="Q59" s="3634"/>
      <c r="R59" s="3634"/>
      <c r="S59" s="3634"/>
      <c r="T59" s="3634"/>
      <c r="U59" s="3634"/>
      <c r="V59" s="3639"/>
      <c r="W59" s="3639"/>
      <c r="X59" s="3634"/>
      <c r="Y59" s="3634"/>
      <c r="Z59" s="3634"/>
      <c r="AA59" s="3634"/>
      <c r="AB59" s="3634"/>
      <c r="AC59" s="3634"/>
      <c r="AD59" s="3634"/>
      <c r="AE59" s="3634"/>
      <c r="AF59" s="3634"/>
      <c r="AG59" s="3634"/>
      <c r="AH59" s="3634"/>
      <c r="AI59" s="3634"/>
      <c r="AJ59" s="3634"/>
      <c r="AK59" s="3634"/>
      <c r="AL59" s="3634"/>
      <c r="AM59" s="3634"/>
      <c r="AN59" s="3634"/>
      <c r="AO59" s="3634"/>
      <c r="AP59" s="3634"/>
      <c r="AQ59" s="3634"/>
      <c r="AR59" s="3634"/>
      <c r="AS59" s="3634"/>
      <c r="AT59" s="3634"/>
      <c r="AU59" s="3634"/>
      <c r="AV59" s="3634"/>
      <c r="AW59" s="3634"/>
      <c r="AX59" s="3634"/>
      <c r="AY59" s="3634"/>
      <c r="AZ59" s="3634"/>
      <c r="BA59" s="3634"/>
      <c r="BB59" s="3634"/>
      <c r="BC59" s="3634"/>
      <c r="BD59" s="3634"/>
      <c r="BE59" s="3634"/>
      <c r="BF59" s="3634"/>
      <c r="BG59" s="3634"/>
      <c r="BH59" s="3634"/>
      <c r="BI59" s="3634"/>
      <c r="BJ59" s="3634"/>
      <c r="BK59" s="3634"/>
      <c r="BL59" s="3634"/>
      <c r="BM59" s="3634"/>
      <c r="BN59" s="3634"/>
      <c r="BO59" s="3634"/>
      <c r="BP59" s="3634"/>
      <c r="BQ59" s="3634"/>
      <c r="BR59" s="3634"/>
      <c r="BS59" s="3634"/>
      <c r="BT59" s="3634"/>
      <c r="BU59" s="3634"/>
      <c r="BV59" s="3634"/>
      <c r="BW59" s="3634"/>
      <c r="BX59" s="3634"/>
      <c r="BY59" s="3634"/>
      <c r="BZ59" s="3634"/>
      <c r="CA59" s="3634"/>
      <c r="CB59" s="3634"/>
      <c r="CC59" s="3634"/>
      <c r="CD59" s="3634"/>
      <c r="CE59" s="3634"/>
      <c r="CF59" s="3785"/>
    </row>
    <row r="60" spans="1:84" s="3663" customFormat="1" ht="18.649999999999999" customHeight="1" x14ac:dyDescent="0.3">
      <c r="A60" s="4482" t="s">
        <v>1138</v>
      </c>
      <c r="B60" s="4483"/>
      <c r="C60" s="4483"/>
      <c r="D60" s="4483"/>
      <c r="E60" s="4483"/>
      <c r="F60" s="4483"/>
      <c r="G60" s="4483"/>
      <c r="H60" s="4483"/>
      <c r="I60" s="4483"/>
      <c r="J60" s="4483"/>
      <c r="K60" s="4483"/>
      <c r="L60" s="4483"/>
      <c r="M60" s="4483"/>
      <c r="N60" s="4483"/>
      <c r="O60" s="3669"/>
      <c r="P60" s="3670"/>
      <c r="Q60" s="3670"/>
      <c r="R60" s="3670"/>
      <c r="S60" s="3671"/>
      <c r="T60" s="3672"/>
      <c r="U60" s="3672"/>
      <c r="V60" s="3673"/>
      <c r="W60" s="3673"/>
      <c r="X60" s="3674"/>
      <c r="Y60" s="3675"/>
      <c r="Z60" s="3676"/>
    </row>
    <row r="61" spans="1:84" s="3663" customFormat="1" ht="13.5" thickBot="1" x14ac:dyDescent="0.35">
      <c r="A61" s="4286"/>
      <c r="B61" s="4094"/>
      <c r="C61" s="4094"/>
      <c r="D61" s="4094"/>
      <c r="E61" s="4094"/>
      <c r="F61" s="4094"/>
      <c r="G61" s="4094"/>
      <c r="H61" s="4094"/>
      <c r="I61" s="4094"/>
      <c r="J61" s="4094"/>
      <c r="K61" s="4094"/>
      <c r="L61" s="4287"/>
      <c r="M61" s="4094"/>
      <c r="N61" s="4094"/>
      <c r="O61" s="4095"/>
      <c r="P61" s="4095"/>
      <c r="Q61" s="4095"/>
      <c r="R61" s="4095"/>
      <c r="S61" s="4095"/>
      <c r="T61" s="4095"/>
      <c r="U61" s="4095"/>
      <c r="V61" s="4095"/>
      <c r="W61" s="4095"/>
      <c r="X61" s="4095"/>
      <c r="Y61" s="4095"/>
      <c r="Z61" s="4288"/>
    </row>
    <row r="62" spans="1:84" s="541" customFormat="1" ht="30" thickTop="1" thickBot="1" x14ac:dyDescent="0.35">
      <c r="A62" s="1129"/>
      <c r="B62" s="1502" t="s">
        <v>1742</v>
      </c>
      <c r="C62" s="2171" t="s">
        <v>1376</v>
      </c>
      <c r="D62" s="2027" t="s">
        <v>565</v>
      </c>
      <c r="E62" s="2039" t="b">
        <f>IF(AND(E63,TRUE,E76,TRUE,E86,TRUE),TRUE,FALSE)</f>
        <v>0</v>
      </c>
      <c r="F62" s="1930">
        <f>SUM(F63)</f>
        <v>0</v>
      </c>
      <c r="G62" s="1930">
        <f>SUM(G63)</f>
        <v>0</v>
      </c>
      <c r="H62" s="1930">
        <f>SUM(H63)</f>
        <v>0</v>
      </c>
      <c r="I62" s="1927" t="str">
        <f xml:space="preserve">
IF(F62&gt;8,"Too Many Entries - Check Red Lines",
IF(AND(E62=FALSE,G62=0,H62=0,E62=TRUE),"Nothing Required Below",
IF(G62&lt;F62,"Valid Entry required below - Check Amber Line/s",
IF(AND(E62=FALSE,G62=0,H62=0),"Nothing Entered below Yet",
IF(G62&lt;F62,"Valid Entry required below - Check Amber Line/s",
IF(AND(G62=0,H62&gt;0),"**Non-Valid Entry/ies below - Check Yellow Line/s",
IF(AND(G62&gt;0,H62&gt;0),"**Valid and Non-Valid Entries made below - Check Yellow Line/s",
IF(AND(E62=FALSE,F62&lt;8),"Not all requirements addressed below - Check Pink Line/s",
IF(AND(E62=FALSE,G62&lt;8,G62&gt;0,H62=0),"More entries to come",
IF(AND(E62,TRUE,G62=8,H62=0),"Valid Entries made below"
))))))))))</f>
        <v>Nothing Entered below Yet</v>
      </c>
      <c r="J62" s="1930">
        <f>SUM(J63)</f>
        <v>0</v>
      </c>
      <c r="K62" s="1930">
        <f>SUM(K63)</f>
        <v>0</v>
      </c>
      <c r="L62" s="2173" t="str">
        <f xml:space="preserve">
IF(J62&gt;8,"Too Many Entries - Check Red Lines",
IF(AND(E62=FALSE,J62=0,K62=0,E61=TRUE),"Nothing Required Below",
IF(J62&lt;F62,"Valid Entry required below - Check Amber Line/s",
IF(AND(E62=FALSE,J62=0,K62=0),"Nothing Entered below Yet",
IF(AND(J62=0,K62&gt;0),"**Non-Valid Entry/ies below - Check Yellow Line/s",
IF(AND(J62&gt;0,K62&gt;0),"**Valid and Non-Valid Entries made below - Check Yellow Line/s",
IF(AND(E62=FALSE,J62&lt;8),"Not all requirements addressed below - Check Pink Line/s",
IF(AND(E62=FALSE,J62&lt;8,J62&gt;0,K62=0),"More entries to come",
IF(AND(E62,TRUE,J62=8,K62=0),"Valid Entries made below"
)))))))))</f>
        <v>Nothing Entered below Yet</v>
      </c>
      <c r="M62" s="2786"/>
      <c r="N62" s="4414" t="s">
        <v>3</v>
      </c>
      <c r="O62" s="743" t="b">
        <f>IF(OR(N62="Compliant",N62="FE with work-a-round",N62="Functionally Equivalent"),TRUE,FALSE)</f>
        <v>0</v>
      </c>
      <c r="P62" s="2785"/>
      <c r="Q62" s="698" t="s">
        <v>565</v>
      </c>
      <c r="R62" s="735" t="b">
        <f>IF(AND(R63,TRUE,R76,TRUE,R86,TRUE),TRUE,FALSE)</f>
        <v>0</v>
      </c>
      <c r="S62" s="4289"/>
      <c r="T62" s="4289"/>
      <c r="U62" s="4290"/>
      <c r="V62" s="4414" t="s">
        <v>3</v>
      </c>
      <c r="W62" s="4853" t="b">
        <f>IF(OR(V62="Compliant",V62="FE with work-a-round",V62="Functionally Equivalent",V62="Not Required/Applicable"),TRUE,FALSE)</f>
        <v>0</v>
      </c>
      <c r="X62" s="4289"/>
      <c r="Y62" s="4289"/>
      <c r="Z62" s="4291"/>
    </row>
    <row r="63" spans="1:84" s="27" customFormat="1" ht="30" thickTop="1" thickBot="1" x14ac:dyDescent="0.35">
      <c r="A63" s="1130">
        <v>7</v>
      </c>
      <c r="B63" s="1509" t="s">
        <v>1542</v>
      </c>
      <c r="C63" s="1697" t="s">
        <v>925</v>
      </c>
      <c r="D63" s="1925" t="s">
        <v>565</v>
      </c>
      <c r="E63" s="1802" t="b">
        <f>IF(AND(E64=TRUE,E72=TRUE),TRUE,FALSE)</f>
        <v>0</v>
      </c>
      <c r="F63" s="1517">
        <f>COUNTIF(E65:E72,TRUE)</f>
        <v>0</v>
      </c>
      <c r="G63" s="1517">
        <f>COUNTIFS(E65:E72,TRUE,G65:G72,"Not Blank")</f>
        <v>0</v>
      </c>
      <c r="H63" s="1517">
        <f>COUNTIFS(E65:E72,FALSE,G65:G72,"Not Blank")</f>
        <v>0</v>
      </c>
      <c r="I63" s="1497" t="str">
        <f xml:space="preserve">
IF(F63&gt;8,"Too Many Entries - Check A:TRed Lines",
IF(AND(E63=FALSE,G63=0,H63=0,E63=TRUE),"Nothing Required Below",
IF(G63&lt;F63,"Valid Entry required below - Check Amber Line/s",
IF(AND(E63=FALSE,G63=0,H63=0),"Nothing Entered below Yet",
IF(G63&lt;F63,"Valid Entry required below - Check Amber Line/s",
IF(AND(G63=0,H63&gt;0),"**Non-Valid Entry/ies below - Check Yellow Line/s",
IF(AND(G63&gt;0,H63&gt;0),"**Valid and Non-Valid Entries made below - Check Yellow Line/s",
IF(AND(E63=FALSE,F63&lt;8),"Not all requirements addressed below - Check Pink Line/s",
IF(AND(E63=FALSE,G63&lt;8,G63&gt;0,H63=0),"More entries to come",
IF(AND(E63,TRUE,G63=8,H63=0),"Valid Entries made below"
))))))))))</f>
        <v>Nothing Entered below Yet</v>
      </c>
      <c r="J63" s="1926">
        <f>COUNTIFS(E65:E72,TRUE,J65:J72,"Not Blank")</f>
        <v>0</v>
      </c>
      <c r="K63" s="1926">
        <f>COUNTIFS(E65:E72,FALSE,J65:J72,"Not Blank")</f>
        <v>0</v>
      </c>
      <c r="L63" s="2174" t="str">
        <f xml:space="preserve">
IF(J63&gt;8,"Too Many Entries - Check Red Lines",
IF(AND(E63=FALSE,J63=0,K63=0,E63=TRUE),"Nothing Required Below",
IF(J63&lt;F63,"Valid Entry required below - Check Amber Line/s",
IF(AND(E63=FALSE,J63=0,K63=0),"Nothing Entered below Yet",
IF(AND(J63=0,K63&gt;0),"**Non-Valid Entry/ies below - Check Yellow Line/s",
IF(AND(J63&gt;0,K63&gt;0),"**Valid and Non-Valid Entries made below - Check Yellow Line/s",
IF(AND(E63=FALSE,J63&lt;8),"Not all requirements addressed below - Check Pink Line/s",
IF(AND(E63=FALSE,J63&lt;8,J63&gt;0,K63=0),"More entries to come",
IF(AND(E63,TRUE,J63=8,K63=0),"Valid Entries made below"
)))))))))</f>
        <v>Nothing Entered below Yet</v>
      </c>
      <c r="M63" s="807"/>
      <c r="N63" s="4415"/>
      <c r="O63" s="4842" t="b">
        <f>IF(OR(N63="Compliant",N63="FE with work-a-round",N63="Functionally Equivalent"),TRUE,FALSE)</f>
        <v>0</v>
      </c>
      <c r="P63" s="807"/>
      <c r="Q63" s="698" t="s">
        <v>565</v>
      </c>
      <c r="R63" s="735" t="b">
        <f>IF(AND(R64=TRUE,R72=TRUE),TRUE,FALSE)</f>
        <v>0</v>
      </c>
      <c r="S63" s="44"/>
      <c r="T63" s="44"/>
      <c r="U63" s="68"/>
      <c r="V63" s="4415"/>
      <c r="W63" s="4854"/>
      <c r="X63" s="44"/>
      <c r="Y63" s="44"/>
      <c r="Z63" s="122"/>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40"/>
    </row>
    <row r="64" spans="1:84" s="27" customFormat="1" ht="30" thickTop="1" thickBot="1" x14ac:dyDescent="0.35">
      <c r="A64" s="1131">
        <v>7.1</v>
      </c>
      <c r="B64" s="1502" t="s">
        <v>1720</v>
      </c>
      <c r="C64" s="2172" t="s">
        <v>671</v>
      </c>
      <c r="D64" s="2149" t="s">
        <v>565</v>
      </c>
      <c r="E64" s="1802" t="b">
        <f>IF(AND(E65=TRUE,E66=TRUE,E67=TRUE,E68=TRUE,E69=TRUE,E70=TRUE,E71=TRUE),TRUE,FALSE)</f>
        <v>0</v>
      </c>
      <c r="F64" s="1517">
        <f>COUNTIF(E65:E71,TRUE)</f>
        <v>0</v>
      </c>
      <c r="G64" s="1517">
        <f>COUNTIFS(E65:E67,TRUE,G65:G67,"Not Blank")</f>
        <v>0</v>
      </c>
      <c r="H64" s="1517">
        <f>COUNTIFS(E65:E67,FALSE,G65:G67,"Not Blank")</f>
        <v>0</v>
      </c>
      <c r="I64" s="1648" t="str">
        <f xml:space="preserve">
IF(F64&gt;7,"Too Many Entries - Check Red Lines",
IF(AND(E64=FALSE,G64=0,H64=0,E64=TRUE),"Nothing Required Below",
IF(G64&lt;F64,"Valid Entry required below - Check Amber Line/s",
IF(AND(E64=FALSE,G64=0,H64=0),"Nothing Entered below Yet",
IF(G64&lt;F64,"Valid Entry required below - Check Amber Line/s",
IF(AND(G64=0,H64&gt;0),"**Non-Valid Entry/ies below - Check Yellow Line/s",
IF(AND(G64&gt;0,H64&gt;0),"**Valid and Non-Valid Entries made below - Check Yellow Line/s",
IF(AND(E64=FALSE,F64&lt;7),"Not all requirements addressed below - Check Pink Line/s",
IF(AND(E64=FALSE,G64&lt;7,G64&gt;0,H64=0),"More entries to come",
IF(AND(E64,TRUE,G64=7,H64=0),"Valid Entries made below"
))))))))))</f>
        <v>Nothing Entered below Yet</v>
      </c>
      <c r="J64" s="1647">
        <f>COUNTIFS(E65:E71,TRUE,J65:J71,"Not Blank")</f>
        <v>0</v>
      </c>
      <c r="K64" s="1647">
        <f>COUNTIFS(E65:E71,FALSE,J65:J71,"Not Blank")</f>
        <v>0</v>
      </c>
      <c r="L64" s="1648" t="str">
        <f xml:space="preserve">
IF(J64&gt;7,"Too Many Entries - Check Red Lines",
IF(AND(E64=FALSE,J64=0,K64=0,E63=TRUE),"Nothing Required Below",
IF(J64&lt;F64,"Valid Entry required below - Check Amber Line/s",
IF(AND(E64=FALSE,J64=0,K64=0),"Nothing Entered below Yet",
IF(AND(J64=0,K64&gt;0),"**Non-Valid Entry/ies below - Check Yellow Line/s",
IF(AND(J64&gt;0,K64&gt;0),"**Valid and Non-Valid Entries made below - Check Yellow Line/s",
IF(AND(E64=FALSE,J64&lt;7),"Not all requirements addressed below - Check Pink Line/s",
IF(AND(E64=FALSE,J64&lt;7,J64&gt;0,K64=0),"More entries to come",
IF(AND(E64,TRUE,J64=7,K64=0),"Valid Entries made below"
)))))))))</f>
        <v>Nothing Entered below Yet</v>
      </c>
      <c r="M64" s="2176"/>
      <c r="N64" s="4415"/>
      <c r="O64" s="4492"/>
      <c r="P64" s="2176"/>
      <c r="Q64" s="698" t="s">
        <v>565</v>
      </c>
      <c r="R64" s="735" t="b">
        <f>IF(AND(R65=TRUE,R66=TRUE,R67=TRUE,R68=TRUE,R69=TRUE,R70=TRUE,R71=TRUE),TRUE,FALSE)</f>
        <v>0</v>
      </c>
      <c r="S64" s="44"/>
      <c r="T64" s="44"/>
      <c r="U64" s="68"/>
      <c r="V64" s="4415"/>
      <c r="W64" s="4854"/>
      <c r="X64" s="44"/>
      <c r="Y64" s="44"/>
      <c r="Z64" s="122"/>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40"/>
    </row>
    <row r="65" spans="1:84" s="27" customFormat="1" ht="58.5" thickTop="1" x14ac:dyDescent="0.3">
      <c r="A65" s="1131"/>
      <c r="B65" s="1852"/>
      <c r="C65" s="1702" t="s">
        <v>926</v>
      </c>
      <c r="D65" s="1013" t="s">
        <v>3</v>
      </c>
      <c r="E65" s="121" t="b">
        <f t="shared" ref="E65:E72" si="1">IF(D65="Compliant",TRUE,FALSE)</f>
        <v>0</v>
      </c>
      <c r="F65" s="361"/>
      <c r="G65" s="380" t="str">
        <f t="shared" ref="G65:G72" si="2">IF(I65&lt;&gt;"", "Not Blank", "")</f>
        <v/>
      </c>
      <c r="H65" s="380"/>
      <c r="I65" s="4292"/>
      <c r="J65" s="44" t="str">
        <f t="shared" ref="J65:J72" si="3">IF(L65&lt;&gt;"", "Not Blank", "")</f>
        <v/>
      </c>
      <c r="K65" s="44"/>
      <c r="L65" s="2164"/>
      <c r="M65" s="128"/>
      <c r="N65" s="4415"/>
      <c r="O65" s="4492"/>
      <c r="P65" s="2177"/>
      <c r="Q65" s="863" t="s">
        <v>3</v>
      </c>
      <c r="R65" s="67" t="b">
        <f t="shared" ref="R65:R72" si="4">IF(OR(Q65="Compliant",Q65="FE with work-a-round",Q65="Functionally Equivalent"),TRUE,FALSE)</f>
        <v>0</v>
      </c>
      <c r="S65" s="44"/>
      <c r="T65" s="44"/>
      <c r="U65" s="68"/>
      <c r="V65" s="4415"/>
      <c r="W65" s="4854"/>
      <c r="X65" s="44"/>
      <c r="Y65" s="44"/>
      <c r="Z65" s="122"/>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40"/>
    </row>
    <row r="66" spans="1:84" s="27" customFormat="1" ht="58" x14ac:dyDescent="0.3">
      <c r="A66" s="1131"/>
      <c r="B66" s="1852"/>
      <c r="C66" s="1686" t="s">
        <v>927</v>
      </c>
      <c r="D66" s="319" t="s">
        <v>3</v>
      </c>
      <c r="E66" s="121" t="b">
        <f t="shared" si="1"/>
        <v>0</v>
      </c>
      <c r="F66" s="361"/>
      <c r="G66" s="380" t="str">
        <f t="shared" si="2"/>
        <v/>
      </c>
      <c r="H66" s="380"/>
      <c r="I66" s="2587"/>
      <c r="J66" s="44" t="str">
        <f t="shared" si="3"/>
        <v/>
      </c>
      <c r="K66" s="44"/>
      <c r="L66" s="44"/>
      <c r="M66" s="122"/>
      <c r="N66" s="4415"/>
      <c r="O66" s="4492"/>
      <c r="P66" s="68"/>
      <c r="Q66" s="690" t="s">
        <v>3</v>
      </c>
      <c r="R66" s="67" t="b">
        <f t="shared" si="4"/>
        <v>0</v>
      </c>
      <c r="S66" s="44"/>
      <c r="T66" s="44"/>
      <c r="U66" s="68"/>
      <c r="V66" s="4415"/>
      <c r="W66" s="4854"/>
      <c r="X66" s="44"/>
      <c r="Y66" s="44"/>
      <c r="Z66" s="122"/>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40"/>
    </row>
    <row r="67" spans="1:84" s="27" customFormat="1" ht="43.5" x14ac:dyDescent="0.3">
      <c r="A67" s="1131"/>
      <c r="B67" s="1852"/>
      <c r="C67" s="1686" t="s">
        <v>928</v>
      </c>
      <c r="D67" s="319" t="s">
        <v>3</v>
      </c>
      <c r="E67" s="121" t="b">
        <f t="shared" si="1"/>
        <v>0</v>
      </c>
      <c r="F67" s="361"/>
      <c r="G67" s="380" t="str">
        <f t="shared" si="2"/>
        <v/>
      </c>
      <c r="H67" s="380"/>
      <c r="I67" s="2587"/>
      <c r="J67" s="44" t="str">
        <f t="shared" si="3"/>
        <v/>
      </c>
      <c r="K67" s="44"/>
      <c r="L67" s="44"/>
      <c r="M67" s="122"/>
      <c r="N67" s="4415"/>
      <c r="O67" s="4492"/>
      <c r="P67" s="68"/>
      <c r="Q67" s="690" t="s">
        <v>3</v>
      </c>
      <c r="R67" s="67" t="b">
        <f t="shared" si="4"/>
        <v>0</v>
      </c>
      <c r="S67" s="44"/>
      <c r="T67" s="44"/>
      <c r="U67" s="68"/>
      <c r="V67" s="4415"/>
      <c r="W67" s="4854"/>
      <c r="X67" s="44"/>
      <c r="Y67" s="44"/>
      <c r="Z67" s="122"/>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40"/>
    </row>
    <row r="68" spans="1:84" s="27" customFormat="1" ht="29" x14ac:dyDescent="0.3">
      <c r="A68" s="1131"/>
      <c r="B68" s="1852"/>
      <c r="C68" s="1686" t="s">
        <v>929</v>
      </c>
      <c r="D68" s="319" t="s">
        <v>3</v>
      </c>
      <c r="E68" s="121" t="b">
        <f t="shared" si="1"/>
        <v>0</v>
      </c>
      <c r="F68" s="361"/>
      <c r="G68" s="380" t="str">
        <f t="shared" si="2"/>
        <v/>
      </c>
      <c r="H68" s="380"/>
      <c r="I68" s="2587"/>
      <c r="J68" s="44" t="str">
        <f t="shared" si="3"/>
        <v/>
      </c>
      <c r="K68" s="44"/>
      <c r="L68" s="44"/>
      <c r="M68" s="122"/>
      <c r="N68" s="4415"/>
      <c r="O68" s="4492"/>
      <c r="P68" s="68"/>
      <c r="Q68" s="690" t="s">
        <v>3</v>
      </c>
      <c r="R68" s="67" t="b">
        <f t="shared" si="4"/>
        <v>0</v>
      </c>
      <c r="S68" s="44"/>
      <c r="T68" s="44"/>
      <c r="U68" s="68"/>
      <c r="V68" s="4415"/>
      <c r="W68" s="4854"/>
      <c r="X68" s="44"/>
      <c r="Y68" s="44"/>
      <c r="Z68" s="122"/>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84" s="27" customFormat="1" ht="72.5" x14ac:dyDescent="0.3">
      <c r="A69" s="1131"/>
      <c r="B69" s="1852"/>
      <c r="C69" s="1686" t="s">
        <v>955</v>
      </c>
      <c r="D69" s="319" t="s">
        <v>3</v>
      </c>
      <c r="E69" s="121" t="b">
        <f t="shared" si="1"/>
        <v>0</v>
      </c>
      <c r="F69" s="361"/>
      <c r="G69" s="380" t="str">
        <f t="shared" si="2"/>
        <v/>
      </c>
      <c r="H69" s="380"/>
      <c r="I69" s="2587"/>
      <c r="J69" s="44" t="str">
        <f t="shared" si="3"/>
        <v/>
      </c>
      <c r="K69" s="44"/>
      <c r="L69" s="44"/>
      <c r="M69" s="122"/>
      <c r="N69" s="4415"/>
      <c r="O69" s="4492"/>
      <c r="P69" s="68"/>
      <c r="Q69" s="690" t="s">
        <v>3</v>
      </c>
      <c r="R69" s="67" t="b">
        <f t="shared" si="4"/>
        <v>0</v>
      </c>
      <c r="S69" s="44"/>
      <c r="T69" s="44"/>
      <c r="U69" s="68"/>
      <c r="V69" s="4415"/>
      <c r="W69" s="4854"/>
      <c r="X69" s="44"/>
      <c r="Y69" s="44"/>
      <c r="Z69" s="122"/>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84" s="27" customFormat="1" ht="29" x14ac:dyDescent="0.3">
      <c r="A70" s="1131"/>
      <c r="B70" s="1852"/>
      <c r="C70" s="1686" t="s">
        <v>930</v>
      </c>
      <c r="D70" s="319" t="s">
        <v>3</v>
      </c>
      <c r="E70" s="121" t="b">
        <f t="shared" si="1"/>
        <v>0</v>
      </c>
      <c r="F70" s="361"/>
      <c r="G70" s="380" t="str">
        <f t="shared" si="2"/>
        <v/>
      </c>
      <c r="H70" s="380"/>
      <c r="I70" s="2587"/>
      <c r="J70" s="44" t="str">
        <f t="shared" si="3"/>
        <v/>
      </c>
      <c r="K70" s="44"/>
      <c r="L70" s="44"/>
      <c r="M70" s="122"/>
      <c r="N70" s="4415"/>
      <c r="O70" s="4492"/>
      <c r="P70" s="68"/>
      <c r="Q70" s="690" t="s">
        <v>3</v>
      </c>
      <c r="R70" s="67" t="b">
        <f t="shared" si="4"/>
        <v>0</v>
      </c>
      <c r="S70" s="44"/>
      <c r="T70" s="44"/>
      <c r="U70" s="68"/>
      <c r="V70" s="4415"/>
      <c r="W70" s="4854"/>
      <c r="X70" s="44"/>
      <c r="Y70" s="44"/>
      <c r="Z70" s="122"/>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40"/>
    </row>
    <row r="71" spans="1:84" s="27" customFormat="1" ht="43.5" x14ac:dyDescent="0.3">
      <c r="A71" s="1131"/>
      <c r="B71" s="1852"/>
      <c r="C71" s="1686" t="s">
        <v>1797</v>
      </c>
      <c r="D71" s="319" t="s">
        <v>3</v>
      </c>
      <c r="E71" s="121" t="b">
        <f t="shared" si="1"/>
        <v>0</v>
      </c>
      <c r="F71" s="361"/>
      <c r="G71" s="380" t="str">
        <f t="shared" si="2"/>
        <v/>
      </c>
      <c r="H71" s="380"/>
      <c r="I71" s="2587"/>
      <c r="J71" s="44" t="str">
        <f t="shared" si="3"/>
        <v/>
      </c>
      <c r="K71" s="44"/>
      <c r="L71" s="44"/>
      <c r="M71" s="122"/>
      <c r="N71" s="4415"/>
      <c r="O71" s="4492"/>
      <c r="P71" s="68"/>
      <c r="Q71" s="690" t="s">
        <v>3</v>
      </c>
      <c r="R71" s="67" t="b">
        <f t="shared" si="4"/>
        <v>0</v>
      </c>
      <c r="S71" s="44"/>
      <c r="T71" s="44"/>
      <c r="U71" s="68"/>
      <c r="V71" s="4415"/>
      <c r="W71" s="4854"/>
      <c r="X71" s="44"/>
      <c r="Y71" s="44"/>
      <c r="Z71" s="122"/>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40"/>
    </row>
    <row r="72" spans="1:84" s="27" customFormat="1" ht="87.5" thickBot="1" x14ac:dyDescent="0.35">
      <c r="A72" s="1131">
        <v>7.2</v>
      </c>
      <c r="B72" s="1696"/>
      <c r="C72" s="1687" t="s">
        <v>931</v>
      </c>
      <c r="D72" s="230" t="s">
        <v>3</v>
      </c>
      <c r="E72" s="123" t="b">
        <f t="shared" si="1"/>
        <v>0</v>
      </c>
      <c r="F72" s="258"/>
      <c r="G72" s="404" t="str">
        <f t="shared" si="2"/>
        <v/>
      </c>
      <c r="H72" s="404"/>
      <c r="I72" s="2588"/>
      <c r="J72" s="124" t="str">
        <f t="shared" si="3"/>
        <v/>
      </c>
      <c r="K72" s="124"/>
      <c r="L72" s="124"/>
      <c r="M72" s="125"/>
      <c r="N72" s="4416"/>
      <c r="O72" s="4493"/>
      <c r="P72" s="246"/>
      <c r="Q72" s="691" t="s">
        <v>3</v>
      </c>
      <c r="R72" s="161" t="b">
        <f t="shared" si="4"/>
        <v>0</v>
      </c>
      <c r="S72" s="124"/>
      <c r="T72" s="124"/>
      <c r="U72" s="246"/>
      <c r="V72" s="4416"/>
      <c r="W72" s="4855"/>
      <c r="X72" s="124"/>
      <c r="Y72" s="124"/>
      <c r="Z72" s="125"/>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40"/>
    </row>
    <row r="73" spans="1:84" s="3668" customFormat="1" ht="19" customHeight="1" thickTop="1" x14ac:dyDescent="0.3">
      <c r="A73" s="4285"/>
      <c r="B73" s="3634"/>
      <c r="C73" s="3634"/>
      <c r="D73" s="3634"/>
      <c r="E73" s="3636"/>
      <c r="F73" s="3636"/>
      <c r="G73" s="3663"/>
      <c r="H73" s="3663"/>
      <c r="I73" s="3993"/>
      <c r="J73" s="3634"/>
      <c r="K73" s="3634"/>
      <c r="L73" s="3634"/>
      <c r="M73" s="3634"/>
      <c r="N73" s="3992"/>
      <c r="O73" s="3636"/>
      <c r="P73" s="3634"/>
      <c r="Q73" s="3634"/>
      <c r="R73" s="3634"/>
      <c r="S73" s="3634"/>
      <c r="T73" s="3634"/>
      <c r="U73" s="3634"/>
      <c r="V73" s="3639"/>
      <c r="W73" s="3639"/>
      <c r="X73" s="3634"/>
      <c r="Y73" s="3634"/>
      <c r="Z73" s="3634"/>
      <c r="AA73" s="3634"/>
      <c r="AB73" s="3634"/>
      <c r="AC73" s="3634"/>
      <c r="AD73" s="3634"/>
      <c r="AE73" s="3634"/>
      <c r="AF73" s="3634"/>
      <c r="AG73" s="3634"/>
      <c r="AH73" s="3634"/>
      <c r="AI73" s="3634"/>
      <c r="AJ73" s="3634"/>
      <c r="AK73" s="3634"/>
      <c r="AL73" s="3634"/>
      <c r="AM73" s="3634"/>
      <c r="AN73" s="3634"/>
      <c r="AO73" s="3634"/>
      <c r="AP73" s="3634"/>
      <c r="AQ73" s="3634"/>
      <c r="AR73" s="3634"/>
      <c r="AS73" s="3634"/>
      <c r="AT73" s="3634"/>
      <c r="AU73" s="3634"/>
      <c r="AV73" s="3634"/>
      <c r="AW73" s="3634"/>
      <c r="AX73" s="3634"/>
      <c r="AY73" s="3634"/>
      <c r="AZ73" s="3634"/>
      <c r="BA73" s="3634"/>
      <c r="BB73" s="3634"/>
      <c r="BC73" s="3634"/>
      <c r="BD73" s="3634"/>
      <c r="BE73" s="3634"/>
      <c r="BF73" s="3634"/>
      <c r="BG73" s="3634"/>
      <c r="BH73" s="3634"/>
      <c r="BI73" s="3634"/>
      <c r="BJ73" s="3634"/>
      <c r="BK73" s="3634"/>
      <c r="BL73" s="3634"/>
      <c r="BM73" s="3634"/>
      <c r="BN73" s="3634"/>
      <c r="BO73" s="3634"/>
      <c r="BP73" s="3634"/>
      <c r="BQ73" s="3634"/>
      <c r="BR73" s="3634"/>
      <c r="BS73" s="3634"/>
      <c r="BT73" s="3634"/>
      <c r="BU73" s="3634"/>
      <c r="BV73" s="3634"/>
      <c r="BW73" s="3634"/>
      <c r="BX73" s="3634"/>
      <c r="BY73" s="3634"/>
      <c r="BZ73" s="3634"/>
      <c r="CA73" s="3634"/>
      <c r="CB73" s="3634"/>
      <c r="CC73" s="3634"/>
      <c r="CD73" s="3634"/>
      <c r="CE73" s="3634"/>
      <c r="CF73" s="3634"/>
    </row>
    <row r="74" spans="1:84" s="3663" customFormat="1" ht="18.649999999999999" customHeight="1" x14ac:dyDescent="0.3">
      <c r="A74" s="4482" t="s">
        <v>1139</v>
      </c>
      <c r="B74" s="4483"/>
      <c r="C74" s="4483"/>
      <c r="D74" s="4483"/>
      <c r="E74" s="4483"/>
      <c r="F74" s="4483"/>
      <c r="G74" s="4483"/>
      <c r="H74" s="4483"/>
      <c r="I74" s="4483"/>
      <c r="J74" s="4483"/>
      <c r="K74" s="4483"/>
      <c r="L74" s="4483"/>
      <c r="M74" s="4483"/>
      <c r="N74" s="4483"/>
      <c r="O74" s="3669"/>
      <c r="P74" s="3670"/>
      <c r="Q74" s="3670"/>
      <c r="R74" s="3670"/>
      <c r="S74" s="3671"/>
      <c r="T74" s="3672"/>
      <c r="U74" s="3672"/>
      <c r="V74" s="3673"/>
      <c r="W74" s="3673"/>
      <c r="X74" s="3674"/>
      <c r="Y74" s="3675"/>
      <c r="Z74" s="3676"/>
    </row>
    <row r="75" spans="1:84" s="3678" customFormat="1" ht="23.15" customHeight="1" thickBot="1" x14ac:dyDescent="0.35">
      <c r="A75" s="4250"/>
      <c r="B75" s="3638"/>
      <c r="C75" s="3638"/>
      <c r="D75" s="3638"/>
      <c r="E75" s="3637"/>
      <c r="F75" s="3637"/>
      <c r="G75" s="3737"/>
      <c r="H75" s="3737"/>
      <c r="I75" s="3638"/>
      <c r="J75" s="3638"/>
      <c r="K75" s="3638"/>
      <c r="L75" s="3638"/>
      <c r="M75" s="3638"/>
      <c r="N75" s="3637"/>
      <c r="O75" s="3637"/>
      <c r="P75" s="3638"/>
      <c r="Q75" s="3638"/>
      <c r="R75" s="3638"/>
      <c r="S75" s="3638"/>
      <c r="T75" s="3638"/>
      <c r="U75" s="3638"/>
      <c r="V75" s="3642"/>
      <c r="W75" s="3639"/>
      <c r="X75" s="3634"/>
      <c r="Y75" s="3634"/>
      <c r="Z75" s="3634"/>
      <c r="AA75" s="3634"/>
      <c r="AB75" s="3634"/>
      <c r="AC75" s="3634"/>
      <c r="AD75" s="3634"/>
      <c r="AE75" s="3634"/>
      <c r="AF75" s="3634"/>
      <c r="AG75" s="3634"/>
      <c r="AH75" s="3634"/>
      <c r="AI75" s="3634"/>
      <c r="AJ75" s="3634"/>
      <c r="AK75" s="3634"/>
      <c r="AL75" s="3634"/>
      <c r="AM75" s="3634"/>
      <c r="AN75" s="3634"/>
      <c r="AO75" s="3634"/>
      <c r="AP75" s="3634"/>
      <c r="AQ75" s="3634"/>
      <c r="AR75" s="3634"/>
      <c r="AS75" s="3634"/>
      <c r="AT75" s="3634"/>
      <c r="AU75" s="3634"/>
      <c r="AV75" s="3634"/>
      <c r="AW75" s="3634"/>
      <c r="AX75" s="3634"/>
      <c r="AY75" s="3634"/>
      <c r="AZ75" s="3634"/>
      <c r="BA75" s="3634"/>
      <c r="BB75" s="3634"/>
      <c r="BC75" s="3634"/>
      <c r="BD75" s="3634"/>
      <c r="BE75" s="3634"/>
      <c r="BF75" s="3634"/>
      <c r="BG75" s="3634"/>
      <c r="BH75" s="3634"/>
      <c r="BI75" s="3634"/>
      <c r="BJ75" s="3634"/>
      <c r="BK75" s="3634"/>
      <c r="BL75" s="3634"/>
      <c r="BM75" s="3634"/>
      <c r="BN75" s="3634"/>
      <c r="BO75" s="3634"/>
      <c r="BP75" s="3634"/>
      <c r="BQ75" s="3634"/>
      <c r="BR75" s="3634"/>
      <c r="BS75" s="3634"/>
      <c r="BT75" s="3634"/>
      <c r="BU75" s="3634"/>
      <c r="BV75" s="3634"/>
      <c r="BW75" s="3634"/>
      <c r="BX75" s="3634"/>
      <c r="BY75" s="3634"/>
      <c r="BZ75" s="3634"/>
      <c r="CA75" s="3634"/>
      <c r="CB75" s="3634"/>
      <c r="CC75" s="3634"/>
      <c r="CD75" s="3634"/>
      <c r="CE75" s="3634"/>
      <c r="CF75" s="3634"/>
    </row>
    <row r="76" spans="1:84" s="28" customFormat="1" ht="30" thickTop="1" thickBot="1" x14ac:dyDescent="0.35">
      <c r="A76" s="1127"/>
      <c r="B76" s="2033" t="s">
        <v>1542</v>
      </c>
      <c r="C76" s="1697" t="s">
        <v>1798</v>
      </c>
      <c r="D76" s="2010" t="s">
        <v>565</v>
      </c>
      <c r="E76" s="2037" t="b">
        <f>IF(AND(E77=TRUE,E86=TRUE),TRUE,FALSE)</f>
        <v>0</v>
      </c>
      <c r="F76" s="1727">
        <f>SUM(F77,F86)</f>
        <v>0</v>
      </c>
      <c r="G76" s="2038">
        <f>SUM(G77,G86)</f>
        <v>0</v>
      </c>
      <c r="H76" s="2038">
        <f>SUM(H77,H86)</f>
        <v>0</v>
      </c>
      <c r="I76" s="1727" t="str">
        <f xml:space="preserve">
IF(F76&gt;22,"Too Many Entries - Check Red Lines",
IF(G76&lt;F76,"Valid Entry required below - Check Amber Line/s",
IF(AND(E76=FALSE,G76=0,H76=0),"Nothing Entered below Yet",
IF(G76&lt;F76,"Valid Entry required below - Check Amber Line/s",
IF(AND(G76=0,H76&gt;0),"**Non-Valid Entry/ies below - Check Yellow Line/s",
IF(AND(G76&gt;0,H76&gt;0),"**Valid and Non-Valid Entries made below - Check Yellow Line/s",
IF(AND(E76=FALSE,F76&lt;22),"Not all requirements addressed below - Check Pink Line/s",
IF(AND(E76=FALSE,G76&lt;22,G76&gt;0,H76=0),"More entries to come",
IF(AND(E76,TRUE,G76=22,H76=0),"Valid Entries made below"
)))))))))</f>
        <v>Nothing Entered below Yet</v>
      </c>
      <c r="J76" s="1727">
        <f>SUM(J77,J86)</f>
        <v>0</v>
      </c>
      <c r="K76" s="1727">
        <f>SUM(K77,K86)</f>
        <v>0</v>
      </c>
      <c r="L76" s="1727" t="str">
        <f xml:space="preserve">
IF(J76&gt;22,"Too Many Entries - Check Red Lines",
IF(AND(E76=FALSE,J76=0,K76=0,E76=TRUE),"Nothing Required Below",
IF(J76&lt;F76,"Valid Entry required below - Check Amber Line/s",
IF(AND(E76=FALSE,J76=0,K76=0),"Nothing Entered below Yet",
IF(AND(J76=0,K76&gt;0),"**Non-Valid Entry/ies below - Check Yellow Line/s",
IF(AND(J76&gt;0,K76&gt;0),"**Valid and Non-Valid Entries made below - Check Yellow Line/s",
IF(AND(E76=FALSE,J76&lt;22),"Not all requirements addressed below - Check Pink Line/s",
IF(AND(E76=FALSE,J76&lt;22,J76&gt;0,K76=0),"More entries to come",
IF(AND(E76,TRUE,J76=22,K76=0),"Valid Entries made below"
)))))))))</f>
        <v>Nothing Entered below Yet</v>
      </c>
      <c r="M76" s="861"/>
      <c r="N76" s="698" t="s">
        <v>565</v>
      </c>
      <c r="O76" s="119" t="b">
        <f>IF(AND(O77=TRUE,O86=TRUE),TRUE,FALSE)</f>
        <v>0</v>
      </c>
      <c r="P76" s="111"/>
      <c r="Q76" s="698" t="s">
        <v>565</v>
      </c>
      <c r="R76" s="749" t="b">
        <f>IF(AND(R77=TRUE,R86=TRUE),TRUE,FALSE)</f>
        <v>0</v>
      </c>
      <c r="S76" s="842"/>
      <c r="T76" s="842"/>
      <c r="U76" s="842"/>
      <c r="V76" s="698" t="s">
        <v>565</v>
      </c>
      <c r="W76" s="411" t="b">
        <f>IF(AND(W77=TRUE,W86=TRUE),TRUE,FALSE)</f>
        <v>0</v>
      </c>
      <c r="X76" s="842"/>
      <c r="Y76" s="842"/>
      <c r="Z76" s="807"/>
    </row>
    <row r="77" spans="1:84" s="28" customFormat="1" ht="73.5" thickTop="1" thickBot="1" x14ac:dyDescent="0.35">
      <c r="A77" s="1122"/>
      <c r="B77" s="1931" t="s">
        <v>1583</v>
      </c>
      <c r="C77" s="2175" t="s">
        <v>915</v>
      </c>
      <c r="D77" s="2010" t="s">
        <v>565</v>
      </c>
      <c r="E77" s="1801" t="b">
        <f>IF(AND(E78=TRUE,E79=TRUE,E80=TRUE,E81=TRUE,E82=TRUE,E83=TRUE,E84=TRUE,E85=TRUE),TRUE,FALSE)</f>
        <v>0</v>
      </c>
      <c r="F77" s="1514">
        <f>COUNTIF(E78:E85,TRUE)</f>
        <v>0</v>
      </c>
      <c r="G77" s="1514">
        <f>COUNTIFS(E78:E85,TRUE,G78:G85,"Not Blank")</f>
        <v>0</v>
      </c>
      <c r="H77" s="1514">
        <f>COUNTIFS(E78:E85,FALSE,G78:G85,"Not Blank")</f>
        <v>0</v>
      </c>
      <c r="I77" s="2155" t="str">
        <f xml:space="preserve">
IF(F77&gt;8,"Too Many Entries - Check Red Lines",
IF(G77&lt;F77,"Valid Entry required below - Check Amber Line/s",
IF(AND(E77=FALSE,G77=0,H77=0),"Nothing Entered below Yet",
IF(G77&lt;F77,"Valid Entry required below - Check Amber Line/s",
IF(AND(G77=0,H77&gt;0),"**Non-Valid Entry/ies below - Check Yellow Line/s",
IF(AND(G77&gt;0,H77&gt;0),"**Valid and Non-Valid Entries made below - Check Yellow Line/s",
IF(AND(E77=FALSE,F77&lt;8),"Not all requirements addressed below - Check Pink Line/s",
IF(AND(E77=FALSE,G77&lt;8,G77&gt;0,H77=0),"More entries to come",
IF(AND(E77,TRUE,G77=8,H77=0),"Valid Entries made below"
)))))))))</f>
        <v>Nothing Entered below Yet</v>
      </c>
      <c r="J77" s="1514">
        <f>COUNTIFS(E78:E85,TRUE,J78:J85,"Not Blank")</f>
        <v>0</v>
      </c>
      <c r="K77" s="1514">
        <f>COUNTIFS(E78:E85,FALSE,J78:J85,"Not Blank")</f>
        <v>0</v>
      </c>
      <c r="L77" s="2155" t="str">
        <f xml:space="preserve">
IF(J77&gt;8,"Too Many Entries - Check Red Lines",
IF(AND(E77=FALSE,J77=0,K77=0,E77=TRUE),"Nothing Required Below",
IF(J77&lt;F77,"Valid Entry required below - Check Amber Line/s",
IF(AND(E77=FALSE,J77=0,K77=0),"Nothing Entered below Yet",
IF(AND(J77=0,K77&gt;0),"**Non-Valid Entry/ies below - Check Yellow Line/s",
IF(AND(J77&gt;0,K77&gt;0),"**Valid and Non-Valid Entries made below - Check Yellow Line/s",
IF(AND(E77=FALSE,J77&lt;8),"Not all requirements addressed below - Check Pink Line/s",
IF(AND(E77=FALSE,J77&lt;8,J77&gt;0,K77=0),"More entries to come",
IF(AND(E77,TRUE,J77=8,K77=0),"Valid Entries made below"
)))))))))</f>
        <v>Nothing Entered below Yet</v>
      </c>
      <c r="M77" s="2176"/>
      <c r="N77" s="4414" t="s">
        <v>3</v>
      </c>
      <c r="O77" s="4842" t="b">
        <f t="shared" ref="O77:O86" si="5">IF(OR(N77="Compliant",N77="FE with work-a-round",N77="Functionally Equivalent"),TRUE,FALSE)</f>
        <v>0</v>
      </c>
      <c r="P77" s="2170"/>
      <c r="Q77" s="698" t="s">
        <v>565</v>
      </c>
      <c r="R77" s="840" t="b">
        <f>IF(AND(R78=TRUE,R79=TRUE,R80=TRUE,R81=TRUE,R82=TRUE,R83=TRUE,R84=TRUE,R85=TRUE),TRUE,FALSE)</f>
        <v>0</v>
      </c>
      <c r="S77" s="111"/>
      <c r="T77" s="111"/>
      <c r="U77" s="120"/>
      <c r="V77" s="4414" t="s">
        <v>3</v>
      </c>
      <c r="W77" s="4849" t="b">
        <f>IF(OR(V77="Compliant",V77="FE with work-a-round",V77="Functionally Equivalent",V77="Not Required/Applicable"),TRUE,FALSE)</f>
        <v>0</v>
      </c>
      <c r="X77" s="111"/>
      <c r="Y77" s="111"/>
      <c r="Z77" s="120"/>
      <c r="AS77" s="67"/>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68"/>
    </row>
    <row r="78" spans="1:84" s="28" customFormat="1" ht="29.5" thickTop="1" x14ac:dyDescent="0.3">
      <c r="A78" s="1122">
        <v>11.1</v>
      </c>
      <c r="B78" s="1852"/>
      <c r="C78" s="2034" t="s">
        <v>916</v>
      </c>
      <c r="D78" s="2168" t="s">
        <v>3</v>
      </c>
      <c r="E78" s="121" t="b">
        <f t="shared" ref="E78:E85" si="6">IF(D78="Compliant",TRUE,FALSE)</f>
        <v>0</v>
      </c>
      <c r="F78" s="44"/>
      <c r="G78" s="44" t="str">
        <f t="shared" ref="G78:G85" si="7">IF(I78&lt;&gt;"", "Not Blank", "")</f>
        <v/>
      </c>
      <c r="H78" s="44"/>
      <c r="I78" s="42"/>
      <c r="J78" s="44" t="str">
        <f t="shared" ref="J78:J85" si="8">IF(L78&lt;&gt;"", "Not Blank", "")</f>
        <v/>
      </c>
      <c r="K78" s="44"/>
      <c r="L78" s="42"/>
      <c r="M78" s="128"/>
      <c r="N78" s="4415"/>
      <c r="O78" s="4492" t="b">
        <f t="shared" si="5"/>
        <v>0</v>
      </c>
      <c r="P78" s="144"/>
      <c r="Q78" s="863" t="s">
        <v>3</v>
      </c>
      <c r="R78" s="67" t="b">
        <f t="shared" ref="R78:R85" si="9">IF(OR(Q78="Compliant",Q78="FE with work-a-round",Q78="Functionally Equivalent"),TRUE,FALSE)</f>
        <v>0</v>
      </c>
      <c r="S78" s="44"/>
      <c r="T78" s="44"/>
      <c r="U78" s="122"/>
      <c r="V78" s="4415"/>
      <c r="W78" s="4793"/>
      <c r="X78" s="44"/>
      <c r="Y78" s="44"/>
      <c r="Z78" s="122"/>
      <c r="AS78" s="67"/>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68"/>
    </row>
    <row r="79" spans="1:84" s="28" customFormat="1" ht="43.5" x14ac:dyDescent="0.3">
      <c r="A79" s="1122"/>
      <c r="B79" s="1852"/>
      <c r="C79" s="2034" t="s">
        <v>917</v>
      </c>
      <c r="D79" s="319" t="s">
        <v>3</v>
      </c>
      <c r="E79" s="121" t="b">
        <f t="shared" si="6"/>
        <v>0</v>
      </c>
      <c r="F79" s="44"/>
      <c r="G79" s="44" t="str">
        <f t="shared" si="7"/>
        <v/>
      </c>
      <c r="H79" s="44"/>
      <c r="I79" s="44"/>
      <c r="J79" s="44" t="str">
        <f t="shared" si="8"/>
        <v/>
      </c>
      <c r="K79" s="44"/>
      <c r="L79" s="44"/>
      <c r="M79" s="122"/>
      <c r="N79" s="4415"/>
      <c r="O79" s="4492" t="b">
        <f t="shared" si="5"/>
        <v>0</v>
      </c>
      <c r="P79" s="68"/>
      <c r="Q79" s="690" t="s">
        <v>3</v>
      </c>
      <c r="R79" s="67" t="b">
        <f t="shared" si="9"/>
        <v>0</v>
      </c>
      <c r="S79" s="44"/>
      <c r="T79" s="44"/>
      <c r="U79" s="122"/>
      <c r="V79" s="4415"/>
      <c r="W79" s="4793"/>
      <c r="X79" s="44"/>
      <c r="Y79" s="44"/>
      <c r="Z79" s="122"/>
      <c r="AS79" s="67"/>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68"/>
    </row>
    <row r="80" spans="1:84" s="28" customFormat="1" ht="43.5" x14ac:dyDescent="0.3">
      <c r="A80" s="1122"/>
      <c r="B80" s="1852"/>
      <c r="C80" s="2034" t="s">
        <v>918</v>
      </c>
      <c r="D80" s="319" t="s">
        <v>3</v>
      </c>
      <c r="E80" s="121" t="b">
        <f t="shared" si="6"/>
        <v>0</v>
      </c>
      <c r="F80" s="44"/>
      <c r="G80" s="44" t="str">
        <f t="shared" si="7"/>
        <v/>
      </c>
      <c r="H80" s="44"/>
      <c r="I80" s="44"/>
      <c r="J80" s="44" t="str">
        <f t="shared" si="8"/>
        <v/>
      </c>
      <c r="K80" s="44"/>
      <c r="L80" s="44"/>
      <c r="M80" s="122"/>
      <c r="N80" s="4415"/>
      <c r="O80" s="4492" t="b">
        <f t="shared" si="5"/>
        <v>0</v>
      </c>
      <c r="P80" s="68"/>
      <c r="Q80" s="690" t="s">
        <v>3</v>
      </c>
      <c r="R80" s="67" t="b">
        <f t="shared" si="9"/>
        <v>0</v>
      </c>
      <c r="S80" s="44"/>
      <c r="T80" s="44"/>
      <c r="U80" s="122"/>
      <c r="V80" s="4415"/>
      <c r="W80" s="4793"/>
      <c r="X80" s="44"/>
      <c r="Y80" s="44"/>
      <c r="Z80" s="122"/>
      <c r="AS80" s="67"/>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68"/>
    </row>
    <row r="81" spans="1:84" s="28" customFormat="1" ht="116" x14ac:dyDescent="0.3">
      <c r="A81" s="1122"/>
      <c r="B81" s="1852"/>
      <c r="C81" s="2034" t="s">
        <v>919</v>
      </c>
      <c r="D81" s="319" t="s">
        <v>3</v>
      </c>
      <c r="E81" s="121" t="b">
        <f t="shared" si="6"/>
        <v>0</v>
      </c>
      <c r="F81" s="44"/>
      <c r="G81" s="44" t="str">
        <f t="shared" si="7"/>
        <v/>
      </c>
      <c r="H81" s="44"/>
      <c r="I81" s="44"/>
      <c r="J81" s="44" t="str">
        <f t="shared" si="8"/>
        <v/>
      </c>
      <c r="K81" s="44"/>
      <c r="L81" s="44"/>
      <c r="M81" s="122"/>
      <c r="N81" s="4415"/>
      <c r="O81" s="4492" t="b">
        <f t="shared" si="5"/>
        <v>0</v>
      </c>
      <c r="P81" s="68"/>
      <c r="Q81" s="690" t="s">
        <v>3</v>
      </c>
      <c r="R81" s="67" t="b">
        <f t="shared" si="9"/>
        <v>0</v>
      </c>
      <c r="S81" s="44"/>
      <c r="T81" s="44"/>
      <c r="U81" s="122"/>
      <c r="V81" s="4415"/>
      <c r="W81" s="4793"/>
      <c r="X81" s="44"/>
      <c r="Y81" s="44"/>
      <c r="Z81" s="122"/>
      <c r="AS81" s="67"/>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68"/>
    </row>
    <row r="82" spans="1:84" s="28" customFormat="1" ht="87" x14ac:dyDescent="0.3">
      <c r="A82" s="1122"/>
      <c r="B82" s="1852"/>
      <c r="C82" s="2034" t="s">
        <v>920</v>
      </c>
      <c r="D82" s="319" t="s">
        <v>3</v>
      </c>
      <c r="E82" s="121" t="b">
        <f t="shared" si="6"/>
        <v>0</v>
      </c>
      <c r="F82" s="44"/>
      <c r="G82" s="44" t="str">
        <f t="shared" si="7"/>
        <v/>
      </c>
      <c r="H82" s="44"/>
      <c r="I82" s="44"/>
      <c r="J82" s="44" t="str">
        <f t="shared" si="8"/>
        <v/>
      </c>
      <c r="K82" s="44"/>
      <c r="L82" s="44"/>
      <c r="M82" s="122"/>
      <c r="N82" s="4415"/>
      <c r="O82" s="4492" t="b">
        <f t="shared" si="5"/>
        <v>0</v>
      </c>
      <c r="P82" s="68"/>
      <c r="Q82" s="690" t="s">
        <v>3</v>
      </c>
      <c r="R82" s="67" t="b">
        <f t="shared" si="9"/>
        <v>0</v>
      </c>
      <c r="S82" s="44"/>
      <c r="T82" s="44"/>
      <c r="U82" s="122"/>
      <c r="V82" s="4415"/>
      <c r="W82" s="4793"/>
      <c r="X82" s="44"/>
      <c r="Y82" s="44"/>
      <c r="Z82" s="122"/>
      <c r="AS82" s="67"/>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68"/>
    </row>
    <row r="83" spans="1:84" s="28" customFormat="1" ht="43.5" x14ac:dyDescent="0.3">
      <c r="A83" s="1122"/>
      <c r="B83" s="1852"/>
      <c r="C83" s="2034" t="s">
        <v>921</v>
      </c>
      <c r="D83" s="319" t="s">
        <v>3</v>
      </c>
      <c r="E83" s="121" t="b">
        <f t="shared" si="6"/>
        <v>0</v>
      </c>
      <c r="F83" s="44"/>
      <c r="G83" s="44" t="str">
        <f t="shared" si="7"/>
        <v/>
      </c>
      <c r="H83" s="44"/>
      <c r="I83" s="44"/>
      <c r="J83" s="44" t="str">
        <f t="shared" si="8"/>
        <v/>
      </c>
      <c r="K83" s="44"/>
      <c r="L83" s="44"/>
      <c r="M83" s="122"/>
      <c r="N83" s="4415"/>
      <c r="O83" s="4492" t="b">
        <f t="shared" si="5"/>
        <v>0</v>
      </c>
      <c r="P83" s="68"/>
      <c r="Q83" s="690" t="s">
        <v>3</v>
      </c>
      <c r="R83" s="67" t="b">
        <f t="shared" si="9"/>
        <v>0</v>
      </c>
      <c r="S83" s="44"/>
      <c r="T83" s="44"/>
      <c r="U83" s="122"/>
      <c r="V83" s="4415"/>
      <c r="W83" s="4793"/>
      <c r="X83" s="44"/>
      <c r="Y83" s="44"/>
      <c r="Z83" s="122"/>
      <c r="AS83" s="67"/>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68"/>
    </row>
    <row r="84" spans="1:84" s="28" customFormat="1" ht="29" x14ac:dyDescent="0.3">
      <c r="A84" s="1122"/>
      <c r="B84" s="1852"/>
      <c r="C84" s="2034" t="s">
        <v>922</v>
      </c>
      <c r="D84" s="319" t="s">
        <v>3</v>
      </c>
      <c r="E84" s="121" t="b">
        <f t="shared" si="6"/>
        <v>0</v>
      </c>
      <c r="F84" s="44"/>
      <c r="G84" s="44" t="str">
        <f t="shared" si="7"/>
        <v/>
      </c>
      <c r="H84" s="44"/>
      <c r="I84" s="44"/>
      <c r="J84" s="44" t="str">
        <f t="shared" si="8"/>
        <v/>
      </c>
      <c r="K84" s="44"/>
      <c r="L84" s="44"/>
      <c r="M84" s="122"/>
      <c r="N84" s="4415"/>
      <c r="O84" s="4492" t="b">
        <f t="shared" si="5"/>
        <v>0</v>
      </c>
      <c r="P84" s="68"/>
      <c r="Q84" s="690" t="s">
        <v>3</v>
      </c>
      <c r="R84" s="67" t="b">
        <f t="shared" si="9"/>
        <v>0</v>
      </c>
      <c r="S84" s="44"/>
      <c r="T84" s="44"/>
      <c r="U84" s="122"/>
      <c r="V84" s="4415"/>
      <c r="W84" s="4793"/>
      <c r="X84" s="44"/>
      <c r="Y84" s="44"/>
      <c r="Z84" s="122"/>
      <c r="AS84" s="67"/>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68"/>
    </row>
    <row r="85" spans="1:84" s="28" customFormat="1" ht="46.5" customHeight="1" thickBot="1" x14ac:dyDescent="0.35">
      <c r="A85" s="1122"/>
      <c r="B85" s="2035"/>
      <c r="C85" s="2036" t="s">
        <v>923</v>
      </c>
      <c r="D85" s="849" t="s">
        <v>3</v>
      </c>
      <c r="E85" s="895" t="b">
        <f t="shared" si="6"/>
        <v>0</v>
      </c>
      <c r="F85" s="79"/>
      <c r="G85" s="79" t="str">
        <f t="shared" si="7"/>
        <v/>
      </c>
      <c r="H85" s="79"/>
      <c r="I85" s="79"/>
      <c r="J85" s="79" t="str">
        <f t="shared" si="8"/>
        <v/>
      </c>
      <c r="K85" s="79"/>
      <c r="L85" s="79"/>
      <c r="M85" s="127"/>
      <c r="N85" s="4416"/>
      <c r="O85" s="4535" t="b">
        <f t="shared" si="5"/>
        <v>0</v>
      </c>
      <c r="P85" s="143"/>
      <c r="Q85" s="691" t="s">
        <v>3</v>
      </c>
      <c r="R85" s="161" t="b">
        <f t="shared" si="9"/>
        <v>0</v>
      </c>
      <c r="S85" s="124"/>
      <c r="T85" s="124"/>
      <c r="U85" s="125"/>
      <c r="V85" s="4416"/>
      <c r="W85" s="4850"/>
      <c r="X85" s="124"/>
      <c r="Y85" s="124"/>
      <c r="Z85" s="125"/>
      <c r="AS85" s="78"/>
      <c r="AT85" s="79"/>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68"/>
    </row>
    <row r="86" spans="1:84" s="28" customFormat="1" ht="44.5" thickTop="1" thickBot="1" x14ac:dyDescent="0.35">
      <c r="A86" s="1122"/>
      <c r="B86" s="2033" t="s">
        <v>1557</v>
      </c>
      <c r="C86" s="1697" t="s">
        <v>1258</v>
      </c>
      <c r="D86" s="1925" t="s">
        <v>565</v>
      </c>
      <c r="E86" s="2192" t="b">
        <f>IF(AND(E87=TRUE,E88=TRUE,E89=TRUE,E90=TRUE,E91=TRUE,E92=TRUE,E93=TRUE,E94=TRUE,E95=TRUE,E96=TRUE,E97=TRUE,E98=TRUE,E99=TRUE,E100=TRUE),TRUE,FALSE)</f>
        <v>0</v>
      </c>
      <c r="F86" s="1497">
        <f>COUNTIF(E87:E100,TRUE)</f>
        <v>0</v>
      </c>
      <c r="G86" s="1497">
        <f>COUNTIFS(E87:E100,TRUE,G87:G100,"Not Blank")</f>
        <v>0</v>
      </c>
      <c r="H86" s="1497">
        <f>COUNTIFS(E87:E100,FALSE,G87:G100,"Not Blank")</f>
        <v>0</v>
      </c>
      <c r="I86" s="1497" t="str">
        <f xml:space="preserve">
IF(F86&gt;14,"Too Many Entries - Check Red Lines",
IF(G86&lt;F86,"Valid Entry required below - Check Amber Line/s",
IF(AND(E86=FALSE,G86=0,H86=0),"Nothing Entered below Yet",
IF(G86&lt;F86,"Valid Entry required below - Check Amber Line/s",
IF(AND(G86=0,H86&gt;0),"**Non-Valid Entry/ies below - Check Yellow Line/s",
IF(AND(G86&gt;0,H86&gt;0),"**Valid and Non-Valid Entries made below - Check Yellow Line/s",
IF(AND(E86=FALSE,F86&lt;14),"Not all requirements addressed below - Check Pink Line/s",
IF(AND(E86=FALSE,G86&lt;14,G86&gt;0,H86=0),"More entries to come",
IF(AND(E86,TRUE,G86=14,H86=0),"Valid Entries made below"
)))))))))</f>
        <v>Nothing Entered below Yet</v>
      </c>
      <c r="J86" s="2155">
        <f>COUNTIFS(E87:E100,TRUE,J87:J100,"Not Blank")</f>
        <v>0</v>
      </c>
      <c r="K86" s="2155">
        <f>COUNTIFS(E87:E100,FALSE,J87:J100,"Not Blank")</f>
        <v>0</v>
      </c>
      <c r="L86" s="1497" t="str">
        <f xml:space="preserve">
IF(J86&gt;14,"Too Many Entries - Check Red Lines",
IF(AND(E86=FALSE,J86=0,K86=0,E86=TRUE),"Nothing Required Below",
IF(J86&lt;F86,"Valid Entry required below - Check Amber Line/s",
IF(AND(E86=FALSE,J86=0,K86=0),"Nothing Entered below Yet",
IF(AND(J86=0,K86&gt;0),"**Non-Valid Entry/ies below - Check Yellow Line/s",
IF(AND(J86&gt;0,K86&gt;0),"**Valid and Non-Valid Entries made below - Check Yellow Line/s",
IF(AND(E86=FALSE,J86&lt;14),"Not all requirements addressed below - Check Pink Line/s",
IF(AND(E86=FALSE,J86&lt;14,J86&gt;0,K86=0),"More entries to come",
IF(AND(E86,TRUE,J86=14,K86=0),"Valid Entries made below"
)))))))))</f>
        <v>Nothing Entered below Yet</v>
      </c>
      <c r="M86" s="134"/>
      <c r="N86" s="4506" t="s">
        <v>3</v>
      </c>
      <c r="O86" s="4842" t="b">
        <f t="shared" si="5"/>
        <v>0</v>
      </c>
      <c r="P86" s="807"/>
      <c r="Q86" s="1939" t="s">
        <v>565</v>
      </c>
      <c r="R86" s="815" t="b">
        <f>IF(AND(R87=TRUE,R88=TRUE,R89=TRUE,R90=TRUE,R91=TRUE,R92=TRUE,R93=TRUE,R94=TRUE,R95=TRUE,R96=TRUE,R97=TRUE,R98=TRUE,R99=TRUE,R100=TRUE),TRUE,FALSE)</f>
        <v>0</v>
      </c>
      <c r="S86" s="42"/>
      <c r="T86" s="42"/>
      <c r="U86" s="144"/>
      <c r="V86" s="4414" t="s">
        <v>3</v>
      </c>
      <c r="W86" s="4754" t="b">
        <f>IF(OR(V86="Compliant",V86="FE with work-a-round",V86="Functionally Equivalent",V86="Not Required/Applicable"),TRUE,FALSE)</f>
        <v>0</v>
      </c>
      <c r="X86" s="42"/>
      <c r="Y86" s="42"/>
      <c r="Z86" s="128"/>
      <c r="AS86" s="78"/>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143"/>
    </row>
    <row r="87" spans="1:84" s="28" customFormat="1" ht="46.5" customHeight="1" thickTop="1" x14ac:dyDescent="0.3">
      <c r="A87" s="1122"/>
      <c r="B87" s="1811"/>
      <c r="C87" s="1702" t="s">
        <v>91</v>
      </c>
      <c r="D87" s="1013" t="s">
        <v>3</v>
      </c>
      <c r="E87" s="497" t="b">
        <f t="shared" ref="E87:E100" si="10">IF(D87="Compliant",TRUE,FALSE)</f>
        <v>0</v>
      </c>
      <c r="F87" s="497"/>
      <c r="G87" s="497" t="str">
        <f t="shared" ref="G87:G100" si="11">IF(I87&lt;&gt;"", "Not Blank", "")</f>
        <v/>
      </c>
      <c r="H87" s="497"/>
      <c r="I87" s="41"/>
      <c r="J87" s="42" t="str">
        <f t="shared" ref="J87:J100" si="12">IF(L87&lt;&gt;"", "Not Blank", "")</f>
        <v/>
      </c>
      <c r="K87" s="42"/>
      <c r="L87" s="42"/>
      <c r="M87" s="128"/>
      <c r="N87" s="4507"/>
      <c r="O87" s="4492"/>
      <c r="P87" s="120"/>
      <c r="Q87" s="863" t="s">
        <v>3</v>
      </c>
      <c r="R87" s="67" t="b">
        <f t="shared" ref="R87:R100" si="13">IF(OR(Q87="Compliant",Q87="FE with work-a-round",Q87="Functionally Equivalent"),TRUE,FALSE)</f>
        <v>0</v>
      </c>
      <c r="S87" s="44"/>
      <c r="T87" s="44"/>
      <c r="U87" s="68"/>
      <c r="V87" s="4415"/>
      <c r="W87" s="4754"/>
      <c r="X87" s="44"/>
      <c r="Y87" s="44"/>
      <c r="Z87" s="122"/>
      <c r="AS87" s="78"/>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143"/>
    </row>
    <row r="88" spans="1:84" s="28" customFormat="1" ht="46.5" customHeight="1" x14ac:dyDescent="0.3">
      <c r="A88" s="1122"/>
      <c r="B88" s="1811"/>
      <c r="C88" s="1686" t="s">
        <v>92</v>
      </c>
      <c r="D88" s="319" t="s">
        <v>3</v>
      </c>
      <c r="E88" s="205" t="b">
        <f t="shared" si="10"/>
        <v>0</v>
      </c>
      <c r="F88" s="205"/>
      <c r="G88" s="205" t="str">
        <f t="shared" si="11"/>
        <v/>
      </c>
      <c r="H88" s="205"/>
      <c r="I88" s="67"/>
      <c r="J88" s="44" t="str">
        <f t="shared" si="12"/>
        <v/>
      </c>
      <c r="K88" s="44"/>
      <c r="L88" s="44"/>
      <c r="M88" s="122"/>
      <c r="N88" s="4507"/>
      <c r="O88" s="4492"/>
      <c r="P88" s="68"/>
      <c r="Q88" s="690" t="s">
        <v>3</v>
      </c>
      <c r="R88" s="67" t="b">
        <f t="shared" si="13"/>
        <v>0</v>
      </c>
      <c r="S88" s="44"/>
      <c r="T88" s="44"/>
      <c r="U88" s="68"/>
      <c r="V88" s="4415"/>
      <c r="W88" s="4754"/>
      <c r="X88" s="44"/>
      <c r="Y88" s="44"/>
      <c r="Z88" s="122"/>
      <c r="AS88" s="78"/>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143"/>
    </row>
    <row r="89" spans="1:84" s="28" customFormat="1" ht="46.5" customHeight="1" x14ac:dyDescent="0.3">
      <c r="A89" s="1122"/>
      <c r="B89" s="1811"/>
      <c r="C89" s="1686" t="s">
        <v>93</v>
      </c>
      <c r="D89" s="319" t="s">
        <v>3</v>
      </c>
      <c r="E89" s="205" t="b">
        <f t="shared" si="10"/>
        <v>0</v>
      </c>
      <c r="F89" s="205"/>
      <c r="G89" s="205" t="str">
        <f t="shared" si="11"/>
        <v/>
      </c>
      <c r="H89" s="205"/>
      <c r="I89" s="67"/>
      <c r="J89" s="44" t="str">
        <f t="shared" si="12"/>
        <v/>
      </c>
      <c r="K89" s="44"/>
      <c r="L89" s="44"/>
      <c r="M89" s="122"/>
      <c r="N89" s="4507"/>
      <c r="O89" s="4492"/>
      <c r="P89" s="68"/>
      <c r="Q89" s="690" t="s">
        <v>3</v>
      </c>
      <c r="R89" s="67" t="b">
        <f t="shared" si="13"/>
        <v>0</v>
      </c>
      <c r="S89" s="44"/>
      <c r="T89" s="44"/>
      <c r="U89" s="68"/>
      <c r="V89" s="4415"/>
      <c r="W89" s="4754"/>
      <c r="X89" s="44"/>
      <c r="Y89" s="44"/>
      <c r="Z89" s="122"/>
      <c r="AS89" s="78"/>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143"/>
    </row>
    <row r="90" spans="1:84" s="28" customFormat="1" ht="46.5" customHeight="1" x14ac:dyDescent="0.3">
      <c r="A90" s="1122"/>
      <c r="B90" s="1811"/>
      <c r="C90" s="1686" t="s">
        <v>94</v>
      </c>
      <c r="D90" s="319" t="s">
        <v>3</v>
      </c>
      <c r="E90" s="205" t="b">
        <f t="shared" si="10"/>
        <v>0</v>
      </c>
      <c r="F90" s="205"/>
      <c r="G90" s="205" t="str">
        <f t="shared" si="11"/>
        <v/>
      </c>
      <c r="H90" s="205"/>
      <c r="I90" s="67"/>
      <c r="J90" s="44" t="str">
        <f t="shared" si="12"/>
        <v/>
      </c>
      <c r="K90" s="44"/>
      <c r="L90" s="44"/>
      <c r="M90" s="122"/>
      <c r="N90" s="4507"/>
      <c r="O90" s="4492"/>
      <c r="P90" s="68"/>
      <c r="Q90" s="690" t="s">
        <v>3</v>
      </c>
      <c r="R90" s="67" t="b">
        <f t="shared" si="13"/>
        <v>0</v>
      </c>
      <c r="S90" s="44"/>
      <c r="T90" s="44"/>
      <c r="U90" s="68"/>
      <c r="V90" s="4415"/>
      <c r="W90" s="4754"/>
      <c r="X90" s="44"/>
      <c r="Y90" s="44"/>
      <c r="Z90" s="122"/>
      <c r="AS90" s="78"/>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143"/>
    </row>
    <row r="91" spans="1:84" s="28" customFormat="1" ht="46.5" customHeight="1" x14ac:dyDescent="0.3">
      <c r="A91" s="1122"/>
      <c r="B91" s="1811"/>
      <c r="C91" s="1686" t="s">
        <v>1241</v>
      </c>
      <c r="D91" s="319" t="s">
        <v>3</v>
      </c>
      <c r="E91" s="205" t="b">
        <f t="shared" si="10"/>
        <v>0</v>
      </c>
      <c r="F91" s="205"/>
      <c r="G91" s="205" t="str">
        <f t="shared" si="11"/>
        <v/>
      </c>
      <c r="H91" s="205"/>
      <c r="I91" s="67"/>
      <c r="J91" s="44" t="str">
        <f t="shared" si="12"/>
        <v/>
      </c>
      <c r="K91" s="44"/>
      <c r="L91" s="44"/>
      <c r="M91" s="122"/>
      <c r="N91" s="4507"/>
      <c r="O91" s="4492"/>
      <c r="P91" s="68"/>
      <c r="Q91" s="692" t="s">
        <v>3</v>
      </c>
      <c r="R91" s="67" t="b">
        <f t="shared" si="13"/>
        <v>0</v>
      </c>
      <c r="S91" s="44"/>
      <c r="T91" s="44"/>
      <c r="U91" s="68"/>
      <c r="V91" s="4415"/>
      <c r="W91" s="4754"/>
      <c r="X91" s="44"/>
      <c r="Y91" s="44"/>
      <c r="Z91" s="122"/>
      <c r="AS91" s="78"/>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143"/>
    </row>
    <row r="92" spans="1:84" s="28" customFormat="1" ht="46.5" customHeight="1" x14ac:dyDescent="0.3">
      <c r="A92" s="1122"/>
      <c r="B92" s="1811"/>
      <c r="C92" s="1686" t="s">
        <v>97</v>
      </c>
      <c r="D92" s="319" t="s">
        <v>3</v>
      </c>
      <c r="E92" s="205" t="b">
        <f t="shared" si="10"/>
        <v>0</v>
      </c>
      <c r="F92" s="205"/>
      <c r="G92" s="205" t="str">
        <f t="shared" si="11"/>
        <v/>
      </c>
      <c r="H92" s="205"/>
      <c r="I92" s="67"/>
      <c r="J92" s="44" t="str">
        <f t="shared" si="12"/>
        <v/>
      </c>
      <c r="K92" s="44"/>
      <c r="L92" s="44"/>
      <c r="M92" s="122"/>
      <c r="N92" s="4507"/>
      <c r="O92" s="4492"/>
      <c r="P92" s="68"/>
      <c r="Q92" s="690" t="s">
        <v>3</v>
      </c>
      <c r="R92" s="67" t="b">
        <f t="shared" si="13"/>
        <v>0</v>
      </c>
      <c r="S92" s="44"/>
      <c r="T92" s="44"/>
      <c r="U92" s="68"/>
      <c r="V92" s="4415"/>
      <c r="W92" s="4754"/>
      <c r="X92" s="44"/>
      <c r="Y92" s="44"/>
      <c r="Z92" s="122"/>
      <c r="AS92" s="78"/>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143"/>
    </row>
    <row r="93" spans="1:84" s="28" customFormat="1" ht="46.5" customHeight="1" x14ac:dyDescent="0.3">
      <c r="A93" s="1122"/>
      <c r="B93" s="1811"/>
      <c r="C93" s="1686" t="s">
        <v>99</v>
      </c>
      <c r="D93" s="319" t="s">
        <v>3</v>
      </c>
      <c r="E93" s="205" t="b">
        <f t="shared" si="10"/>
        <v>0</v>
      </c>
      <c r="F93" s="205"/>
      <c r="G93" s="205" t="str">
        <f t="shared" si="11"/>
        <v/>
      </c>
      <c r="H93" s="205"/>
      <c r="I93" s="67"/>
      <c r="J93" s="44" t="str">
        <f t="shared" si="12"/>
        <v/>
      </c>
      <c r="K93" s="44"/>
      <c r="L93" s="44"/>
      <c r="M93" s="122"/>
      <c r="N93" s="4507"/>
      <c r="O93" s="4492"/>
      <c r="P93" s="68"/>
      <c r="Q93" s="690" t="s">
        <v>3</v>
      </c>
      <c r="R93" s="67" t="b">
        <f t="shared" si="13"/>
        <v>0</v>
      </c>
      <c r="S93" s="44"/>
      <c r="T93" s="44"/>
      <c r="U93" s="68"/>
      <c r="V93" s="4415"/>
      <c r="W93" s="4754"/>
      <c r="X93" s="44"/>
      <c r="Y93" s="44"/>
      <c r="Z93" s="122"/>
      <c r="AS93" s="78"/>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143"/>
    </row>
    <row r="94" spans="1:84" s="28" customFormat="1" ht="46.5" customHeight="1" x14ac:dyDescent="0.3">
      <c r="A94" s="1122"/>
      <c r="B94" s="1811"/>
      <c r="C94" s="1686" t="s">
        <v>103</v>
      </c>
      <c r="D94" s="319" t="s">
        <v>3</v>
      </c>
      <c r="E94" s="205" t="b">
        <f t="shared" si="10"/>
        <v>0</v>
      </c>
      <c r="F94" s="205"/>
      <c r="G94" s="205" t="str">
        <f t="shared" si="11"/>
        <v/>
      </c>
      <c r="H94" s="205"/>
      <c r="I94" s="67"/>
      <c r="J94" s="44" t="str">
        <f t="shared" si="12"/>
        <v/>
      </c>
      <c r="K94" s="44"/>
      <c r="L94" s="44"/>
      <c r="M94" s="122"/>
      <c r="N94" s="4507"/>
      <c r="O94" s="4492"/>
      <c r="P94" s="68"/>
      <c r="Q94" s="690" t="s">
        <v>3</v>
      </c>
      <c r="R94" s="67" t="b">
        <f t="shared" si="13"/>
        <v>0</v>
      </c>
      <c r="S94" s="44"/>
      <c r="T94" s="44"/>
      <c r="U94" s="68"/>
      <c r="V94" s="4415"/>
      <c r="W94" s="4754"/>
      <c r="X94" s="44"/>
      <c r="Y94" s="44"/>
      <c r="Z94" s="122"/>
      <c r="AS94" s="78"/>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143"/>
    </row>
    <row r="95" spans="1:84" s="28" customFormat="1" ht="46.5" customHeight="1" x14ac:dyDescent="0.3">
      <c r="A95" s="1122"/>
      <c r="B95" s="1811"/>
      <c r="C95" s="1686" t="s">
        <v>107</v>
      </c>
      <c r="D95" s="319" t="s">
        <v>3</v>
      </c>
      <c r="E95" s="205" t="b">
        <f t="shared" si="10"/>
        <v>0</v>
      </c>
      <c r="F95" s="205"/>
      <c r="G95" s="205" t="str">
        <f t="shared" si="11"/>
        <v/>
      </c>
      <c r="H95" s="205"/>
      <c r="I95" s="67"/>
      <c r="J95" s="44" t="str">
        <f t="shared" si="12"/>
        <v/>
      </c>
      <c r="K95" s="44"/>
      <c r="L95" s="44"/>
      <c r="M95" s="122"/>
      <c r="N95" s="4507"/>
      <c r="O95" s="4492"/>
      <c r="P95" s="68"/>
      <c r="Q95" s="690" t="s">
        <v>3</v>
      </c>
      <c r="R95" s="67" t="b">
        <f t="shared" si="13"/>
        <v>0</v>
      </c>
      <c r="S95" s="44"/>
      <c r="T95" s="44"/>
      <c r="U95" s="68"/>
      <c r="V95" s="4415"/>
      <c r="W95" s="4754"/>
      <c r="X95" s="44"/>
      <c r="Y95" s="44"/>
      <c r="Z95" s="122"/>
      <c r="AS95" s="78"/>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143"/>
    </row>
    <row r="96" spans="1:84" s="28" customFormat="1" ht="46.5" customHeight="1" x14ac:dyDescent="0.3">
      <c r="A96" s="1122"/>
      <c r="B96" s="1811"/>
      <c r="C96" s="1686" t="s">
        <v>117</v>
      </c>
      <c r="D96" s="319" t="s">
        <v>3</v>
      </c>
      <c r="E96" s="205" t="b">
        <f t="shared" si="10"/>
        <v>0</v>
      </c>
      <c r="F96" s="205"/>
      <c r="G96" s="205" t="str">
        <f t="shared" si="11"/>
        <v/>
      </c>
      <c r="H96" s="205"/>
      <c r="I96" s="67"/>
      <c r="J96" s="44" t="str">
        <f t="shared" si="12"/>
        <v/>
      </c>
      <c r="K96" s="44"/>
      <c r="L96" s="44"/>
      <c r="M96" s="122"/>
      <c r="N96" s="4507"/>
      <c r="O96" s="4492"/>
      <c r="P96" s="68"/>
      <c r="Q96" s="690" t="s">
        <v>3</v>
      </c>
      <c r="R96" s="67" t="b">
        <f t="shared" si="13"/>
        <v>0</v>
      </c>
      <c r="S96" s="44"/>
      <c r="T96" s="44"/>
      <c r="U96" s="68"/>
      <c r="V96" s="4415"/>
      <c r="W96" s="4754"/>
      <c r="X96" s="44"/>
      <c r="Y96" s="44"/>
      <c r="Z96" s="122"/>
      <c r="AS96" s="78"/>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143"/>
    </row>
    <row r="97" spans="1:84" s="28" customFormat="1" ht="46.5" customHeight="1" x14ac:dyDescent="0.3">
      <c r="A97" s="1122"/>
      <c r="B97" s="1811"/>
      <c r="C97" s="1686" t="s">
        <v>118</v>
      </c>
      <c r="D97" s="319" t="s">
        <v>3</v>
      </c>
      <c r="E97" s="205" t="b">
        <f t="shared" si="10"/>
        <v>0</v>
      </c>
      <c r="F97" s="205"/>
      <c r="G97" s="205" t="str">
        <f t="shared" si="11"/>
        <v/>
      </c>
      <c r="H97" s="205"/>
      <c r="I97" s="67"/>
      <c r="J97" s="44" t="str">
        <f t="shared" si="12"/>
        <v/>
      </c>
      <c r="K97" s="44"/>
      <c r="L97" s="44"/>
      <c r="M97" s="122"/>
      <c r="N97" s="4507"/>
      <c r="O97" s="4492"/>
      <c r="P97" s="68"/>
      <c r="Q97" s="690" t="s">
        <v>3</v>
      </c>
      <c r="R97" s="67" t="b">
        <f t="shared" si="13"/>
        <v>0</v>
      </c>
      <c r="S97" s="44"/>
      <c r="T97" s="44"/>
      <c r="U97" s="68"/>
      <c r="V97" s="4415"/>
      <c r="W97" s="4754"/>
      <c r="X97" s="44"/>
      <c r="Y97" s="44"/>
      <c r="Z97" s="122"/>
      <c r="AS97" s="78"/>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143"/>
    </row>
    <row r="98" spans="1:84" s="28" customFormat="1" ht="46.5" customHeight="1" x14ac:dyDescent="0.3">
      <c r="A98" s="1122"/>
      <c r="B98" s="1811"/>
      <c r="C98" s="1686" t="s">
        <v>119</v>
      </c>
      <c r="D98" s="319" t="s">
        <v>3</v>
      </c>
      <c r="E98" s="205" t="b">
        <f t="shared" si="10"/>
        <v>0</v>
      </c>
      <c r="F98" s="205"/>
      <c r="G98" s="205" t="str">
        <f t="shared" si="11"/>
        <v/>
      </c>
      <c r="H98" s="205"/>
      <c r="I98" s="67"/>
      <c r="J98" s="44" t="str">
        <f t="shared" si="12"/>
        <v/>
      </c>
      <c r="K98" s="44"/>
      <c r="L98" s="44"/>
      <c r="M98" s="122"/>
      <c r="N98" s="4507"/>
      <c r="O98" s="4492"/>
      <c r="P98" s="68"/>
      <c r="Q98" s="690" t="s">
        <v>3</v>
      </c>
      <c r="R98" s="67" t="b">
        <f t="shared" si="13"/>
        <v>0</v>
      </c>
      <c r="S98" s="44"/>
      <c r="T98" s="44"/>
      <c r="U98" s="68"/>
      <c r="V98" s="4415"/>
      <c r="W98" s="4754"/>
      <c r="X98" s="44"/>
      <c r="Y98" s="44"/>
      <c r="Z98" s="122"/>
      <c r="AS98" s="78"/>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143"/>
    </row>
    <row r="99" spans="1:84" s="28" customFormat="1" ht="46.5" customHeight="1" x14ac:dyDescent="0.3">
      <c r="A99" s="1122"/>
      <c r="B99" s="1811"/>
      <c r="C99" s="1686" t="s">
        <v>128</v>
      </c>
      <c r="D99" s="319" t="s">
        <v>3</v>
      </c>
      <c r="E99" s="205" t="b">
        <f t="shared" si="10"/>
        <v>0</v>
      </c>
      <c r="F99" s="205"/>
      <c r="G99" s="205" t="str">
        <f t="shared" si="11"/>
        <v/>
      </c>
      <c r="H99" s="205"/>
      <c r="I99" s="67"/>
      <c r="J99" s="44" t="str">
        <f t="shared" si="12"/>
        <v/>
      </c>
      <c r="K99" s="44"/>
      <c r="L99" s="44"/>
      <c r="M99" s="122"/>
      <c r="N99" s="4507"/>
      <c r="O99" s="4492"/>
      <c r="P99" s="68"/>
      <c r="Q99" s="690" t="s">
        <v>3</v>
      </c>
      <c r="R99" s="67" t="b">
        <f t="shared" si="13"/>
        <v>0</v>
      </c>
      <c r="S99" s="44"/>
      <c r="T99" s="44"/>
      <c r="U99" s="68"/>
      <c r="V99" s="4415"/>
      <c r="W99" s="4754"/>
      <c r="X99" s="44"/>
      <c r="Y99" s="44"/>
      <c r="Z99" s="122"/>
      <c r="AS99" s="78"/>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143"/>
    </row>
    <row r="100" spans="1:84" s="28" customFormat="1" ht="46.5" customHeight="1" thickBot="1" x14ac:dyDescent="0.35">
      <c r="A100" s="1122"/>
      <c r="B100" s="1813"/>
      <c r="C100" s="1687" t="s">
        <v>141</v>
      </c>
      <c r="D100" s="230" t="s">
        <v>3</v>
      </c>
      <c r="E100" s="590" t="b">
        <f t="shared" si="10"/>
        <v>0</v>
      </c>
      <c r="F100" s="590"/>
      <c r="G100" s="590" t="str">
        <f t="shared" si="11"/>
        <v/>
      </c>
      <c r="H100" s="590"/>
      <c r="I100" s="161"/>
      <c r="J100" s="124" t="str">
        <f t="shared" si="12"/>
        <v/>
      </c>
      <c r="K100" s="124"/>
      <c r="L100" s="124"/>
      <c r="M100" s="125"/>
      <c r="N100" s="4508"/>
      <c r="O100" s="4493"/>
      <c r="P100" s="246"/>
      <c r="Q100" s="691" t="s">
        <v>3</v>
      </c>
      <c r="R100" s="161" t="b">
        <f t="shared" si="13"/>
        <v>0</v>
      </c>
      <c r="S100" s="124"/>
      <c r="T100" s="124"/>
      <c r="U100" s="246"/>
      <c r="V100" s="4416"/>
      <c r="W100" s="4762"/>
      <c r="X100" s="124"/>
      <c r="Y100" s="124"/>
      <c r="Z100" s="125"/>
      <c r="AS100" s="78"/>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143"/>
    </row>
    <row r="101" spans="1:84" s="3634" customFormat="1" ht="15" thickTop="1" x14ac:dyDescent="0.3">
      <c r="A101" s="4293"/>
      <c r="B101" s="3679"/>
      <c r="V101" s="3635"/>
      <c r="W101" s="3635"/>
      <c r="AS101" s="3680"/>
      <c r="AT101" s="3681"/>
      <c r="AU101" s="3681"/>
      <c r="AV101" s="3681"/>
      <c r="AW101" s="3681"/>
      <c r="AX101" s="3681"/>
      <c r="AY101" s="3681"/>
      <c r="AZ101" s="3681"/>
      <c r="BA101" s="3681"/>
      <c r="BB101" s="3681"/>
      <c r="BC101" s="3681"/>
      <c r="BD101" s="3681"/>
      <c r="BE101" s="3681"/>
      <c r="BF101" s="3681"/>
      <c r="BG101" s="3681"/>
      <c r="BH101" s="3681"/>
      <c r="BI101" s="3681"/>
      <c r="BJ101" s="3681"/>
      <c r="BK101" s="3681"/>
      <c r="BL101" s="3681"/>
      <c r="BM101" s="3681"/>
      <c r="BN101" s="3681"/>
      <c r="BO101" s="3681"/>
      <c r="BP101" s="3681"/>
      <c r="BQ101" s="3681"/>
      <c r="BR101" s="3681"/>
      <c r="BS101" s="3681"/>
      <c r="BT101" s="3681"/>
      <c r="BU101" s="3681"/>
      <c r="BV101" s="3681"/>
      <c r="BW101" s="3681"/>
      <c r="BX101" s="3681"/>
      <c r="BY101" s="3681"/>
      <c r="BZ101" s="3681"/>
      <c r="CA101" s="3681"/>
      <c r="CB101" s="3681"/>
      <c r="CC101" s="3681"/>
      <c r="CD101" s="3681"/>
      <c r="CE101" s="3681"/>
      <c r="CF101" s="3682"/>
    </row>
    <row r="102" spans="1:84" s="4020" customFormat="1" ht="18.649999999999999" customHeight="1" x14ac:dyDescent="0.3">
      <c r="A102" s="4482" t="s">
        <v>1607</v>
      </c>
      <c r="B102" s="4483"/>
      <c r="C102" s="4483"/>
      <c r="D102" s="4483"/>
      <c r="E102" s="4483"/>
      <c r="F102" s="4483"/>
      <c r="G102" s="4483"/>
      <c r="H102" s="4483"/>
      <c r="I102" s="4483"/>
      <c r="J102" s="4483"/>
      <c r="K102" s="4483"/>
      <c r="L102" s="4483"/>
      <c r="M102" s="4483"/>
      <c r="N102" s="4483"/>
      <c r="O102" s="3669"/>
      <c r="P102" s="3683"/>
      <c r="Q102" s="3683"/>
      <c r="R102" s="3683"/>
      <c r="S102" s="3684"/>
      <c r="T102" s="3685"/>
      <c r="U102" s="3685"/>
      <c r="V102" s="3669"/>
      <c r="W102" s="3669"/>
      <c r="X102" s="3683"/>
      <c r="Y102" s="3684"/>
      <c r="Z102" s="3685"/>
    </row>
    <row r="103" spans="1:84" s="3634" customFormat="1" ht="15" thickBot="1" x14ac:dyDescent="0.35">
      <c r="A103" s="4241"/>
      <c r="B103" s="3638"/>
      <c r="C103" s="3638"/>
      <c r="D103" s="3638"/>
      <c r="E103" s="3638"/>
      <c r="F103" s="3638"/>
      <c r="G103" s="3638"/>
      <c r="H103" s="3638"/>
      <c r="I103" s="3638"/>
      <c r="J103" s="3638"/>
      <c r="K103" s="3638"/>
      <c r="L103" s="3740"/>
      <c r="M103" s="3638"/>
      <c r="N103" s="3638"/>
      <c r="V103" s="3635"/>
      <c r="W103" s="3635"/>
      <c r="AS103" s="3687"/>
      <c r="AT103" s="3688"/>
      <c r="AU103" s="3688"/>
      <c r="AV103" s="3688"/>
      <c r="AW103" s="3688"/>
      <c r="AX103" s="3688"/>
      <c r="AY103" s="3688"/>
      <c r="AZ103" s="3688"/>
      <c r="BA103" s="3688"/>
      <c r="BB103" s="3688"/>
      <c r="BC103" s="3688"/>
      <c r="BD103" s="3688"/>
      <c r="BE103" s="3688"/>
      <c r="BF103" s="3688"/>
      <c r="BG103" s="3688"/>
      <c r="BH103" s="3688"/>
      <c r="BI103" s="3688"/>
      <c r="BJ103" s="3688"/>
      <c r="BK103" s="3688"/>
      <c r="BL103" s="3688"/>
      <c r="BM103" s="3688"/>
      <c r="BN103" s="3688"/>
      <c r="BO103" s="3688"/>
      <c r="BP103" s="3688"/>
      <c r="BQ103" s="3688"/>
      <c r="BR103" s="3688"/>
      <c r="BS103" s="3688"/>
      <c r="BT103" s="3688"/>
      <c r="BU103" s="3688"/>
      <c r="BV103" s="3688"/>
      <c r="BW103" s="3688"/>
      <c r="BX103" s="3688"/>
      <c r="BY103" s="3688"/>
      <c r="BZ103" s="3688"/>
      <c r="CA103" s="3688"/>
      <c r="CB103" s="3688"/>
      <c r="CC103" s="3688"/>
      <c r="CD103" s="3688"/>
      <c r="CE103" s="3688"/>
      <c r="CF103" s="3689"/>
    </row>
    <row r="104" spans="1:84" ht="65.25" customHeight="1" thickTop="1" thickBot="1" x14ac:dyDescent="0.35">
      <c r="A104" s="1132" t="s">
        <v>866</v>
      </c>
      <c r="B104" s="1931" t="s">
        <v>461</v>
      </c>
      <c r="C104" s="1697" t="s">
        <v>1608</v>
      </c>
      <c r="D104" s="1925" t="s">
        <v>565</v>
      </c>
      <c r="E104" s="2032" t="b">
        <f>IF(AND(E105=TRUE,E106=TRUE),TRUE,FALSE)</f>
        <v>0</v>
      </c>
      <c r="F104" s="1639">
        <f>COUNTIF(E105:E111,TRUE)</f>
        <v>0</v>
      </c>
      <c r="G104" s="1639">
        <f>COUNTIFS(E105:E111,TRUE,G105:G111,"Not Blank")</f>
        <v>0</v>
      </c>
      <c r="H104" s="2186">
        <f>COUNTIFS(E105:E111,FALSE,G105:G111,"Not Blank")</f>
        <v>0</v>
      </c>
      <c r="I104" s="2193" t="str">
        <f>IF(AND(E104=FALSE,G104=0,H104=0),"Nothing Enterred below Yet",IF(AND(G104=0,H104&gt;0),"**Non-Valid Entry/ies below - Check Yellow Box/es",IF(AND(E104,TRUE,G104=19,H104=0),"Valid Entry made below",IF(AND(E104=TRUE,G104&lt;19,H104=0),"Valid Entry required below - Check amber box",IF(AND(E104=TRUE,G104&gt;19,H104=0),"**Too many Options used - check Red Boxes",IF(AND(G104&gt;0,H104&gt;0),"**Valid and Non-Valid Entries made below - Check Yellow Box/es"))))))</f>
        <v>Nothing Enterred below Yet</v>
      </c>
      <c r="J104" s="2025">
        <f>COUNTIFS(E105:E111,TRUE,J105:J111,"Not Blank")</f>
        <v>0</v>
      </c>
      <c r="K104" s="2025">
        <f>COUNTIFS(E105:E111,FALSE,J105:J111,"Not Blank")</f>
        <v>0</v>
      </c>
      <c r="L104" s="2025" t="str">
        <f>IF(AND(E104=FALSE,J104=0,K104=0),"Nothing Enterred below Yet",IF(AND(E104=FALSE,J104&gt;0,K104=0),"Entry below has not been summarised",IF(AND(J104=0,K104&gt;0),"**Non-Valid Entry/ies below - Check Yellow Box/es",IF(AND(E104,TRUE,J104=19,K104=0),"Valid Entry made below",IF(AND(E104=TRUE,J104&lt;19,K104=0),"Valid Entry required below - Check amber box",IF(AND(E104=TRUE,J104&gt;19,K104=0),"**Too many Options used - check Red Boxes",IF(AND(J104&gt;0,K104&gt;0),"**Valid and Non-Valid Entries made below - Check Yellow Box/es")))))))</f>
        <v>Nothing Enterred below Yet</v>
      </c>
      <c r="M104" s="1778"/>
      <c r="N104" s="4851" t="s">
        <v>3</v>
      </c>
      <c r="O104" s="744" t="b">
        <f>IF(OR(N104="Compliant",N104="FE with work-a-round",N104="Functionally Equivalent"),TRUE,FALSE)</f>
        <v>0</v>
      </c>
      <c r="P104" s="2738"/>
      <c r="Q104" s="2600" t="s">
        <v>565</v>
      </c>
      <c r="R104" s="814" t="b">
        <f>IF(AND(R105=TRUE,R106=TRUE),TRUE,FALSE)</f>
        <v>0</v>
      </c>
      <c r="S104" s="2739"/>
      <c r="T104" s="2739"/>
      <c r="U104" s="2740"/>
      <c r="V104" s="4843" t="s">
        <v>3</v>
      </c>
      <c r="W104" s="4846" t="b">
        <f>IF(OR(V104="Compliant",V104="FE with work-a-round",V104="Functionally Equivalent",V104="Not Required/Applicable"),TRUE,FALSE)</f>
        <v>0</v>
      </c>
      <c r="X104" s="2741"/>
      <c r="Y104" s="2741"/>
      <c r="Z104" s="2742"/>
      <c r="AL104" s="564"/>
      <c r="AM104" s="380"/>
      <c r="AN104" s="380"/>
      <c r="AO104" s="380"/>
      <c r="AP104" s="380"/>
      <c r="AQ104" s="380"/>
      <c r="AR104" s="380"/>
      <c r="AS104" s="380"/>
      <c r="AT104" s="380"/>
      <c r="AU104" s="380"/>
      <c r="AV104" s="380"/>
      <c r="AW104" s="380"/>
      <c r="AX104" s="380"/>
      <c r="AY104" s="380"/>
      <c r="AZ104" s="380"/>
      <c r="BA104" s="380"/>
      <c r="BB104" s="380"/>
      <c r="BC104" s="380"/>
      <c r="BD104" s="380"/>
      <c r="BE104" s="380"/>
      <c r="BF104" s="380"/>
      <c r="BG104" s="380"/>
      <c r="BH104" s="380"/>
      <c r="BI104" s="380"/>
      <c r="BJ104" s="380"/>
      <c r="BK104" s="380"/>
      <c r="BL104" s="380"/>
      <c r="BM104" s="380"/>
      <c r="BN104" s="380"/>
      <c r="BO104" s="380"/>
      <c r="BP104" s="380"/>
      <c r="BQ104" s="380"/>
      <c r="BR104" s="380"/>
      <c r="BS104" s="380"/>
      <c r="BT104" s="380"/>
      <c r="BU104" s="380"/>
      <c r="BV104" s="380"/>
      <c r="BW104" s="380"/>
      <c r="BX104" s="380"/>
      <c r="BY104" s="380"/>
      <c r="BZ104" s="380"/>
      <c r="CA104" s="380"/>
      <c r="CB104" s="380"/>
      <c r="CC104" s="380"/>
      <c r="CD104" s="380"/>
      <c r="CE104" s="380"/>
      <c r="CF104" s="565"/>
    </row>
    <row r="105" spans="1:84" ht="93" customHeight="1" thickTop="1" x14ac:dyDescent="0.3">
      <c r="A105" s="1126" t="s">
        <v>982</v>
      </c>
      <c r="B105" s="1852"/>
      <c r="C105" s="1702" t="s">
        <v>937</v>
      </c>
      <c r="D105" s="1013" t="s">
        <v>3</v>
      </c>
      <c r="E105" s="94" t="b">
        <f>IF(D105="Compliant",TRUE,FALSE)</f>
        <v>0</v>
      </c>
      <c r="F105" s="72"/>
      <c r="G105" s="27" t="str">
        <f>IF(I105&lt;&gt;"", "Not Blank", "")</f>
        <v/>
      </c>
      <c r="H105" s="27"/>
      <c r="I105" s="2150"/>
      <c r="J105" s="301" t="str">
        <f>IF(L105&lt;&gt;"", "Not Blank", "")</f>
        <v/>
      </c>
      <c r="K105" s="301"/>
      <c r="L105" s="301"/>
      <c r="M105" s="957"/>
      <c r="N105" s="4844"/>
      <c r="O105" s="745" t="b">
        <f>IF(OR(N105="Compliant",N105="FE with work-a-round",N105="Functionally Equivalent"),TRUE,FALSE)</f>
        <v>0</v>
      </c>
      <c r="P105" s="2743"/>
      <c r="Q105" s="863" t="s">
        <v>3</v>
      </c>
      <c r="R105" s="2744" t="b">
        <f>IF(OR(Q105="Compliant",Q105="FE with work-a-round",Q105="Functionally Equivalent"),TRUE,FALSE)</f>
        <v>0</v>
      </c>
      <c r="S105" s="444"/>
      <c r="T105" s="444"/>
      <c r="U105" s="2745"/>
      <c r="V105" s="4844"/>
      <c r="W105" s="4847"/>
      <c r="X105" s="2592"/>
      <c r="Y105" s="2592"/>
      <c r="Z105" s="2746"/>
      <c r="AL105" s="564"/>
      <c r="AM105" s="380"/>
      <c r="AN105" s="380"/>
      <c r="AO105" s="380"/>
      <c r="AP105" s="380"/>
      <c r="AQ105" s="380"/>
      <c r="AR105" s="380"/>
      <c r="AS105" s="380"/>
      <c r="AT105" s="380"/>
      <c r="AU105" s="380"/>
      <c r="AV105" s="380"/>
      <c r="AW105" s="380"/>
      <c r="AX105" s="380"/>
      <c r="AY105" s="380"/>
      <c r="AZ105" s="380"/>
      <c r="BA105" s="380"/>
      <c r="BB105" s="380"/>
      <c r="BC105" s="380"/>
      <c r="BD105" s="380"/>
      <c r="BE105" s="380"/>
      <c r="BF105" s="380"/>
      <c r="BG105" s="380"/>
      <c r="BH105" s="380"/>
      <c r="BI105" s="380"/>
      <c r="BJ105" s="380"/>
      <c r="BK105" s="380"/>
      <c r="BL105" s="380"/>
      <c r="BM105" s="380"/>
      <c r="BN105" s="380"/>
      <c r="BO105" s="380"/>
      <c r="BP105" s="380"/>
      <c r="BQ105" s="380"/>
      <c r="BR105" s="380"/>
      <c r="BS105" s="380"/>
      <c r="BT105" s="380"/>
      <c r="BU105" s="380"/>
      <c r="BV105" s="380"/>
      <c r="BW105" s="380"/>
      <c r="BX105" s="380"/>
      <c r="BY105" s="380"/>
      <c r="BZ105" s="380"/>
      <c r="CA105" s="380"/>
      <c r="CB105" s="380"/>
      <c r="CC105" s="380"/>
      <c r="CD105" s="380"/>
      <c r="CE105" s="380"/>
      <c r="CF105" s="565"/>
    </row>
    <row r="106" spans="1:84" ht="313.5" customHeight="1" thickBot="1" x14ac:dyDescent="0.35">
      <c r="A106" s="1126" t="s">
        <v>983</v>
      </c>
      <c r="B106" s="1861"/>
      <c r="C106" s="1687" t="s">
        <v>938</v>
      </c>
      <c r="D106" s="230" t="s">
        <v>3</v>
      </c>
      <c r="E106" s="238" t="b">
        <f>IF(D106="Compliant",TRUE,FALSE)</f>
        <v>0</v>
      </c>
      <c r="F106" s="64"/>
      <c r="G106" s="83" t="str">
        <f>IF(I106&lt;&gt;"", "Not Blank", "")</f>
        <v/>
      </c>
      <c r="H106" s="83"/>
      <c r="I106" s="1076"/>
      <c r="J106" s="328" t="str">
        <f>IF(L106&lt;&gt;"", "Not Blank", "")</f>
        <v/>
      </c>
      <c r="K106" s="328"/>
      <c r="L106" s="328"/>
      <c r="M106" s="1077"/>
      <c r="N106" s="4852"/>
      <c r="O106" s="860" t="b">
        <f>IF(OR(N106="Compliant",N106="FE with work-a-round",N106="Functionally Equivalent"),TRUE,FALSE)</f>
        <v>0</v>
      </c>
      <c r="P106" s="2747"/>
      <c r="Q106" s="691" t="s">
        <v>3</v>
      </c>
      <c r="R106" s="2748" t="b">
        <f>IF(OR(Q106="Compliant",Q106="FE with work-a-round",Q106="Functionally Equivalent"),TRUE,FALSE)</f>
        <v>0</v>
      </c>
      <c r="S106" s="572"/>
      <c r="T106" s="572"/>
      <c r="U106" s="2749"/>
      <c r="V106" s="4845"/>
      <c r="W106" s="4848"/>
      <c r="X106" s="2750"/>
      <c r="Y106" s="2750"/>
      <c r="Z106" s="2751"/>
      <c r="AL106" s="564"/>
      <c r="AM106" s="380"/>
      <c r="AN106" s="380"/>
      <c r="AO106" s="380"/>
      <c r="AP106" s="380"/>
      <c r="AQ106" s="380"/>
      <c r="AR106" s="380"/>
      <c r="AS106" s="380"/>
      <c r="AT106" s="380"/>
      <c r="AU106" s="380"/>
      <c r="AV106" s="380"/>
      <c r="AW106" s="380"/>
      <c r="AX106" s="380"/>
      <c r="AY106" s="380"/>
      <c r="AZ106" s="380"/>
      <c r="BA106" s="380"/>
      <c r="BB106" s="380"/>
      <c r="BC106" s="380"/>
      <c r="BD106" s="380"/>
      <c r="BE106" s="380"/>
      <c r="BF106" s="380"/>
      <c r="BG106" s="380"/>
      <c r="BH106" s="380"/>
      <c r="BI106" s="380"/>
      <c r="BJ106" s="380"/>
      <c r="BK106" s="380"/>
      <c r="BL106" s="380"/>
      <c r="BM106" s="380"/>
      <c r="BN106" s="380"/>
      <c r="BO106" s="380"/>
      <c r="BP106" s="380"/>
      <c r="BQ106" s="380"/>
      <c r="BR106" s="380"/>
      <c r="BS106" s="380"/>
      <c r="BT106" s="380"/>
      <c r="BU106" s="380"/>
      <c r="BV106" s="380"/>
      <c r="BW106" s="380"/>
      <c r="BX106" s="380"/>
      <c r="BY106" s="380"/>
      <c r="BZ106" s="380"/>
      <c r="CA106" s="380"/>
      <c r="CB106" s="380"/>
      <c r="CC106" s="380"/>
      <c r="CD106" s="380"/>
      <c r="CE106" s="380"/>
      <c r="CF106" s="565"/>
    </row>
    <row r="107" spans="1:84" ht="13.5" thickTop="1" x14ac:dyDescent="0.3"/>
    <row r="108" spans="1:84" s="131" customFormat="1" ht="18.649999999999999" customHeight="1" x14ac:dyDescent="0.3">
      <c r="A108" s="4840" t="s">
        <v>2046</v>
      </c>
      <c r="B108" s="4841"/>
      <c r="C108" s="4841"/>
      <c r="D108" s="4841"/>
      <c r="E108" s="4841"/>
      <c r="F108" s="4841"/>
      <c r="G108" s="4841"/>
      <c r="H108" s="4841"/>
      <c r="I108" s="4841"/>
      <c r="J108" s="4841"/>
      <c r="K108" s="4841"/>
      <c r="L108" s="4841"/>
      <c r="M108" s="4841"/>
      <c r="N108" s="4841"/>
      <c r="O108" s="549"/>
      <c r="P108" s="549"/>
      <c r="Q108" s="549"/>
      <c r="R108" s="549"/>
      <c r="S108" s="550"/>
      <c r="T108" s="551"/>
      <c r="U108" s="551"/>
      <c r="V108" s="695"/>
      <c r="W108" s="549"/>
      <c r="X108" s="550"/>
      <c r="Y108" s="551"/>
      <c r="Z108" s="548"/>
    </row>
  </sheetData>
  <sheetProtection algorithmName="SHA-512" hashValue="ma8+g0m7xot8/WC3jo+ge1NMYqANUwTd8UdmStu/0dLZQS5mPcNtXxE8C0wi4zH2kFpVfvMOjGPDk7TdgFBeXw==" saltValue="ybDBykHBeU8rwCLMGVbVYA==" spinCount="100000" sheet="1" formatCells="0" insertHyperlinks="0" selectLockedCells="1" autoFilter="0"/>
  <mergeCells count="56">
    <mergeCell ref="B1:D1"/>
    <mergeCell ref="B3:D3"/>
    <mergeCell ref="A4:D4"/>
    <mergeCell ref="A74:C74"/>
    <mergeCell ref="D74:N74"/>
    <mergeCell ref="N43:N45"/>
    <mergeCell ref="B6:D6"/>
    <mergeCell ref="A52:C52"/>
    <mergeCell ref="D52:N52"/>
    <mergeCell ref="A24:C24"/>
    <mergeCell ref="D24:N24"/>
    <mergeCell ref="A15:C15"/>
    <mergeCell ref="A9:N9"/>
    <mergeCell ref="N11:N13"/>
    <mergeCell ref="N46:N50"/>
    <mergeCell ref="N77:N85"/>
    <mergeCell ref="N86:N100"/>
    <mergeCell ref="N62:N72"/>
    <mergeCell ref="A102:N102"/>
    <mergeCell ref="B2:D2"/>
    <mergeCell ref="B7:D7"/>
    <mergeCell ref="A60:C60"/>
    <mergeCell ref="D60:N60"/>
    <mergeCell ref="N54:N58"/>
    <mergeCell ref="N30:N38"/>
    <mergeCell ref="N27:N29"/>
    <mergeCell ref="N39:N42"/>
    <mergeCell ref="W62:W72"/>
    <mergeCell ref="W54:W58"/>
    <mergeCell ref="V54:V58"/>
    <mergeCell ref="Q11:Q13"/>
    <mergeCell ref="Y15:Z15"/>
    <mergeCell ref="P15:U15"/>
    <mergeCell ref="V46:V50"/>
    <mergeCell ref="W30:W38"/>
    <mergeCell ref="O27:O29"/>
    <mergeCell ref="V27:V29"/>
    <mergeCell ref="V30:V38"/>
    <mergeCell ref="V39:V42"/>
    <mergeCell ref="V43:V45"/>
    <mergeCell ref="A108:N108"/>
    <mergeCell ref="O86:O100"/>
    <mergeCell ref="V86:V100"/>
    <mergeCell ref="V104:V106"/>
    <mergeCell ref="V11:V13"/>
    <mergeCell ref="V15:X15"/>
    <mergeCell ref="W104:W106"/>
    <mergeCell ref="W86:W100"/>
    <mergeCell ref="W77:W85"/>
    <mergeCell ref="W27:W29"/>
    <mergeCell ref="O77:O85"/>
    <mergeCell ref="O63:O72"/>
    <mergeCell ref="O54:O58"/>
    <mergeCell ref="V77:V85"/>
    <mergeCell ref="V62:V72"/>
    <mergeCell ref="N104:N106"/>
  </mergeCells>
  <conditionalFormatting sqref="R73:R75">
    <cfRule type="expression" dxfId="1999" priority="341">
      <formula>IF($E73,TRUE)</formula>
    </cfRule>
  </conditionalFormatting>
  <conditionalFormatting sqref="R101">
    <cfRule type="expression" dxfId="1998" priority="328">
      <formula>IF($E101,TRUE)</formula>
    </cfRule>
  </conditionalFormatting>
  <conditionalFormatting sqref="B21">
    <cfRule type="expression" dxfId="1997" priority="323">
      <formula>IF($E21=TRUE,TRUE,FALSE)</formula>
    </cfRule>
  </conditionalFormatting>
  <conditionalFormatting sqref="B19">
    <cfRule type="expression" dxfId="1996" priority="322">
      <formula>IF($E19=TRUE,TRUE,FALSE)</formula>
    </cfRule>
  </conditionalFormatting>
  <conditionalFormatting sqref="B20">
    <cfRule type="expression" dxfId="1995" priority="321">
      <formula>IF($E20=TRUE,TRUE,FALSE)</formula>
    </cfRule>
  </conditionalFormatting>
  <conditionalFormatting sqref="B22">
    <cfRule type="expression" dxfId="1994" priority="320">
      <formula>IF($E22=TRUE,TRUE,FALSE)</formula>
    </cfRule>
  </conditionalFormatting>
  <conditionalFormatting sqref="D19:D22">
    <cfRule type="expression" dxfId="1993" priority="319">
      <formula>IF($E19,TRUE)</formula>
    </cfRule>
  </conditionalFormatting>
  <conditionalFormatting sqref="B17">
    <cfRule type="expression" dxfId="1992" priority="310">
      <formula>IF($E17,TRUE)</formula>
    </cfRule>
  </conditionalFormatting>
  <conditionalFormatting sqref="D28:D29">
    <cfRule type="expression" dxfId="1991" priority="298">
      <formula>IF($D28="Compliant",TRUE)</formula>
    </cfRule>
    <cfRule type="expression" dxfId="1990" priority="299">
      <formula>IF($D28=" ",TRUE)</formula>
    </cfRule>
    <cfRule type="expression" dxfId="1989" priority="305">
      <formula>IF($D28="Not Compliant",TRUE)</formula>
    </cfRule>
  </conditionalFormatting>
  <conditionalFormatting sqref="D27 B27">
    <cfRule type="expression" dxfId="1988" priority="297">
      <formula>IF($E27,TRUE)</formula>
    </cfRule>
  </conditionalFormatting>
  <conditionalFormatting sqref="B28:B29">
    <cfRule type="expression" dxfId="1987" priority="13588">
      <formula>IF(AND($E28=FALSE,OR($I28&lt;&gt;"",$L28&lt;&gt;"")),TRUE,FALSE)</formula>
    </cfRule>
    <cfRule type="expression" dxfId="1986" priority="13589">
      <formula>IF(AND($E28=TRUE,OR($I28="",$J28="")),TRUE,FALSE)</formula>
    </cfRule>
    <cfRule type="expression" dxfId="1985" priority="13590">
      <formula>IF(AND($E28=TRUE,OR($I28&lt;&gt;"",$L28="")),TRUE,FALSE)</formula>
    </cfRule>
    <cfRule type="expression" dxfId="1984" priority="13591">
      <formula>IF(AND($E28=FALSE,$E$27=TRUE),TRUE,FALSE)</formula>
    </cfRule>
  </conditionalFormatting>
  <conditionalFormatting sqref="B30 D30">
    <cfRule type="expression" dxfId="1983" priority="257" stopIfTrue="1">
      <formula>IF(AND($F$30&gt;1,$E30=TRUE),TRUE,FALSE)</formula>
    </cfRule>
    <cfRule type="expression" dxfId="1982" priority="258" stopIfTrue="1">
      <formula>IF(AND($F$30=1,$E30=TRUE),TRUE,FALSE)</formula>
    </cfRule>
  </conditionalFormatting>
  <conditionalFormatting sqref="B31:B35">
    <cfRule type="expression" dxfId="1981" priority="259">
      <formula>IF(AND($E31=TRUE,$F$30&gt;1),TRUE,FALSE)</formula>
    </cfRule>
    <cfRule type="expression" dxfId="1980" priority="260">
      <formula>IF(AND($E31=FALSE,OR($I31&lt;&gt;"",$L31&lt;&gt;"")),TRUE,FALSE)</formula>
    </cfRule>
    <cfRule type="expression" dxfId="1979" priority="261">
      <formula>IF(AND($E31=TRUE,OR($I31="",$J31="")),TRUE,FALSE)</formula>
    </cfRule>
    <cfRule type="expression" dxfId="1978" priority="262">
      <formula>IF(AND($E31=TRUE,AND($I31&lt;&gt;"",$L31&lt;&gt;"")),TRUE,FALSE)</formula>
    </cfRule>
    <cfRule type="expression" dxfId="1977" priority="263">
      <formula>IF(AND($E31=FALSE,$E$30=TRUE),TRUE,FALSE)</formula>
    </cfRule>
  </conditionalFormatting>
  <conditionalFormatting sqref="B36 D36">
    <cfRule type="expression" dxfId="1976" priority="254">
      <formula>IF(AND($E36=FALSE,$E$30=TRUE),TRUE,FALSE)</formula>
    </cfRule>
    <cfRule type="expression" dxfId="1975" priority="255" stopIfTrue="1">
      <formula>IF(AND($F$30&gt;1,$E36=TRUE),TRUE,FALSE)</formula>
    </cfRule>
    <cfRule type="expression" dxfId="1974" priority="256" stopIfTrue="1">
      <formula>IF(AND($F$30=1,$E36=TRUE),TRUE,FALSE)</formula>
    </cfRule>
  </conditionalFormatting>
  <conditionalFormatting sqref="B37:B38">
    <cfRule type="expression" dxfId="1973" priority="249">
      <formula>IF(OR(AND($E37=TRUE,$F$30&gt;1),AND($E37=TRUE,$E$36=FALSE,$F$30&gt;0)),TRUE,FALSE)</formula>
    </cfRule>
    <cfRule type="expression" dxfId="1972" priority="250">
      <formula>IF(AND($E37=FALSE,OR($I37&lt;&gt;"",$L37&lt;&gt;"")),TRUE,FALSE)</formula>
    </cfRule>
    <cfRule type="expression" dxfId="1971" priority="251">
      <formula>IF(AND($E37=TRUE,OR($I37="",$J37="")),TRUE,FALSE)</formula>
    </cfRule>
    <cfRule type="expression" dxfId="1970" priority="252">
      <formula>IF(AND($E37=TRUE,AND($I37&lt;&gt;"",$L37&lt;&gt;"")),TRUE,FALSE)</formula>
    </cfRule>
    <cfRule type="expression" dxfId="1969" priority="253">
      <formula>IF(AND($E37=FALSE,$E$30=TRUE),TRUE,FALSE)</formula>
    </cfRule>
  </conditionalFormatting>
  <conditionalFormatting sqref="B39 D39">
    <cfRule type="expression" dxfId="1968" priority="248">
      <formula>IF($E39,TRUE)</formula>
    </cfRule>
  </conditionalFormatting>
  <conditionalFormatting sqref="B40:B42">
    <cfRule type="expression" dxfId="1967" priority="244">
      <formula>IF(AND($E40=FALSE,OR($I40&lt;&gt;"",$L40&lt;&gt;"")),TRUE,FALSE)</formula>
    </cfRule>
    <cfRule type="expression" dxfId="1966" priority="245">
      <formula>IF(AND($E40=TRUE,OR($I40="",$J40="")),TRUE,FALSE)</formula>
    </cfRule>
    <cfRule type="expression" dxfId="1965" priority="246">
      <formula>IF(AND($E40=TRUE,OR($I40&lt;&gt;"",$L40="")),TRUE,FALSE)</formula>
    </cfRule>
    <cfRule type="expression" dxfId="1964" priority="247">
      <formula>IF(AND($E40=FALSE,$E$39=TRUE),TRUE,FALSE)</formula>
    </cfRule>
  </conditionalFormatting>
  <conditionalFormatting sqref="B54">
    <cfRule type="expression" dxfId="1963" priority="235">
      <formula>IF($E54,TRUE)</formula>
    </cfRule>
  </conditionalFormatting>
  <conditionalFormatting sqref="D54">
    <cfRule type="expression" dxfId="1962" priority="234">
      <formula>IF($E54,TRUE)</formula>
    </cfRule>
  </conditionalFormatting>
  <conditionalFormatting sqref="B55:B58">
    <cfRule type="expression" dxfId="1961" priority="230">
      <formula>IF(AND($E55=FALSE,OR($I55&lt;&gt;"",$L55&lt;&gt;"")),TRUE,FALSE)</formula>
    </cfRule>
    <cfRule type="expression" dxfId="1960" priority="231">
      <formula>IF(AND($E55=TRUE,OR($I55="",$J55="")),TRUE,FALSE)</formula>
    </cfRule>
    <cfRule type="expression" dxfId="1959" priority="232">
      <formula>IF(AND($E55=TRUE,OR($I55&lt;&gt;"",$L55="")),TRUE,FALSE)</formula>
    </cfRule>
    <cfRule type="expression" dxfId="1958" priority="233">
      <formula>IF(AND($E55=FALSE,$E$54=TRUE),TRUE,FALSE)</formula>
    </cfRule>
  </conditionalFormatting>
  <conditionalFormatting sqref="B26 D26">
    <cfRule type="expression" dxfId="1957" priority="229">
      <formula>IF($E26,TRUE)</formula>
    </cfRule>
  </conditionalFormatting>
  <conditionalFormatting sqref="B44:B45">
    <cfRule type="expression" dxfId="1956" priority="217">
      <formula>IF(AND($E44=FALSE,OR($I44&lt;&gt;"",$L44&lt;&gt;"")),TRUE,FALSE)</formula>
    </cfRule>
    <cfRule type="expression" dxfId="1955" priority="218">
      <formula>IF(AND($E44=TRUE,OR($I44="",$J44="")),TRUE,FALSE)</formula>
    </cfRule>
    <cfRule type="expression" dxfId="1954" priority="219">
      <formula>IF(AND($E44=TRUE,OR($I44&lt;&gt;"",$L44="")),TRUE,FALSE)</formula>
    </cfRule>
    <cfRule type="expression" dxfId="1953" priority="220">
      <formula>IF(AND($E44=FALSE,$E$38=TRUE),TRUE,FALSE)</formula>
    </cfRule>
  </conditionalFormatting>
  <conditionalFormatting sqref="B43 D43">
    <cfRule type="expression" dxfId="1952" priority="208">
      <formula>IF($E43,TRUE)</formula>
    </cfRule>
  </conditionalFormatting>
  <conditionalFormatting sqref="B46 D46">
    <cfRule type="expression" dxfId="1951" priority="207">
      <formula>IF($E46,TRUE)</formula>
    </cfRule>
  </conditionalFormatting>
  <conditionalFormatting sqref="B47:B50">
    <cfRule type="expression" dxfId="1950" priority="203">
      <formula>IF(AND($E47=FALSE,OR($I47&lt;&gt;"",$L47&lt;&gt;"")),TRUE,FALSE)</formula>
    </cfRule>
    <cfRule type="expression" dxfId="1949" priority="204">
      <formula>IF(AND($E47=TRUE,OR($I47="",$J47="")),TRUE,FALSE)</formula>
    </cfRule>
    <cfRule type="expression" dxfId="1948" priority="205">
      <formula>IF(AND($E47=TRUE,OR($I47&lt;&gt;"",$L47="")),TRUE,FALSE)</formula>
    </cfRule>
    <cfRule type="expression" dxfId="1947" priority="206">
      <formula>IF(AND($E47=FALSE,$E$41=TRUE),TRUE,FALSE)</formula>
    </cfRule>
  </conditionalFormatting>
  <conditionalFormatting sqref="B62 D62">
    <cfRule type="expression" dxfId="1946" priority="202">
      <formula>IF($E62,TRUE)</formula>
    </cfRule>
  </conditionalFormatting>
  <conditionalFormatting sqref="B76:B77">
    <cfRule type="expression" dxfId="1945" priority="188">
      <formula>IF($E76,TRUE)</formula>
    </cfRule>
  </conditionalFormatting>
  <conditionalFormatting sqref="D76">
    <cfRule type="expression" dxfId="1944" priority="187">
      <formula>IF($E76,TRUE)</formula>
    </cfRule>
  </conditionalFormatting>
  <conditionalFormatting sqref="D77">
    <cfRule type="expression" dxfId="1943" priority="186">
      <formula>IF($E77,TRUE)</formula>
    </cfRule>
  </conditionalFormatting>
  <conditionalFormatting sqref="B86">
    <cfRule type="expression" dxfId="1942" priority="185">
      <formula>IF($E86,TRUE)</formula>
    </cfRule>
  </conditionalFormatting>
  <conditionalFormatting sqref="B65:B72">
    <cfRule type="expression" dxfId="1941" priority="156">
      <formula>IF(AND($E65=FALSE,OR($I65&lt;&gt;"",$L65&lt;&gt;"")),TRUE,FALSE)</formula>
    </cfRule>
    <cfRule type="expression" dxfId="1940" priority="157">
      <formula>IF(AND($E65=TRUE,OR($I65="",$J65="")),TRUE,FALSE)</formula>
    </cfRule>
    <cfRule type="expression" dxfId="1939" priority="158">
      <formula>IF(AND($E65=TRUE,OR($I65&lt;&gt;"",$L65="")),TRUE,FALSE)</formula>
    </cfRule>
    <cfRule type="expression" dxfId="1938" priority="159">
      <formula>IF(AND($E65=FALSE,$E$63=TRUE),TRUE,FALSE)</formula>
    </cfRule>
  </conditionalFormatting>
  <conditionalFormatting sqref="B78:B85">
    <cfRule type="expression" dxfId="1937" priority="152">
      <formula>IF(AND($E78=FALSE,OR($I78&lt;&gt;"",$L78&lt;&gt;"")),TRUE,FALSE)</formula>
    </cfRule>
    <cfRule type="expression" dxfId="1936" priority="153">
      <formula>IF(AND($E78=TRUE,OR($I78="",$J78="")),TRUE,FALSE)</formula>
    </cfRule>
    <cfRule type="expression" dxfId="1935" priority="154">
      <formula>IF(AND($E78=TRUE,OR($I78&lt;&gt;"",$L78="")),TRUE,FALSE)</formula>
    </cfRule>
    <cfRule type="expression" dxfId="1934" priority="155">
      <formula>IF(AND($E78=FALSE,$E$77=TRUE),TRUE,FALSE)</formula>
    </cfRule>
  </conditionalFormatting>
  <conditionalFormatting sqref="B87:B100 B105:B106 B12:B13">
    <cfRule type="expression" dxfId="1933" priority="148">
      <formula>IF(AND($E12=FALSE,OR($I12&lt;&gt;"",$L12&lt;&gt;"")),TRUE,FALSE)</formula>
    </cfRule>
    <cfRule type="expression" dxfId="1932" priority="149">
      <formula>IF(AND($E12=TRUE,OR($I12="",$J12="")),TRUE,FALSE)</formula>
    </cfRule>
    <cfRule type="expression" dxfId="1931" priority="150">
      <formula>IF(AND($E12=TRUE,OR($I12&lt;&gt;"",$L12="")),TRUE,FALSE)</formula>
    </cfRule>
  </conditionalFormatting>
  <conditionalFormatting sqref="B11 D11">
    <cfRule type="expression" dxfId="1930" priority="131">
      <formula>IF($E11,TRUE)</formula>
    </cfRule>
  </conditionalFormatting>
  <conditionalFormatting sqref="N104:N106 N86:N88 N77:N79 N62:N64 N54:N56 N43:N48 N39:N41 N27 N11:N13 N30:N32">
    <cfRule type="expression" dxfId="1929" priority="122">
      <formula>IF($N11="Compliant",TRUE)</formula>
    </cfRule>
    <cfRule type="expression" dxfId="1928" priority="123">
      <formula>IF($N11="FE with work-a-round",TRUE)</formula>
    </cfRule>
    <cfRule type="expression" dxfId="1927" priority="124">
      <formula>IF($N11="Functionally Equivalent",TRUE)</formula>
    </cfRule>
    <cfRule type="expression" dxfId="1926" priority="125">
      <formula>IF($N11="Likely to become compliant",TRUE)</formula>
    </cfRule>
    <cfRule type="expression" dxfId="1925" priority="126">
      <formula>IF($N11="Partly Compliant",TRUE)</formula>
    </cfRule>
    <cfRule type="expression" dxfId="1924" priority="127">
      <formula>IF($N11="Unknown/Missing",TRUE)</formula>
    </cfRule>
    <cfRule type="expression" dxfId="1923" priority="128">
      <formula>IF($N11="Not Required/Applicable",TRUE)</formula>
    </cfRule>
    <cfRule type="expression" dxfId="1922" priority="129">
      <formula>IF($N11="Not Compliant",TRUE)</formula>
    </cfRule>
    <cfRule type="expression" dxfId="1921" priority="130">
      <formula>IF($N11=" ",TRUE)</formula>
    </cfRule>
  </conditionalFormatting>
  <conditionalFormatting sqref="N26">
    <cfRule type="expression" dxfId="1920" priority="120">
      <formula>IF(O26=FALSE,TRUE,FALSE)</formula>
    </cfRule>
    <cfRule type="expression" dxfId="1919" priority="121">
      <formula>IF(O26=TRUE,TRUE,FALSE)</formula>
    </cfRule>
  </conditionalFormatting>
  <conditionalFormatting sqref="D17 N17 Q17 V17">
    <cfRule type="expression" dxfId="1918" priority="117">
      <formula>IF(D17="Not Applicable",TRUE)</formula>
    </cfRule>
    <cfRule type="expression" dxfId="1917" priority="118">
      <formula>IF(D17="Applicable",TRUE)</formula>
    </cfRule>
    <cfRule type="expression" dxfId="1916" priority="119">
      <formula>IF(D17=" ",TRUE)</formula>
    </cfRule>
  </conditionalFormatting>
  <conditionalFormatting sqref="V19:V22">
    <cfRule type="expression" dxfId="1915" priority="111">
      <formula>IF($O19=FALSE,TRUE,FALSE)</formula>
    </cfRule>
    <cfRule type="expression" dxfId="1914" priority="112">
      <formula>IF($O19=TRUE,TRUE,FALSE)</formula>
    </cfRule>
  </conditionalFormatting>
  <conditionalFormatting sqref="N19:N22">
    <cfRule type="expression" dxfId="1913" priority="115">
      <formula>IF(O19=FALSE,TRUE,FALSE)</formula>
    </cfRule>
    <cfRule type="expression" dxfId="1912" priority="116">
      <formula>IF(O19=TRUE,TRUE,FALSE)</formula>
    </cfRule>
  </conditionalFormatting>
  <conditionalFormatting sqref="Q19:Q22">
    <cfRule type="expression" dxfId="1911" priority="113">
      <formula>IF($R19=FALSE,TRUE,FALSE)</formula>
    </cfRule>
    <cfRule type="expression" dxfId="1910" priority="114">
      <formula>IF($R19=TRUE,TRUE,FALSE)</formula>
    </cfRule>
  </conditionalFormatting>
  <conditionalFormatting sqref="V27">
    <cfRule type="expression" dxfId="1909" priority="94">
      <formula>IF(V27="Compliant",TRUE)</formula>
    </cfRule>
    <cfRule type="expression" dxfId="1908" priority="95">
      <formula>IF(V27="FE with work-a-round",TRUE)</formula>
    </cfRule>
    <cfRule type="expression" dxfId="1907" priority="96">
      <formula>IF(V27="Functionally Equivalent",TRUE)</formula>
    </cfRule>
    <cfRule type="expression" dxfId="1906" priority="97">
      <formula>IF(V27="Likely to become compliant",TRUE)</formula>
    </cfRule>
    <cfRule type="expression" dxfId="1905" priority="98">
      <formula>IF(V27="Partly Compliant",TRUE)</formula>
    </cfRule>
    <cfRule type="expression" dxfId="1904" priority="99">
      <formula>IF(V27="Unknown/Missing",TRUE)</formula>
    </cfRule>
    <cfRule type="expression" dxfId="1903" priority="100">
      <formula>IF(V27="Not Required/Applicable",TRUE)</formula>
    </cfRule>
    <cfRule type="expression" dxfId="1902" priority="101">
      <formula>IF(V27="Not Compliant",TRUE)</formula>
    </cfRule>
    <cfRule type="expression" dxfId="1901" priority="102">
      <formula>IF($N27=" ",TRUE)</formula>
    </cfRule>
  </conditionalFormatting>
  <conditionalFormatting sqref="V11">
    <cfRule type="expression" dxfId="1900" priority="85">
      <formula>IF(V11="Compliant",TRUE)</formula>
    </cfRule>
    <cfRule type="expression" dxfId="1899" priority="86">
      <formula>IF(V11="FE with work-a-round",TRUE)</formula>
    </cfRule>
    <cfRule type="expression" dxfId="1898" priority="87">
      <formula>IF(V11="Functionally Equivalent",TRUE)</formula>
    </cfRule>
    <cfRule type="expression" dxfId="1897" priority="88">
      <formula>IF(V11="Likely to become compliant",TRUE)</formula>
    </cfRule>
    <cfRule type="expression" dxfId="1896" priority="89">
      <formula>IF(V11="Partly Compliant",TRUE)</formula>
    </cfRule>
    <cfRule type="expression" dxfId="1895" priority="90">
      <formula>IF(V11="Unknown/Missing",TRUE)</formula>
    </cfRule>
    <cfRule type="expression" dxfId="1894" priority="91">
      <formula>IF(V11="Not Required/Applicable",TRUE)</formula>
    </cfRule>
    <cfRule type="expression" dxfId="1893" priority="92">
      <formula>IF(V11="Not Compliant",TRUE)</formula>
    </cfRule>
    <cfRule type="expression" dxfId="1892" priority="93">
      <formula>IF($N11=" ",TRUE)</formula>
    </cfRule>
  </conditionalFormatting>
  <conditionalFormatting sqref="V104 V86 V77 V62 V54 V46 V43 V39 V30">
    <cfRule type="expression" dxfId="1891" priority="76">
      <formula>IF(V30="Compliant",TRUE)</formula>
    </cfRule>
    <cfRule type="expression" dxfId="1890" priority="77">
      <formula>IF(V30="FE with work-a-round",TRUE)</formula>
    </cfRule>
    <cfRule type="expression" dxfId="1889" priority="78">
      <formula>IF(V30="Functionally Equivalent",TRUE)</formula>
    </cfRule>
    <cfRule type="expression" dxfId="1888" priority="79">
      <formula>IF(V30="Likely to become compliant",TRUE)</formula>
    </cfRule>
    <cfRule type="expression" dxfId="1887" priority="80">
      <formula>IF(V30="Partly Compliant",TRUE)</formula>
    </cfRule>
    <cfRule type="expression" dxfId="1886" priority="81">
      <formula>IF(V30="Unknown/Missing",TRUE)</formula>
    </cfRule>
    <cfRule type="expression" dxfId="1885" priority="82">
      <formula>IF(V30="Not Required/Applicable",TRUE)</formula>
    </cfRule>
    <cfRule type="expression" dxfId="1884" priority="83">
      <formula>IF(V30="Not Compliant",TRUE)</formula>
    </cfRule>
    <cfRule type="expression" dxfId="1883" priority="84">
      <formula>IF($N30=" ",TRUE)</formula>
    </cfRule>
  </conditionalFormatting>
  <conditionalFormatting sqref="V26 V76">
    <cfRule type="expression" dxfId="1882" priority="75">
      <formula>IF(W26=TRUE,TRUE,FALSE)</formula>
    </cfRule>
  </conditionalFormatting>
  <conditionalFormatting sqref="V26 V76">
    <cfRule type="expression" dxfId="1881" priority="74">
      <formula>IF(W26=FALSE,TRUE,FALSE)</formula>
    </cfRule>
  </conditionalFormatting>
  <conditionalFormatting sqref="Q26:Q27">
    <cfRule type="expression" dxfId="1880" priority="64">
      <formula>IF(R26=TRUE,TRUE,FALSE)</formula>
    </cfRule>
  </conditionalFormatting>
  <conditionalFormatting sqref="Q26:Q27">
    <cfRule type="expression" dxfId="1879" priority="63">
      <formula>IF(R26=FALSE,TRUE,FALSE)</formula>
    </cfRule>
  </conditionalFormatting>
  <conditionalFormatting sqref="Q30">
    <cfRule type="expression" dxfId="1878" priority="62">
      <formula>IF(R30=TRUE,TRUE,FALSE)</formula>
    </cfRule>
  </conditionalFormatting>
  <conditionalFormatting sqref="Q30">
    <cfRule type="expression" dxfId="1877" priority="61">
      <formula>IF(R30=FALSE,TRUE,FALSE)</formula>
    </cfRule>
  </conditionalFormatting>
  <conditionalFormatting sqref="Q36">
    <cfRule type="expression" dxfId="1876" priority="60">
      <formula>IF(R36=TRUE,TRUE,FALSE)</formula>
    </cfRule>
  </conditionalFormatting>
  <conditionalFormatting sqref="Q36">
    <cfRule type="expression" dxfId="1875" priority="59">
      <formula>IF(R36=FALSE,TRUE,FALSE)</formula>
    </cfRule>
  </conditionalFormatting>
  <conditionalFormatting sqref="Q39">
    <cfRule type="expression" dxfId="1874" priority="58">
      <formula>IF(R39=TRUE,TRUE,FALSE)</formula>
    </cfRule>
  </conditionalFormatting>
  <conditionalFormatting sqref="Q39">
    <cfRule type="expression" dxfId="1873" priority="57">
      <formula>IF(R39=FALSE,TRUE,FALSE)</formula>
    </cfRule>
  </conditionalFormatting>
  <conditionalFormatting sqref="Q43">
    <cfRule type="expression" dxfId="1872" priority="56">
      <formula>IF(R43=TRUE,TRUE,FALSE)</formula>
    </cfRule>
  </conditionalFormatting>
  <conditionalFormatting sqref="Q43">
    <cfRule type="expression" dxfId="1871" priority="55">
      <formula>IF(R43=FALSE,TRUE,FALSE)</formula>
    </cfRule>
  </conditionalFormatting>
  <conditionalFormatting sqref="Q46">
    <cfRule type="expression" dxfId="1870" priority="54">
      <formula>IF(R46=TRUE,TRUE,FALSE)</formula>
    </cfRule>
  </conditionalFormatting>
  <conditionalFormatting sqref="Q46">
    <cfRule type="expression" dxfId="1869" priority="53">
      <formula>IF(R46=FALSE,TRUE,FALSE)</formula>
    </cfRule>
  </conditionalFormatting>
  <conditionalFormatting sqref="Q54">
    <cfRule type="expression" dxfId="1868" priority="52">
      <formula>IF(R54=TRUE,TRUE,FALSE)</formula>
    </cfRule>
  </conditionalFormatting>
  <conditionalFormatting sqref="Q54">
    <cfRule type="expression" dxfId="1867" priority="51">
      <formula>IF(R54=FALSE,TRUE,FALSE)</formula>
    </cfRule>
  </conditionalFormatting>
  <conditionalFormatting sqref="Q62:Q64">
    <cfRule type="expression" dxfId="1866" priority="50">
      <formula>IF(R62=TRUE,TRUE,FALSE)</formula>
    </cfRule>
  </conditionalFormatting>
  <conditionalFormatting sqref="Q62:Q64">
    <cfRule type="expression" dxfId="1865" priority="49">
      <formula>IF(R62=FALSE,TRUE,FALSE)</formula>
    </cfRule>
  </conditionalFormatting>
  <conditionalFormatting sqref="Q76:Q77">
    <cfRule type="expression" dxfId="1864" priority="48">
      <formula>IF(R76=TRUE,TRUE,FALSE)</formula>
    </cfRule>
  </conditionalFormatting>
  <conditionalFormatting sqref="Q76:Q77">
    <cfRule type="expression" dxfId="1863" priority="47">
      <formula>IF(R76=FALSE,TRUE,FALSE)</formula>
    </cfRule>
  </conditionalFormatting>
  <conditionalFormatting sqref="Q86">
    <cfRule type="expression" dxfId="1862" priority="46">
      <formula>IF(R86=TRUE,TRUE,FALSE)</formula>
    </cfRule>
  </conditionalFormatting>
  <conditionalFormatting sqref="Q86">
    <cfRule type="expression" dxfId="1861" priority="45">
      <formula>IF(R86=FALSE,TRUE,FALSE)</formula>
    </cfRule>
  </conditionalFormatting>
  <conditionalFormatting sqref="Q104">
    <cfRule type="expression" dxfId="1860" priority="44">
      <formula>IF(R104=TRUE,TRUE,FALSE)</formula>
    </cfRule>
  </conditionalFormatting>
  <conditionalFormatting sqref="Q104">
    <cfRule type="expression" dxfId="1859" priority="43">
      <formula>IF(R104=FALSE,TRUE,FALSE)</formula>
    </cfRule>
  </conditionalFormatting>
  <conditionalFormatting sqref="N76">
    <cfRule type="expression" dxfId="1858" priority="33">
      <formula>IF(O76=TRUE,TRUE,FALSE)</formula>
    </cfRule>
  </conditionalFormatting>
  <conditionalFormatting sqref="N76">
    <cfRule type="expression" dxfId="1857" priority="32">
      <formula>IF(O76=FALSE,TRUE,FALSE)</formula>
    </cfRule>
  </conditionalFormatting>
  <conditionalFormatting sqref="B104 D104">
    <cfRule type="expression" dxfId="1856" priority="31">
      <formula>IF($E104,TRUE)</formula>
    </cfRule>
  </conditionalFormatting>
  <conditionalFormatting sqref="B64 D64">
    <cfRule type="expression" dxfId="1855" priority="30">
      <formula>IF($E64,TRUE)</formula>
    </cfRule>
  </conditionalFormatting>
  <conditionalFormatting sqref="B63 D63">
    <cfRule type="expression" dxfId="1854" priority="29">
      <formula>IF($E63,TRUE)</formula>
    </cfRule>
  </conditionalFormatting>
  <conditionalFormatting sqref="Q28:Q29 Q11">
    <cfRule type="expression" dxfId="1853" priority="20">
      <formula>IF($Q11="Compliant",TRUE)</formula>
    </cfRule>
    <cfRule type="expression" dxfId="1852" priority="21">
      <formula>IF($Q11="FE with work-a-round",TRUE)</formula>
    </cfRule>
    <cfRule type="expression" dxfId="1851" priority="22">
      <formula>IF($Q11="Functionally Equivalent",TRUE)</formula>
    </cfRule>
    <cfRule type="expression" dxfId="1850" priority="23">
      <formula>IF($Q11="Likely to become compliant",TRUE)</formula>
    </cfRule>
    <cfRule type="expression" dxfId="1849" priority="24">
      <formula>IF($Q11="Partly Compliant",TRUE)</formula>
    </cfRule>
    <cfRule type="expression" dxfId="1848" priority="25">
      <formula>IF($Q11="Unknown/Missing",TRUE)</formula>
    </cfRule>
    <cfRule type="expression" dxfId="1847" priority="26">
      <formula>IF($Q11="Not Required/Applicable",TRUE)</formula>
    </cfRule>
    <cfRule type="expression" dxfId="1846" priority="27">
      <formula>IF($Q11="Not Compliant",TRUE)</formula>
    </cfRule>
    <cfRule type="expression" dxfId="1845" priority="28">
      <formula>IF($Q11=" ",TRUE)</formula>
    </cfRule>
  </conditionalFormatting>
  <conditionalFormatting sqref="Q105:Q106 Q87:Q100 Q78:Q85 Q65:Q72 Q55:Q58 Q47:Q50 Q44:Q45 Q40:Q42 Q37:Q38 Q31:Q35">
    <cfRule type="expression" dxfId="1844" priority="11">
      <formula>IF($Q31="Compliant",TRUE)</formula>
    </cfRule>
    <cfRule type="expression" dxfId="1843" priority="12">
      <formula>IF($Q31="FE with work-a-round",TRUE)</formula>
    </cfRule>
    <cfRule type="expression" dxfId="1842" priority="13">
      <formula>IF($Q31="Functionally Equivalent",TRUE)</formula>
    </cfRule>
    <cfRule type="expression" dxfId="1841" priority="14">
      <formula>IF($Q31="Likely to become compliant",TRUE)</formula>
    </cfRule>
    <cfRule type="expression" dxfId="1840" priority="15">
      <formula>IF($Q31="Partly Compliant",TRUE)</formula>
    </cfRule>
    <cfRule type="expression" dxfId="1839" priority="16">
      <formula>IF($Q31="Unknown/Missing",TRUE)</formula>
    </cfRule>
    <cfRule type="expression" dxfId="1838" priority="17">
      <formula>IF($Q31="Not Required/Applicable",TRUE)</formula>
    </cfRule>
    <cfRule type="expression" dxfId="1837" priority="18">
      <formula>IF($Q31="Not Compliant",TRUE)</formula>
    </cfRule>
    <cfRule type="expression" dxfId="1836" priority="19">
      <formula>IF($Q31=" ",TRUE)</formula>
    </cfRule>
  </conditionalFormatting>
  <conditionalFormatting sqref="D12:D13 D28:D29 D31:D35 D37:D38 D40:D42 D44:D45 D47:D50 D55:D58 D65:D72 D78:D85 D87:D100 D105:D106">
    <cfRule type="expression" dxfId="1835" priority="132">
      <formula>IF($D12="Compliant",TRUE)</formula>
    </cfRule>
    <cfRule type="expression" dxfId="1834" priority="133">
      <formula>IF($D12=" ",TRUE)</formula>
    </cfRule>
    <cfRule type="expression" dxfId="1833" priority="139">
      <formula>IF($D12="Not Compliant",TRUE)</formula>
    </cfRule>
  </conditionalFormatting>
  <dataValidations count="1">
    <dataValidation type="list" allowBlank="1" showInputMessage="1" showErrorMessage="1" sqref="N73">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00" id="{B5246945-2A03-4F64-9D75-4F838114CCAB}">
            <xm:f>ISNUMBER(SEARCH($D28,Dropdowns!$D$18))</xm:f>
            <x14:dxf>
              <fill>
                <patternFill>
                  <bgColor rgb="FFFFFF00"/>
                </patternFill>
              </fill>
            </x14:dxf>
          </x14:cfRule>
          <x14:cfRule type="expression" priority="301" id="{FE14DE05-B6F9-483F-AE75-8259C0B80C94}">
            <xm:f>ISNUMBER(SEARCH($D28,Dropdowns!$D$19))</xm:f>
            <x14:dxf>
              <fill>
                <patternFill>
                  <bgColor theme="6" tint="0.39994506668294322"/>
                </patternFill>
              </fill>
            </x14:dxf>
          </x14:cfRule>
          <x14:cfRule type="expression" priority="302" id="{A823B31F-D4FF-420F-AFCC-90997CB5EF15}">
            <xm:f>ISNUMBER(SEARCH($D28,Dropdowns!$D$20))</xm:f>
            <x14:dxf>
              <fill>
                <patternFill>
                  <bgColor theme="6" tint="0.39994506668294322"/>
                </patternFill>
              </fill>
            </x14:dxf>
          </x14:cfRule>
          <x14:cfRule type="expression" priority="303" id="{63DF7E4D-B233-421D-86F5-2B432AF04E5C}">
            <xm:f>ISNUMBER(SEARCH($D28,Dropdowns!$D$21))</xm:f>
            <x14:dxf>
              <fill>
                <patternFill>
                  <bgColor rgb="FFFFFF00"/>
                </patternFill>
              </fill>
            </x14:dxf>
          </x14:cfRule>
          <x14:cfRule type="expression" priority="304" id="{D7F7D8D7-A7DD-4567-9325-17727D200E72}">
            <xm:f>ISNUMBER(SEARCH($D28,Dropdowns!$D$23))</xm:f>
            <x14:dxf>
              <fill>
                <patternFill>
                  <bgColor rgb="FFFFFF00"/>
                </patternFill>
              </fill>
            </x14:dxf>
          </x14:cfRule>
          <xm:sqref>D28:D29</xm:sqref>
        </x14:conditionalFormatting>
        <x14:conditionalFormatting xmlns:xm="http://schemas.microsoft.com/office/excel/2006/main">
          <x14:cfRule type="expression" priority="134" id="{A3F35A09-EE30-4E88-976B-F91C72C70063}">
            <xm:f>ISNUMBER(SEARCH($D12,Dropdowns!$D$18))</xm:f>
            <x14:dxf>
              <fill>
                <patternFill>
                  <bgColor rgb="FFFFFF00"/>
                </patternFill>
              </fill>
            </x14:dxf>
          </x14:cfRule>
          <x14:cfRule type="expression" priority="135" id="{4A112808-3E99-4B2B-A95A-6D78A96BC396}">
            <xm:f>ISNUMBER(SEARCH($D12,Dropdowns!$D$19))</xm:f>
            <x14:dxf>
              <fill>
                <patternFill>
                  <bgColor theme="6" tint="0.39994506668294322"/>
                </patternFill>
              </fill>
            </x14:dxf>
          </x14:cfRule>
          <x14:cfRule type="expression" priority="136" id="{D921E412-EFC7-4FB8-A67D-EA8B8B22C04D}">
            <xm:f>ISNUMBER(SEARCH($D12,Dropdowns!$D$20))</xm:f>
            <x14:dxf>
              <fill>
                <patternFill>
                  <bgColor theme="6" tint="0.39994506668294322"/>
                </patternFill>
              </fill>
            </x14:dxf>
          </x14:cfRule>
          <x14:cfRule type="expression" priority="137" id="{519330E9-BE93-46F2-91A3-9692589F81DA}">
            <xm:f>ISNUMBER(SEARCH($D12,Dropdowns!$D$21))</xm:f>
            <x14:dxf>
              <fill>
                <patternFill>
                  <bgColor rgb="FFFFFF00"/>
                </patternFill>
              </fill>
            </x14:dxf>
          </x14:cfRule>
          <x14:cfRule type="expression" priority="138" id="{2D46B850-6C7C-429E-BA6C-577C901FD97F}">
            <xm:f>ISNUMBER(SEARCH($D12,Dropdowns!$D$23))</xm:f>
            <x14:dxf>
              <fill>
                <patternFill>
                  <bgColor rgb="FFFFFF00"/>
                </patternFill>
              </fill>
            </x14:dxf>
          </x14:cfRule>
          <xm:sqref>D12:D13 D28:D29 D31:D35 D37:D38 D40:D42 D44:D45 D47:D50 D55:D58 D65:D72 D78:D85 D87:D100 D105:D106</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Dropdowns!$C$11:$C$13</xm:f>
          </x14:formula1>
          <xm:sqref>Q17 N17:N18 D17 V17:V18</xm:sqref>
        </x14:dataValidation>
        <x14:dataValidation type="list" allowBlank="1" showInputMessage="1" showErrorMessage="1">
          <x14:formula1>
            <xm:f>Dropdowns!$F$9:$F$12</xm:f>
          </x14:formula1>
          <xm:sqref>N63:N64 N101 N103 N10 N78:N79 N87:N88 N75</xm:sqref>
        </x14:dataValidation>
        <x14:dataValidation type="list" allowBlank="1" showInputMessage="1" showErrorMessage="1">
          <x14:formula1>
            <xm:f>Dropdowns!$G$11:$G$16</xm:f>
          </x14:formula1>
          <xm:sqref>V23 V75 V103:V104 V10:V11 V27 V30 V39 V43 V46 V54 V101 V77 V86 V62 V73</xm:sqref>
        </x14:dataValidation>
        <x14:dataValidation type="list" allowBlank="1" showInputMessage="1" showErrorMessage="1">
          <x14:formula1>
            <xm:f>Dropdowns!$C$16:$C$19</xm:f>
          </x14:formula1>
          <xm:sqref>V53</xm:sqref>
        </x14:dataValidation>
        <x14:dataValidation type="list" allowBlank="1" showInputMessage="1" showErrorMessage="1">
          <x14:formula1>
            <xm:f>Dropdowns!$D$16:$D$23</xm:f>
          </x14:formula1>
          <xm:sqref>D55:D58 D28:D29 D37:D38 D31:D35 D65:D72 D47:D51 D78:D85 D12:D13 D40:D42 D44:D45 D87:D100 D105:D106</xm:sqref>
        </x14:dataValidation>
        <x14:dataValidation type="list" allowBlank="1" showInputMessage="1" showErrorMessage="1">
          <x14:formula1>
            <xm:f>Dropdowns!$D$32:$D$37</xm:f>
          </x14:formula1>
          <xm:sqref>N105:N106</xm:sqref>
        </x14:dataValidation>
        <x14:dataValidation type="list" allowBlank="1" showInputMessage="1" showErrorMessage="1">
          <x14:formula1>
            <xm:f>Dropdowns!$F$2:$F$8</xm:f>
          </x14:formula1>
          <xm:sqref>N27 N30 N11:N13 N39 N43 N46 N54 N62 N77 N86 N104</xm:sqref>
        </x14:dataValidation>
        <x14:dataValidation type="list" allowBlank="1" showInputMessage="1" showErrorMessage="1">
          <x14:formula1>
            <xm:f>Dropdowns!$E$11:$E$15</xm:f>
          </x14:formula1>
          <xm:sqref>Q105:Q106 Q87:Q100 Q28:Q29 Q31:Q35 Q37:Q38 Q40:Q42 Q44:Q45 Q47:Q50 Q55:Q58 Q65:Q72 Q78:Q85 Q11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E130"/>
  <sheetViews>
    <sheetView zoomScale="75" zoomScaleNormal="75" workbookViewId="0">
      <pane xSplit="4" ySplit="5" topLeftCell="I6" activePane="bottomRight" state="frozen"/>
      <selection activeCell="B1" sqref="B1"/>
      <selection pane="topRight" activeCell="E1" sqref="E1"/>
      <selection pane="bottomLeft" activeCell="B3" sqref="B3"/>
      <selection pane="bottomRight" activeCell="I9" sqref="I9"/>
    </sheetView>
  </sheetViews>
  <sheetFormatPr defaultColWidth="8.796875" defaultRowHeight="14.5" x14ac:dyDescent="0.3"/>
  <cols>
    <col min="1" max="1" width="16" style="233" hidden="1" customWidth="1"/>
    <col min="2" max="3" width="43.796875" style="233" customWidth="1"/>
    <col min="4" max="4" width="31.69921875" style="233" customWidth="1"/>
    <col min="5" max="5" width="11.69921875" style="233" hidden="1" customWidth="1"/>
    <col min="6" max="6" width="11.796875" style="233" hidden="1" customWidth="1"/>
    <col min="7" max="7" width="10.3984375" style="233" hidden="1" customWidth="1"/>
    <col min="8" max="8" width="11.796875" style="233" hidden="1" customWidth="1"/>
    <col min="9" max="9" width="64.3984375" style="233" customWidth="1"/>
    <col min="10" max="10" width="9.796875" style="233" hidden="1" customWidth="1"/>
    <col min="11" max="11" width="10.69921875" style="233" hidden="1" customWidth="1"/>
    <col min="12" max="13" width="33.3984375" style="233" customWidth="1"/>
    <col min="14" max="14" width="33.796875" style="233" customWidth="1"/>
    <col min="15" max="15" width="11.69921875" style="233" hidden="1" customWidth="1"/>
    <col min="16" max="16" width="45.3984375" style="233" customWidth="1"/>
    <col min="17" max="17" width="34.19921875" style="233" customWidth="1"/>
    <col min="18" max="18" width="11.69921875" style="233" hidden="1" customWidth="1"/>
    <col min="19" max="19" width="58" style="233" customWidth="1"/>
    <col min="20" max="20" width="33.796875" style="233" customWidth="1"/>
    <col min="21" max="21" width="43.69921875" style="233" customWidth="1"/>
    <col min="22" max="22" width="37.3984375" style="233" customWidth="1"/>
    <col min="23" max="23" width="11.69921875" style="233" hidden="1" customWidth="1"/>
    <col min="24" max="24" width="50.296875" style="233" customWidth="1"/>
    <col min="25" max="25" width="30.296875" style="233" customWidth="1"/>
    <col min="26" max="26" width="26.296875" style="233" customWidth="1"/>
    <col min="27" max="16384" width="8.796875" style="233"/>
  </cols>
  <sheetData>
    <row r="1" spans="1:26" ht="69.75" customHeight="1" x14ac:dyDescent="0.3">
      <c r="B1" s="4521"/>
      <c r="C1" s="4521"/>
      <c r="D1" s="4521"/>
    </row>
    <row r="2" spans="1:26" ht="96" customHeight="1" x14ac:dyDescent="0.3">
      <c r="B2" s="4398" t="s">
        <v>1937</v>
      </c>
      <c r="C2" s="4494"/>
      <c r="D2" s="4494"/>
    </row>
    <row r="3" spans="1:26" x14ac:dyDescent="0.3">
      <c r="B3" s="4643"/>
      <c r="C3" s="4643"/>
      <c r="D3" s="4643"/>
    </row>
    <row r="4" spans="1:26" ht="55.5" customHeight="1" thickBot="1" x14ac:dyDescent="0.35">
      <c r="A4" s="4502" t="s">
        <v>1888</v>
      </c>
      <c r="B4" s="4502"/>
      <c r="C4" s="4502"/>
      <c r="D4" s="4502"/>
      <c r="E4" s="237"/>
      <c r="F4" s="150"/>
      <c r="G4" s="150"/>
      <c r="H4" s="150"/>
      <c r="I4" s="150"/>
      <c r="J4" s="150"/>
      <c r="K4" s="150"/>
      <c r="O4" s="237"/>
      <c r="R4" s="237"/>
      <c r="W4" s="237"/>
    </row>
    <row r="5" spans="1:26" s="561" customFormat="1" ht="38" thickTop="1" thickBot="1" x14ac:dyDescent="0.35">
      <c r="A5" s="1114"/>
      <c r="B5" s="1114" t="s">
        <v>1872</v>
      </c>
      <c r="C5" s="1114" t="s">
        <v>1873</v>
      </c>
      <c r="D5" s="1114" t="s">
        <v>1236</v>
      </c>
      <c r="E5" s="1114"/>
      <c r="F5" s="1114"/>
      <c r="G5" s="1114"/>
      <c r="H5" s="1114"/>
      <c r="I5" s="1114" t="s">
        <v>458</v>
      </c>
      <c r="J5" s="1114"/>
      <c r="K5" s="1114"/>
      <c r="L5" s="1114" t="s">
        <v>408</v>
      </c>
      <c r="M5" s="1114" t="s">
        <v>466</v>
      </c>
      <c r="N5" s="2063" t="s">
        <v>465</v>
      </c>
      <c r="O5" s="1114"/>
      <c r="P5" s="1114" t="s">
        <v>1221</v>
      </c>
      <c r="Q5" s="1114" t="s">
        <v>1212</v>
      </c>
      <c r="R5" s="1114"/>
      <c r="S5" s="1114" t="s">
        <v>396</v>
      </c>
      <c r="T5" s="1114" t="s">
        <v>409</v>
      </c>
      <c r="U5" s="1114" t="s">
        <v>1211</v>
      </c>
      <c r="V5" s="2063" t="s">
        <v>1801</v>
      </c>
      <c r="W5" s="2063"/>
      <c r="X5" s="1114" t="s">
        <v>10</v>
      </c>
      <c r="Y5" s="1114" t="s">
        <v>11</v>
      </c>
      <c r="Z5" s="1116" t="s">
        <v>12</v>
      </c>
    </row>
    <row r="6" spans="1:26" s="131" customFormat="1" ht="16" thickTop="1" x14ac:dyDescent="0.3">
      <c r="A6" s="22"/>
      <c r="B6" s="4909" t="s">
        <v>900</v>
      </c>
      <c r="C6" s="4909"/>
      <c r="D6" s="4909"/>
      <c r="E6" s="548"/>
      <c r="F6" s="548"/>
      <c r="G6" s="548"/>
      <c r="H6" s="548"/>
      <c r="I6" s="548"/>
      <c r="J6" s="548"/>
      <c r="K6" s="548"/>
      <c r="L6" s="548"/>
      <c r="M6" s="548"/>
      <c r="N6" s="548"/>
      <c r="O6" s="548"/>
      <c r="P6" s="548"/>
      <c r="Q6" s="548"/>
      <c r="R6" s="548"/>
      <c r="S6" s="548"/>
      <c r="T6" s="548"/>
      <c r="U6" s="548"/>
      <c r="V6" s="548"/>
      <c r="W6" s="548"/>
      <c r="X6" s="548"/>
      <c r="Y6" s="548"/>
      <c r="Z6" s="548"/>
    </row>
    <row r="7" spans="1:26" ht="38.5" customHeight="1" x14ac:dyDescent="0.3">
      <c r="A7" s="150"/>
      <c r="B7" s="4910" t="s">
        <v>942</v>
      </c>
      <c r="C7" s="4910"/>
      <c r="D7" s="4910"/>
    </row>
    <row r="8" spans="1:26" ht="15" thickBot="1" x14ac:dyDescent="0.35">
      <c r="A8" s="150"/>
      <c r="B8" s="103"/>
    </row>
    <row r="9" spans="1:26" ht="44.5" thickTop="1" thickBot="1" x14ac:dyDescent="0.35">
      <c r="A9" s="27" t="s">
        <v>902</v>
      </c>
      <c r="B9" s="1857" t="s">
        <v>901</v>
      </c>
      <c r="C9" s="1697" t="s">
        <v>941</v>
      </c>
      <c r="D9" s="102"/>
      <c r="E9" s="132" t="b">
        <f>IF(D9="Applicable",TRUE,FALSE)</f>
        <v>0</v>
      </c>
      <c r="F9" s="133"/>
      <c r="G9" s="133"/>
      <c r="H9" s="133"/>
      <c r="I9" s="133"/>
      <c r="J9" s="133"/>
      <c r="K9" s="133"/>
      <c r="L9" s="133"/>
      <c r="M9" s="134"/>
      <c r="N9" s="102"/>
      <c r="O9" s="88" t="b">
        <f>IF(N9="Applicable",TRUE,FALSE)</f>
        <v>0</v>
      </c>
      <c r="P9" s="134"/>
      <c r="Q9" s="463"/>
      <c r="R9" s="132" t="b">
        <f>IF(Q9="Applicable",TRUE,FALSE)</f>
        <v>0</v>
      </c>
      <c r="S9" s="336"/>
      <c r="T9" s="336"/>
      <c r="U9" s="337"/>
      <c r="V9" s="102"/>
      <c r="W9" s="132" t="b">
        <f>IF(V9="Applicable",TRUE,FALSE)</f>
        <v>0</v>
      </c>
      <c r="X9" s="336"/>
      <c r="Y9" s="336"/>
      <c r="Z9" s="1782"/>
    </row>
    <row r="10" spans="1:26" ht="15" thickTop="1" x14ac:dyDescent="0.3">
      <c r="A10" s="150"/>
      <c r="B10" s="150"/>
      <c r="C10" s="150"/>
      <c r="D10" s="150"/>
    </row>
    <row r="11" spans="1:26" s="131" customFormat="1" ht="15.5" x14ac:dyDescent="0.3">
      <c r="A11" s="4874" t="s">
        <v>1254</v>
      </c>
      <c r="B11" s="4874"/>
      <c r="C11" s="4874"/>
      <c r="D11" s="4874"/>
      <c r="E11" s="4874"/>
      <c r="F11" s="4874"/>
      <c r="G11" s="4874"/>
      <c r="H11" s="4874"/>
      <c r="I11" s="4874"/>
      <c r="J11" s="4874"/>
      <c r="K11" s="4874"/>
      <c r="L11" s="4874"/>
      <c r="M11" s="4874"/>
      <c r="N11" s="4874"/>
      <c r="O11" s="4874"/>
      <c r="P11" s="4874"/>
      <c r="Q11" s="4874"/>
      <c r="R11" s="4874"/>
      <c r="S11" s="4874"/>
      <c r="T11" s="4874"/>
      <c r="U11" s="4874"/>
      <c r="V11" s="671"/>
      <c r="W11" s="4874"/>
      <c r="X11" s="4874"/>
      <c r="Y11" s="548"/>
      <c r="Z11" s="548"/>
    </row>
    <row r="12" spans="1:26" ht="15" thickBot="1" x14ac:dyDescent="0.35">
      <c r="A12" s="150"/>
      <c r="B12" s="103"/>
    </row>
    <row r="13" spans="1:26" ht="44.5" thickTop="1" thickBot="1" x14ac:dyDescent="0.35">
      <c r="A13" s="28"/>
      <c r="B13" s="2202" t="s">
        <v>824</v>
      </c>
      <c r="C13" s="1734" t="s">
        <v>475</v>
      </c>
      <c r="D13" s="2010" t="s">
        <v>1233</v>
      </c>
      <c r="E13" s="2139" t="b">
        <f>E20</f>
        <v>0</v>
      </c>
      <c r="F13" s="842"/>
      <c r="G13" s="2179"/>
      <c r="H13" s="2179"/>
      <c r="I13" s="2439"/>
      <c r="J13" s="1750"/>
      <c r="K13" s="1750"/>
      <c r="L13" s="2439"/>
      <c r="M13" s="4294"/>
      <c r="N13" s="1192" t="s">
        <v>1233</v>
      </c>
      <c r="O13" s="697" t="b">
        <f>O20</f>
        <v>0</v>
      </c>
      <c r="P13" s="3621"/>
      <c r="Q13" s="1192" t="s">
        <v>1233</v>
      </c>
      <c r="R13" s="138" t="b">
        <f>R20</f>
        <v>0</v>
      </c>
      <c r="S13" s="186"/>
      <c r="T13" s="186"/>
      <c r="U13" s="459"/>
      <c r="V13" s="1489" t="s">
        <v>1233</v>
      </c>
      <c r="W13" s="585" t="b">
        <f>W20</f>
        <v>0</v>
      </c>
      <c r="X13" s="186"/>
      <c r="Y13" s="186"/>
      <c r="Z13" s="1772"/>
    </row>
    <row r="14" spans="1:26" ht="30" thickTop="1" thickBot="1" x14ac:dyDescent="0.35">
      <c r="A14" s="275" t="s">
        <v>403</v>
      </c>
      <c r="B14" s="1870" t="s">
        <v>825</v>
      </c>
      <c r="C14" s="1925" t="s">
        <v>474</v>
      </c>
      <c r="D14" s="1925" t="s">
        <v>1233</v>
      </c>
      <c r="E14" s="102" t="b">
        <f>E42</f>
        <v>0</v>
      </c>
      <c r="F14" s="102"/>
      <c r="G14" s="2203"/>
      <c r="H14" s="2203"/>
      <c r="I14" s="3627"/>
      <c r="J14" s="3197"/>
      <c r="K14" s="1752"/>
      <c r="L14" s="4295"/>
      <c r="M14" s="2842"/>
      <c r="N14" s="1499" t="s">
        <v>1233</v>
      </c>
      <c r="O14" s="205" t="b">
        <f>O42</f>
        <v>0</v>
      </c>
      <c r="P14" s="3621"/>
      <c r="Q14" s="1499" t="s">
        <v>1233</v>
      </c>
      <c r="R14" s="67" t="b">
        <f>R42</f>
        <v>0</v>
      </c>
      <c r="S14" s="261"/>
      <c r="T14" s="261"/>
      <c r="U14" s="589"/>
      <c r="V14" s="1490" t="s">
        <v>1233</v>
      </c>
      <c r="W14" s="294" t="b">
        <f>W42</f>
        <v>0</v>
      </c>
      <c r="X14" s="261"/>
      <c r="Y14" s="261"/>
      <c r="Z14" s="1775"/>
    </row>
    <row r="15" spans="1:26" ht="44.5" thickTop="1" thickBot="1" x14ac:dyDescent="0.35">
      <c r="A15" s="28"/>
      <c r="B15" s="2204" t="s">
        <v>826</v>
      </c>
      <c r="C15" s="2147" t="s">
        <v>822</v>
      </c>
      <c r="D15" s="2205" t="s">
        <v>1233</v>
      </c>
      <c r="E15" s="706" t="b">
        <f>E50</f>
        <v>0</v>
      </c>
      <c r="F15" s="160"/>
      <c r="G15" s="160"/>
      <c r="H15" s="160"/>
      <c r="I15" s="160"/>
      <c r="J15" s="124"/>
      <c r="K15" s="124"/>
      <c r="L15" s="133"/>
      <c r="M15" s="134"/>
      <c r="N15" s="1499" t="s">
        <v>1233</v>
      </c>
      <c r="O15" s="205" t="b">
        <f>O50</f>
        <v>0</v>
      </c>
      <c r="P15" s="3621"/>
      <c r="Q15" s="1499" t="s">
        <v>1233</v>
      </c>
      <c r="R15" s="67" t="b">
        <f>R50</f>
        <v>0</v>
      </c>
      <c r="S15" s="261"/>
      <c r="T15" s="261"/>
      <c r="U15" s="589"/>
      <c r="V15" s="1490" t="s">
        <v>1233</v>
      </c>
      <c r="W15" s="294" t="b">
        <f>W50</f>
        <v>0</v>
      </c>
      <c r="X15" s="261"/>
      <c r="Y15" s="261"/>
      <c r="Z15" s="1775"/>
    </row>
    <row r="16" spans="1:26" ht="30" thickTop="1" thickBot="1" x14ac:dyDescent="0.35">
      <c r="A16" s="28"/>
      <c r="B16" s="2204" t="s">
        <v>827</v>
      </c>
      <c r="C16" s="2147" t="s">
        <v>823</v>
      </c>
      <c r="D16" s="2205" t="s">
        <v>1233</v>
      </c>
      <c r="E16" s="706" t="b">
        <f>E62</f>
        <v>0</v>
      </c>
      <c r="F16" s="160"/>
      <c r="G16" s="160"/>
      <c r="H16" s="160"/>
      <c r="I16" s="160"/>
      <c r="J16" s="160"/>
      <c r="K16" s="160"/>
      <c r="L16" s="160"/>
      <c r="M16" s="188"/>
      <c r="N16" s="2182" t="s">
        <v>1233</v>
      </c>
      <c r="O16" s="590" t="b">
        <f>O62</f>
        <v>0</v>
      </c>
      <c r="P16" s="134"/>
      <c r="Q16" s="1499" t="s">
        <v>1233</v>
      </c>
      <c r="R16" s="161" t="b">
        <f>R62</f>
        <v>0</v>
      </c>
      <c r="S16" s="1555"/>
      <c r="T16" s="1555"/>
      <c r="U16" s="1164"/>
      <c r="V16" s="1491" t="s">
        <v>1233</v>
      </c>
      <c r="W16" s="295" t="b">
        <f>W62</f>
        <v>0</v>
      </c>
      <c r="X16" s="1555"/>
      <c r="Y16" s="1555"/>
      <c r="Z16" s="1780"/>
    </row>
    <row r="17" spans="1:26" s="542" customFormat="1" ht="15" thickTop="1" x14ac:dyDescent="0.3">
      <c r="A17" s="481"/>
      <c r="C17" s="481"/>
      <c r="E17" s="497"/>
      <c r="F17" s="497"/>
      <c r="G17" s="481"/>
      <c r="H17" s="481"/>
      <c r="I17" s="543"/>
      <c r="J17" s="543"/>
      <c r="K17" s="543"/>
      <c r="L17" s="543"/>
      <c r="M17" s="543"/>
      <c r="N17" s="481"/>
      <c r="O17" s="497"/>
      <c r="P17" s="481"/>
      <c r="R17" s="497"/>
      <c r="S17" s="543"/>
      <c r="T17" s="543"/>
      <c r="U17" s="543"/>
      <c r="V17" s="481"/>
      <c r="W17" s="497"/>
      <c r="X17" s="543"/>
      <c r="Y17" s="543"/>
    </row>
    <row r="18" spans="1:26" s="131" customFormat="1" ht="15.5" x14ac:dyDescent="0.3">
      <c r="A18" s="4840" t="s">
        <v>1135</v>
      </c>
      <c r="B18" s="4841"/>
      <c r="C18" s="4841"/>
      <c r="D18" s="4841"/>
      <c r="E18" s="4841"/>
      <c r="F18" s="4841"/>
      <c r="G18" s="4841"/>
      <c r="H18" s="4841"/>
      <c r="I18" s="4841"/>
      <c r="J18" s="4841"/>
      <c r="K18" s="4841"/>
      <c r="L18" s="4841"/>
      <c r="M18" s="4841"/>
      <c r="N18" s="4841"/>
      <c r="O18" s="549"/>
      <c r="P18" s="549"/>
      <c r="Q18" s="549"/>
      <c r="R18" s="549"/>
      <c r="S18" s="550"/>
      <c r="T18" s="551"/>
      <c r="U18" s="551"/>
      <c r="V18" s="695"/>
      <c r="W18" s="549"/>
      <c r="X18" s="550"/>
      <c r="Y18" s="551"/>
      <c r="Z18" s="548"/>
    </row>
    <row r="19" spans="1:26" s="545" customFormat="1" ht="15" thickBot="1" x14ac:dyDescent="0.35">
      <c r="A19" s="544"/>
      <c r="B19" s="544"/>
      <c r="C19" s="544"/>
      <c r="D19" s="544"/>
      <c r="E19" s="544"/>
      <c r="F19" s="544"/>
      <c r="G19" s="544"/>
      <c r="H19" s="544"/>
      <c r="I19" s="544"/>
      <c r="J19" s="544"/>
      <c r="K19" s="544"/>
      <c r="L19" s="544"/>
      <c r="M19" s="544"/>
      <c r="N19" s="544"/>
      <c r="O19" s="544"/>
      <c r="P19" s="544"/>
      <c r="Q19" s="544"/>
      <c r="R19" s="544"/>
      <c r="S19" s="544"/>
      <c r="T19" s="544"/>
      <c r="U19" s="544"/>
      <c r="V19" s="544"/>
      <c r="W19" s="544"/>
      <c r="X19" s="544"/>
      <c r="Y19" s="544"/>
    </row>
    <row r="20" spans="1:26" s="721" customFormat="1" ht="44.5" thickTop="1" thickBot="1" x14ac:dyDescent="0.35">
      <c r="A20" s="649" t="s">
        <v>747</v>
      </c>
      <c r="B20" s="1857" t="s">
        <v>1567</v>
      </c>
      <c r="C20" s="1701" t="s">
        <v>940</v>
      </c>
      <c r="D20" s="1923" t="s">
        <v>565</v>
      </c>
      <c r="E20" s="2064" t="b">
        <f>IF(AND(E21=TRUE,E24=TRUE,E28=TRUE,E32=TRUE),TRUE,FALSE)</f>
        <v>0</v>
      </c>
      <c r="F20" s="1642">
        <f>SUM(F21,F24,F28,F32,F35)</f>
        <v>0</v>
      </c>
      <c r="G20" s="1642">
        <f>SUM(G21,G24,G28,G32,G35)</f>
        <v>0</v>
      </c>
      <c r="H20" s="1642">
        <f>SUM(H21,H24,H28,H32,H35)</f>
        <v>0</v>
      </c>
      <c r="I20" s="1642" t="str">
        <f xml:space="preserve">
IF(F20&gt;11,"Too Many Entries - Check Red Lines",
IF(G20&lt;F20,"Valid Entry required below - Check Amber Line/s",
IF(AND(E20=FALSE,G20=0,H20=0),"Nothing Entered below Yet",
IF(G20&lt;F20,"Valid Entry required below - Check Amber Line/s",
IF(AND(G20=0,H20&gt;0),"**Non-Valid Entry/ies below - Check Yellow Line/s",
IF(AND(G20&gt;0,H20&gt;0),"**Valid and Non-Valid Entries made below - Check Yellow Line/s",
IF(AND(E20=FALSE,F20&lt;11),"Not all requirements addressed below - Check Pink Line/s",
IF(AND(E20=FALSE,G20&lt;11,G20&gt;0,H20=0),"More entries to come",
IF(AND(E20,TRUE,G20=11,H20=0),"Valid Entries made below"
)))))))))</f>
        <v>Nothing Entered below Yet</v>
      </c>
      <c r="J20" s="1642">
        <f>SUM(J21,J24,J28,J32,J35)</f>
        <v>0</v>
      </c>
      <c r="K20" s="1642">
        <f>SUM(K21,K24,K28,K32,K35)</f>
        <v>0</v>
      </c>
      <c r="L20" s="1642" t="str">
        <f xml:space="preserve">
IF(J20&gt;11,"Too Many Entries - Check Red Lines",
IF(AND(E20=FALSE,J20=0,K20=0,E20=TRUE),"Nothing Required Below",
IF(J20&lt;F20,"Valid Entry required below - Check Amber Line/s",
IF(AND(E20=FALSE,J20=0,K20=0),"Nothing Entered below Yet",
IF(AND(J20=0,K20&gt;0),"**Non-Valid Entry/ies below - Check Yellow Line/s",
IF(AND(J20&gt;0,K20&gt;0),"**Valid and Non-Valid Entries made below - Check Yellow Line/s",
IF(AND(E20=FALSE,J20&lt;11),"Not all requirements addressed below - Check Pink Line/s",
IF(AND(E20=FALSE,J20&lt;11,J20&gt;0,K20=0),"More entries to come",
IF(AND(E20,TRUE,J20=11,K20=0),"Valid Entries made below"
)))))))))</f>
        <v>Nothing Entered below Yet</v>
      </c>
      <c r="M20" s="337"/>
      <c r="N20" s="1197" t="s">
        <v>565</v>
      </c>
      <c r="O20" s="462" t="b">
        <f>IF(AND(O21=TRUE,O24=TRUE,O28=TRUE,O32=TRUE,O35=TRUE),TRUE,FALSE)</f>
        <v>0</v>
      </c>
      <c r="P20" s="4296"/>
      <c r="Q20" s="1197" t="s">
        <v>565</v>
      </c>
      <c r="R20" s="335" t="b">
        <f>IF(AND(R21=TRUE,R24=TRUE,R28=TRUE,R32=TRUE,R35=TRUE),TRUE,FALSE)</f>
        <v>0</v>
      </c>
      <c r="S20" s="336"/>
      <c r="T20" s="336"/>
      <c r="U20" s="640"/>
      <c r="V20" s="1197" t="s">
        <v>565</v>
      </c>
      <c r="W20" s="335" t="b">
        <f>IF(AND(W21=TRUE,W24=TRUE,W28=TRUE,W32=TRUE,W35=TRUE),TRUE,FALSE)</f>
        <v>0</v>
      </c>
      <c r="X20" s="1769"/>
      <c r="Y20" s="1769"/>
      <c r="Z20" s="4297"/>
    </row>
    <row r="21" spans="1:26" s="721" customFormat="1" ht="44" thickTop="1" x14ac:dyDescent="0.3">
      <c r="A21" s="649" t="s">
        <v>708</v>
      </c>
      <c r="B21" s="2065" t="s">
        <v>1577</v>
      </c>
      <c r="C21" s="2206" t="s">
        <v>1736</v>
      </c>
      <c r="D21" s="2207" t="s">
        <v>565</v>
      </c>
      <c r="E21" s="2066" t="b">
        <f>IF(AND(E22=TRUE,E23=TRUE),TRUE,FALSE)</f>
        <v>0</v>
      </c>
      <c r="F21" s="2067">
        <f>COUNTIF(E22:E23,TRUE)</f>
        <v>0</v>
      </c>
      <c r="G21" s="2067">
        <f>COUNTIFS(E22:E23,TRUE,G22:G23,"Not Blank")</f>
        <v>0</v>
      </c>
      <c r="H21" s="2067">
        <f>COUNTIFS(E22:E23,FALSE,G22:G23,"Not Blank")</f>
        <v>0</v>
      </c>
      <c r="I21" s="2208" t="str">
        <f xml:space="preserve">
IF(F21&gt;2,"Too Many Entries - Check Red Lines",
IF(G21&lt;F21,"Valid Entry required below - Check Amber Line/s",
IF(AND(E21=FALSE,G21=0,H21=0),"Nothing Entered below Yet",
IF(G21&lt;F21,"Valid Entry required below - Check Amber Line/s",
IF(AND(G21=0,H21&gt;0),"**Non-Valid Entry/ies below - Check Yellow Line/s",
IF(AND(G21&gt;0,H21&gt;0),"**Valid and Non-Valid Entries made below - Check Yellow Line/s",
IF(AND(E21=FALSE,F21&lt;2),"Not all requirements addressed below - Check Pink Line/s",
IF(AND(E21=FALSE,G21&lt;2,G21&gt;0,H21=0),"More entries to come",
IF(AND(E21,TRUE,G21=2,H21=0),"Valid Entries made below"
)))))))))</f>
        <v>Nothing Entered below Yet</v>
      </c>
      <c r="J21" s="2208">
        <f>COUNTIFS(E22:E25,TRUE,J22:J25,"Not Blank")</f>
        <v>0</v>
      </c>
      <c r="K21" s="2208">
        <f>COUNTIFS(E22:E25,FALSE,J22:J25,"Not Blank")</f>
        <v>0</v>
      </c>
      <c r="L21" s="2208" t="str">
        <f xml:space="preserve">
IF(J21&gt;2,"Too Many Entries - Check Red Lines",
IF(AND(E21=FALSE,J21=0,K21=0,E21=TRUE),"Nothing Required Below",
IF(J21&lt;F21,"Valid Entry required below - Check Amber Line/s",
IF(AND(E21=FALSE,J21=0,K21=0),"Nothing Entered below Yet",
IF(AND(J21=0,K21&gt;0),"**Non-Valid Entry/ies below - Check Yellow Line/s",
IF(AND(J21&gt;0,K21&gt;0),"**Valid and Non-Valid Entries made below - Check Yellow Line/s",
IF(AND(E21=FALSE,J21&lt;2),"Not all requirements addressed below - Check Pink Line/s",
IF(AND(E21=FALSE,J21&lt;2,J21&gt;0,K21=0),"More entries to come",
IF(AND(E21,TRUE,J21=2,K21=0),"Valid Entries made below"
)))))))))</f>
        <v>Nothing Entered below Yet</v>
      </c>
      <c r="M21" s="3612"/>
      <c r="N21" s="4844" t="s">
        <v>3</v>
      </c>
      <c r="O21" s="4887" t="b">
        <f>IF(OR(N21="Compliant",N21="FE with work-a-round",N21="Functionally Equivalent"),TRUE,FALSE)</f>
        <v>0</v>
      </c>
      <c r="P21" s="4890"/>
      <c r="Q21" s="2210" t="s">
        <v>565</v>
      </c>
      <c r="R21" s="1082" t="b">
        <f>IF(AND(R22=TRUE,R23=TRUE),TRUE,FALSE)</f>
        <v>0</v>
      </c>
      <c r="S21" s="1540"/>
      <c r="T21" s="1540"/>
      <c r="U21" s="2636"/>
      <c r="V21" s="4415" t="s">
        <v>3</v>
      </c>
      <c r="W21" s="4726" t="b">
        <f>IF(OR(V21="Compliant",V21="FE with work-a-round",V21="Functionally Equivalent",V21="Not Required/Applicable"),TRUE,FALSE)</f>
        <v>0</v>
      </c>
      <c r="X21" s="3287"/>
      <c r="Y21" s="3287"/>
      <c r="Z21" s="4298"/>
    </row>
    <row r="22" spans="1:26" ht="43.5" x14ac:dyDescent="0.3">
      <c r="A22" s="275" t="s">
        <v>945</v>
      </c>
      <c r="B22" s="1504"/>
      <c r="C22" s="1702" t="s">
        <v>988</v>
      </c>
      <c r="D22" s="1013" t="s">
        <v>3</v>
      </c>
      <c r="E22" s="121" t="b">
        <f>IF(D22="Compliant",TRUE,FALSE)</f>
        <v>0</v>
      </c>
      <c r="F22" s="44"/>
      <c r="G22" s="44" t="str">
        <f>IF(I22&lt;&gt;"", "Not Blank", "")</f>
        <v/>
      </c>
      <c r="H22" s="44"/>
      <c r="I22" s="42"/>
      <c r="J22" s="42"/>
      <c r="K22" s="42"/>
      <c r="L22" s="42"/>
      <c r="M22" s="2209"/>
      <c r="N22" s="4844"/>
      <c r="O22" s="4887"/>
      <c r="P22" s="4890"/>
      <c r="Q22" s="2180" t="s">
        <v>3</v>
      </c>
      <c r="R22" s="67" t="b">
        <f>IF(OR(Q22="Compliant",Q22="FE with work-a-round",Q22="Functionally Equivalent",Q22="Not Required/Applicable"),TRUE,FALSE)</f>
        <v>0</v>
      </c>
      <c r="S22" s="261"/>
      <c r="T22" s="261"/>
      <c r="U22" s="589"/>
      <c r="V22" s="4415"/>
      <c r="W22" s="4726"/>
      <c r="X22" s="261"/>
      <c r="Y22" s="261"/>
      <c r="Z22" s="1775"/>
    </row>
    <row r="23" spans="1:26" ht="73" thickBot="1" x14ac:dyDescent="0.35">
      <c r="A23" s="233" t="s">
        <v>910</v>
      </c>
      <c r="B23" s="1504"/>
      <c r="C23" s="1721" t="s">
        <v>1799</v>
      </c>
      <c r="D23" s="849" t="s">
        <v>3</v>
      </c>
      <c r="E23" s="895" t="b">
        <f>IF(D23="Compliant",TRUE,FALSE)</f>
        <v>0</v>
      </c>
      <c r="F23" s="79"/>
      <c r="G23" s="79" t="str">
        <f>IF(I23&lt;&gt;"", "Not Blank", "")</f>
        <v/>
      </c>
      <c r="H23" s="79"/>
      <c r="I23" s="79"/>
      <c r="J23" s="79"/>
      <c r="K23" s="79"/>
      <c r="L23" s="79"/>
      <c r="M23" s="127"/>
      <c r="N23" s="4844"/>
      <c r="O23" s="4887"/>
      <c r="P23" s="4890"/>
      <c r="Q23" s="692" t="s">
        <v>3</v>
      </c>
      <c r="R23" s="78" t="b">
        <f>IF(OR(Q23="Compliant",Q23="FE with work-a-round",Q23="Functionally Equivalent",Q23="Not Required/Applicable"),TRUE,FALSE)</f>
        <v>0</v>
      </c>
      <c r="S23" s="718"/>
      <c r="T23" s="718"/>
      <c r="U23" s="719"/>
      <c r="V23" s="4415"/>
      <c r="W23" s="4726"/>
      <c r="X23" s="718"/>
      <c r="Y23" s="718"/>
      <c r="Z23" s="1777"/>
    </row>
    <row r="24" spans="1:26" s="304" customFormat="1" ht="30" thickTop="1" thickBot="1" x14ac:dyDescent="0.35">
      <c r="A24" s="646"/>
      <c r="B24" s="1910" t="s">
        <v>1574</v>
      </c>
      <c r="C24" s="1728" t="s">
        <v>1570</v>
      </c>
      <c r="D24" s="1923" t="s">
        <v>565</v>
      </c>
      <c r="E24" s="2068" t="b">
        <f>IF(OR(E25=TRUE,E26=TRUE,E27=TRUE),TRUE,FALSE)</f>
        <v>0</v>
      </c>
      <c r="F24" s="1677">
        <f>COUNTIF(E25:E27,TRUE)</f>
        <v>0</v>
      </c>
      <c r="G24" s="1677">
        <f>COUNTIFS(E25:E27,TRUE,G25:G27,"Not Blank")</f>
        <v>0</v>
      </c>
      <c r="H24" s="1677">
        <f>COUNTIFS(E25:E27,FALSE,G25:G27,"Not Blank")</f>
        <v>0</v>
      </c>
      <c r="I24" s="1642" t="str">
        <f xml:space="preserve">
IF(F24&gt;1,"Too Many Entries - Check Red Lines",
IF(AND(E24=FALSE,G24=0,H24=0,E22=TRUE),"Nothing Required Below",
IF(G24&lt;F24,"Valid Entry required below - Check Amber Line/s",
IF(AND(E24=FALSE,G24=0,H24=0),"Nothing Entered below Yet",
IF(G24&lt;F24,"Valid Entry required below - Check Amber Line/s",
IF(AND(G24=0,H24&gt;0),"**Non-Valid Entry/ies below - Check Yellow Line/s",
IF(AND(G24&gt;0,H24&gt;0),"**Valid and Non-Valid Entries made below - Check Yellow Line/s",
IF(AND(E24=FALSE,F24&lt;1),"Not all requirements addressed below - Check Pink Line/s",
IF(AND(E24=FALSE,G24&lt;1,G24&gt;0,H24=0),"More entries to come",
IF(AND(E24,TRUE,G24=1,H24=0),"Valid Entries made below"
))))))))))</f>
        <v>Nothing Entered below Yet</v>
      </c>
      <c r="J24" s="1642">
        <f>COUNTIFS(E25:E27,TRUE,J25:J27,"Not Blank")</f>
        <v>0</v>
      </c>
      <c r="K24" s="1642">
        <f>COUNTIFS(E25:E27,FALSE,J25:J27,"Not Blank")</f>
        <v>0</v>
      </c>
      <c r="L24" s="1642" t="str">
        <f xml:space="preserve">
IF(J24&gt;1,"Too Many Entries - Check Red Lines",
IF(AND(E24=FALSE,J24=0,K24=0,E22=TRUE),"Nothing Required Below",
IF(J24&lt;F24,"Valid Entry required below - Check Amber Line/s",
IF(AND(E24=FALSE,J24=0,K24=0),"Nothing Entered below Yet",
IF(AND(J24=0,K24&gt;0),"**Non-Valid Entry/ies below - Check Yellow Line/s",
IF(AND(J24&gt;0,K24&gt;0),"**Valid and Non-Valid Entries made below - Check Yellow Line/s",
IF(AND(E24=FALSE,J24&lt;1),"Not all requirements addressed below - Check Pink Line/s",
IF(AND(E24=FALSE,J24&lt;1,J24&gt;0,K24=0),"More entries to come",
IF(AND(E24,TRUE,J24=1,K24=0),"Valid Entries made below"
)))))))))</f>
        <v>Nothing Entered below Yet</v>
      </c>
      <c r="M24" s="337"/>
      <c r="N24" s="4808" t="s">
        <v>3</v>
      </c>
      <c r="O24" s="4878" t="b">
        <f>IF(OR(N24="Compliant",N24="FE with work-a-round",N24="Functionally Equivalent"),TRUE,FALSE)</f>
        <v>0</v>
      </c>
      <c r="P24" s="4892"/>
      <c r="Q24" s="2201" t="s">
        <v>565</v>
      </c>
      <c r="R24" s="338" t="b">
        <f>IF(OR(R25=TRUE,R26=TRUE,R27=TRUE),TRUE,FALSE)</f>
        <v>0</v>
      </c>
      <c r="S24" s="186"/>
      <c r="T24" s="186"/>
      <c r="U24" s="459"/>
      <c r="V24" s="4414"/>
      <c r="W24" s="4725" t="b">
        <f>IF(OR(V24="Compliant",V24="FE with work-a-round",V24="Functionally Equivalent",V24="Not Required/Applicable"),TRUE,FALSE)</f>
        <v>0</v>
      </c>
      <c r="X24" s="186"/>
      <c r="Y24" s="186"/>
      <c r="Z24" s="2607"/>
    </row>
    <row r="25" spans="1:26" ht="29.5" thickTop="1" x14ac:dyDescent="0.3">
      <c r="A25" s="275" t="s">
        <v>946</v>
      </c>
      <c r="B25" s="2050"/>
      <c r="C25" s="1686" t="s">
        <v>943</v>
      </c>
      <c r="D25" s="1013" t="s">
        <v>3</v>
      </c>
      <c r="E25" s="121" t="b">
        <f>IF(D25="Compliant",TRUE,FALSE)</f>
        <v>0</v>
      </c>
      <c r="F25" s="361"/>
      <c r="G25" s="382" t="str">
        <f>IF(I25&lt;&gt;"", "Not Blank", "")</f>
        <v/>
      </c>
      <c r="H25" s="361"/>
      <c r="I25" s="42"/>
      <c r="J25" s="391" t="str">
        <f>IF(L25&lt;&gt;"", "Not Blank", "")</f>
        <v/>
      </c>
      <c r="K25" s="391"/>
      <c r="L25" s="42"/>
      <c r="M25" s="128"/>
      <c r="N25" s="4809"/>
      <c r="O25" s="4879"/>
      <c r="P25" s="4893"/>
      <c r="Q25" s="863" t="s">
        <v>3</v>
      </c>
      <c r="R25" s="67" t="b">
        <f>IF(OR(Q25="Compliant",Q25="FE with work-a-round",Q25="Functionally Equivalent",Q25="Not Required/Applicable"),TRUE,FALSE)</f>
        <v>0</v>
      </c>
      <c r="S25" s="261"/>
      <c r="T25" s="261"/>
      <c r="U25" s="589"/>
      <c r="V25" s="4415"/>
      <c r="W25" s="4726"/>
      <c r="X25" s="261"/>
      <c r="Y25" s="261"/>
      <c r="Z25" s="1775"/>
    </row>
    <row r="26" spans="1:26" ht="72.5" x14ac:dyDescent="0.3">
      <c r="A26" s="275"/>
      <c r="B26" s="2050"/>
      <c r="C26" s="1686" t="s">
        <v>944</v>
      </c>
      <c r="D26" s="319" t="s">
        <v>3</v>
      </c>
      <c r="E26" s="121" t="b">
        <f>IF(D26="Compliant",TRUE,FALSE)</f>
        <v>0</v>
      </c>
      <c r="F26" s="44"/>
      <c r="G26" s="44" t="str">
        <f>IF(I26&lt;&gt;"", "Not Blank", "")</f>
        <v/>
      </c>
      <c r="H26" s="44"/>
      <c r="I26" s="44"/>
      <c r="J26" s="44" t="str">
        <f>IF(L26&lt;&gt;"", "Not Blank", "")</f>
        <v/>
      </c>
      <c r="K26" s="44"/>
      <c r="L26" s="44"/>
      <c r="M26" s="122"/>
      <c r="N26" s="4809"/>
      <c r="O26" s="4879"/>
      <c r="P26" s="4893"/>
      <c r="Q26" s="690" t="s">
        <v>3</v>
      </c>
      <c r="R26" s="67" t="b">
        <f>IF(OR(Q26="Compliant",Q26="FE with work-a-round",Q26="Functionally Equivalent",Q26="Not Required/Applicable"),TRUE,FALSE)</f>
        <v>0</v>
      </c>
      <c r="S26" s="261"/>
      <c r="T26" s="261"/>
      <c r="U26" s="589"/>
      <c r="V26" s="4415"/>
      <c r="W26" s="4726"/>
      <c r="X26" s="261"/>
      <c r="Y26" s="261"/>
      <c r="Z26" s="1775"/>
    </row>
    <row r="27" spans="1:26" ht="44" thickBot="1" x14ac:dyDescent="0.35">
      <c r="A27" s="275"/>
      <c r="B27" s="2050"/>
      <c r="C27" s="1687" t="s">
        <v>1571</v>
      </c>
      <c r="D27" s="230" t="s">
        <v>3</v>
      </c>
      <c r="E27" s="123" t="b">
        <f>IF(D27="Compliant",TRUE,FALSE)</f>
        <v>0</v>
      </c>
      <c r="F27" s="124"/>
      <c r="G27" s="124"/>
      <c r="H27" s="124"/>
      <c r="I27" s="124"/>
      <c r="J27" s="124"/>
      <c r="K27" s="124"/>
      <c r="L27" s="124"/>
      <c r="M27" s="125"/>
      <c r="N27" s="4810"/>
      <c r="O27" s="4880"/>
      <c r="P27" s="4894"/>
      <c r="Q27" s="691" t="s">
        <v>3</v>
      </c>
      <c r="R27" s="161" t="b">
        <f>IF(OR(Q27="Compliant",Q27="FE with work-a-round",Q27="Functionally Equivalent",Q27="Not Required/Applicable"),TRUE,FALSE)</f>
        <v>0</v>
      </c>
      <c r="S27" s="1555"/>
      <c r="T27" s="1555"/>
      <c r="U27" s="1164"/>
      <c r="V27" s="4416"/>
      <c r="W27" s="4727" t="b">
        <f>IF(OR(V27="Compliant",V27="FE with work-a-round",V27="Functionally Equivalent",V27="Not Required/Applicable"),TRUE,FALSE)</f>
        <v>0</v>
      </c>
      <c r="X27" s="1555"/>
      <c r="Y27" s="1555"/>
      <c r="Z27" s="1780"/>
    </row>
    <row r="28" spans="1:26" s="304" customFormat="1" ht="44.5" thickTop="1" thickBot="1" x14ac:dyDescent="0.35">
      <c r="A28" s="646">
        <v>4.3</v>
      </c>
      <c r="B28" s="1910" t="s">
        <v>1568</v>
      </c>
      <c r="C28" s="1728" t="s">
        <v>909</v>
      </c>
      <c r="D28" s="2199" t="s">
        <v>565</v>
      </c>
      <c r="E28" s="2068" t="b">
        <f>IF(AND(E29=TRUE,E30=TRUE,E31=TRUE),TRUE,FALSE)</f>
        <v>0</v>
      </c>
      <c r="F28" s="1677">
        <f>COUNTIF(E29:E31,TRUE)</f>
        <v>0</v>
      </c>
      <c r="G28" s="1677">
        <f>COUNTIFS(E29:E31,TRUE,G29:G31,"Not Blank")</f>
        <v>0</v>
      </c>
      <c r="H28" s="1677">
        <f>COUNTIFS(E29:E31,FALSE,G29:G31,"Not Blank")</f>
        <v>0</v>
      </c>
      <c r="I28" s="1519" t="str">
        <f xml:space="preserve">
IF(F28&gt;3,"Too Many Entries - Check Red Lines",
IF(G28&lt;F28,"Valid Entry required below - Check Amber Line/s",
IF(AND(E28=FALSE,G28=0,H28=0),"Nothing Entered below Yet",
IF(G28&lt;F28,"Valid Entry required below - Check Amber Line/s",
IF(AND(G28=0,H28&gt;0),"**Non-Valid Entry/ies below - Check Yellow Line/s",
IF(AND(G28&gt;0,H28&gt;0),"**Valid and Non-Valid Entries made below - Check Yellow Line/s",
IF(AND(E28=FALSE,F28&lt;3),"Not all requirements addressed below - Check Pink Line/s",
IF(AND(E28=FALSE,G28&lt;3,G28&gt;0,H28=0),"More entries to come",
IF(AND(E28,TRUE,G28=3,H28=0),"Valid Entries made below"
)))))))))</f>
        <v>Nothing Entered below Yet</v>
      </c>
      <c r="J28" s="1677">
        <f>COUNTIFS(E29:E31,TRUE,J29:J31,"Not Blank")</f>
        <v>0</v>
      </c>
      <c r="K28" s="1677">
        <f>COUNTIFS(E29:E31,FALSE,J29:J31,"Not Blank")</f>
        <v>0</v>
      </c>
      <c r="L28" s="1519" t="str">
        <f xml:space="preserve">
IF(J28&gt;3,"Too Many Entries - Check Red Lines",
IF(AND(E28=FALSE,J28=0,K28=0,E28=TRUE),"Nothing Required Below",
IF(J28&lt;F28,"Valid Entry required below - Check Amber Line/s",
IF(AND(E28=FALSE,J28=0,K28=0),"Nothing Entered below Yet",
IF(AND(J28=0,K28&gt;0),"**Non-Valid Entry/ies below - Check Yellow Line/s",
IF(AND(J28&gt;0,K28&gt;0),"**Valid and Non-Valid Entries made below - Check Yellow Line/s",
IF(AND(E28=FALSE,J28&lt;3),"Not all requirements addressed below - Check Pink Line/s",
IF(AND(E28=FALSE,J28&lt;3,J28&gt;0,K28=0),"More entries to come",
IF(AND(E28,TRUE,J28=3,K28=0),"Valid Entries made below"
)))))))))</f>
        <v>Nothing Entered below Yet</v>
      </c>
      <c r="M28" s="3602"/>
      <c r="N28" s="4875" t="s">
        <v>3</v>
      </c>
      <c r="O28" s="4878" t="b">
        <f>IF(OR(N28="Compliant",N28="FE with work-a-round",N28="Functionally Equivalent"),TRUE,FALSE)</f>
        <v>0</v>
      </c>
      <c r="P28" s="4889"/>
      <c r="Q28" s="2200" t="s">
        <v>565</v>
      </c>
      <c r="R28" s="338" t="b">
        <f>IF(AND(R29=TRUE,R30=TRUE,R31=TRUE),TRUE,FALSE)</f>
        <v>0</v>
      </c>
      <c r="S28" s="2606"/>
      <c r="T28" s="2606"/>
      <c r="U28" s="2753"/>
      <c r="V28" s="4414" t="s">
        <v>3</v>
      </c>
      <c r="W28" s="4725" t="b">
        <f>IF(OR(V28="Compliant",V28="FE with work-a-round",V28="Functionally Equivalent",V28="Not Required/Applicable"),TRUE,FALSE)</f>
        <v>0</v>
      </c>
      <c r="X28" s="2606"/>
      <c r="Y28" s="2606"/>
      <c r="Z28" s="2607"/>
    </row>
    <row r="29" spans="1:26" ht="145.5" thickTop="1" x14ac:dyDescent="0.3">
      <c r="A29" s="150"/>
      <c r="B29" s="1504"/>
      <c r="C29" s="1686" t="s">
        <v>947</v>
      </c>
      <c r="D29" s="229" t="s">
        <v>3</v>
      </c>
      <c r="E29" s="121" t="b">
        <f>IF(D29="Compliant",TRUE,FALSE)</f>
        <v>0</v>
      </c>
      <c r="F29" s="324"/>
      <c r="G29" s="324" t="str">
        <f>IF(I29&lt;&gt;"", "Not Blank", "")</f>
        <v/>
      </c>
      <c r="H29" s="324"/>
      <c r="I29" s="1750"/>
      <c r="J29" s="1748" t="str">
        <f>IF(L29&lt;&gt;"", "Not Blank", "")</f>
        <v/>
      </c>
      <c r="K29" s="1748"/>
      <c r="L29" s="1750"/>
      <c r="M29" s="4299"/>
      <c r="N29" s="4538"/>
      <c r="O29" s="4879"/>
      <c r="P29" s="4890"/>
      <c r="Q29" s="863" t="s">
        <v>3</v>
      </c>
      <c r="R29" s="67" t="b">
        <f>IF(OR(Q29="Compliant",Q29="FE with work-a-round",Q29="Functionally Equivalent",Q29="Not Required/Applicable"),TRUE,FALSE)</f>
        <v>0</v>
      </c>
      <c r="S29" s="1748"/>
      <c r="T29" s="1748"/>
      <c r="U29" s="1752"/>
      <c r="V29" s="4415"/>
      <c r="W29" s="4726"/>
      <c r="X29" s="1748"/>
      <c r="Y29" s="1748"/>
      <c r="Z29" s="1775"/>
    </row>
    <row r="30" spans="1:26" ht="101.5" x14ac:dyDescent="0.3">
      <c r="A30" s="150"/>
      <c r="B30" s="1504"/>
      <c r="C30" s="1686" t="s">
        <v>948</v>
      </c>
      <c r="D30" s="319" t="s">
        <v>3</v>
      </c>
      <c r="E30" s="121" t="b">
        <f>IF(D30="Compliant",TRUE,FALSE)</f>
        <v>0</v>
      </c>
      <c r="F30" s="324"/>
      <c r="G30" s="324" t="str">
        <f>IF(I30&lt;&gt;"", "Not Blank", "")</f>
        <v/>
      </c>
      <c r="H30" s="324"/>
      <c r="I30" s="1748"/>
      <c r="J30" s="1748" t="str">
        <f>IF(L30&lt;&gt;"", "Not Blank", "")</f>
        <v/>
      </c>
      <c r="K30" s="1748"/>
      <c r="L30" s="1748"/>
      <c r="M30" s="1775"/>
      <c r="N30" s="4538"/>
      <c r="O30" s="4879"/>
      <c r="P30" s="4890"/>
      <c r="Q30" s="690" t="s">
        <v>3</v>
      </c>
      <c r="R30" s="67" t="b">
        <f>IF(OR(Q30="Compliant",Q30="FE with work-a-round",Q30="Functionally Equivalent",Q30="Not Required/Applicable"),TRUE,FALSE)</f>
        <v>0</v>
      </c>
      <c r="S30" s="1748"/>
      <c r="T30" s="1748"/>
      <c r="U30" s="1752"/>
      <c r="V30" s="4415"/>
      <c r="W30" s="4726" t="b">
        <f>IF(OR(V30="Compliant",V30="FE with work-a-round",V30="Functionally Equivalent",V30="Not Required/Applicable"),TRUE,FALSE)</f>
        <v>0</v>
      </c>
      <c r="X30" s="1748"/>
      <c r="Y30" s="1748"/>
      <c r="Z30" s="1775"/>
    </row>
    <row r="31" spans="1:26" ht="87.5" thickBot="1" x14ac:dyDescent="0.35">
      <c r="A31" s="150"/>
      <c r="B31" s="1504"/>
      <c r="C31" s="1687" t="s">
        <v>949</v>
      </c>
      <c r="D31" s="230" t="s">
        <v>3</v>
      </c>
      <c r="E31" s="123" t="b">
        <f>IF(D31="Compliant",TRUE,FALSE)</f>
        <v>0</v>
      </c>
      <c r="F31" s="326"/>
      <c r="G31" s="326" t="str">
        <f>IF(I31&lt;&gt;"", "Not Blank", "")</f>
        <v/>
      </c>
      <c r="H31" s="326"/>
      <c r="I31" s="1764"/>
      <c r="J31" s="1764" t="str">
        <f>IF(L31&lt;&gt;"", "Not Blank", "")</f>
        <v/>
      </c>
      <c r="K31" s="1764"/>
      <c r="L31" s="1764"/>
      <c r="M31" s="1780"/>
      <c r="N31" s="4877"/>
      <c r="O31" s="4880"/>
      <c r="P31" s="4895"/>
      <c r="Q31" s="691" t="s">
        <v>3</v>
      </c>
      <c r="R31" s="161" t="b">
        <f>IF(OR(Q31="Compliant",Q31="FE with work-a-round",Q31="Functionally Equivalent",Q31="Not Required/Applicable"),TRUE,FALSE)</f>
        <v>0</v>
      </c>
      <c r="S31" s="1764"/>
      <c r="T31" s="1764"/>
      <c r="U31" s="2758"/>
      <c r="V31" s="4416"/>
      <c r="W31" s="4727"/>
      <c r="X31" s="1764"/>
      <c r="Y31" s="1764"/>
      <c r="Z31" s="1780"/>
    </row>
    <row r="32" spans="1:26" s="150" customFormat="1" ht="30" thickTop="1" thickBot="1" x14ac:dyDescent="0.35">
      <c r="B32" s="1910" t="s">
        <v>1572</v>
      </c>
      <c r="C32" s="2069" t="s">
        <v>1573</v>
      </c>
      <c r="D32" s="2010" t="s">
        <v>565</v>
      </c>
      <c r="E32" s="1801" t="b">
        <f>IF(AND(E33=TRUE,E34=TRUE),TRUE,FALSE)</f>
        <v>0</v>
      </c>
      <c r="F32" s="1514">
        <f>COUNTIF(E33:E34,TRUE)</f>
        <v>0</v>
      </c>
      <c r="G32" s="1514">
        <f>COUNTIFS(E33:E34,TRUE,G33:G34,"Not Blank")</f>
        <v>0</v>
      </c>
      <c r="H32" s="1514">
        <f>COUNTIFS(E33:E34,FALSE,G33:G34,"Not Blank")</f>
        <v>0</v>
      </c>
      <c r="I32" s="1497" t="str">
        <f xml:space="preserve">
IF(F32&gt;2,"Too Many Entries - Check Red Lines",
IF(G32&lt;F32,"Valid Entry required below - Check Amber Line/s",
IF(AND(E32=FALSE,G32=0,H32=0),"Nothing Entered below Yet",
IF(G32&lt;F32,"Valid Entry required below - Check Amber Line/s",
IF(AND(G32=0,H32&gt;0),"**Non-Valid Entry/ies below - Check Yellow Line/s",
IF(AND(G32&gt;0,H32&gt;0),"**Valid and Non-Valid Entries made below - Check Yellow Line/s",
IF(AND(E32=FALSE,F32&lt;2),"Not all requirements addressed below - Check Pink Line/s",
IF(AND(E32=FALSE,G32&lt;2,G32&gt;0,H32=0),"More entries to come",
IF(AND(E32,TRUE,G32=2,H32=0),"Valid Entries made below"
)))))))))</f>
        <v>Nothing Entered below Yet</v>
      </c>
      <c r="J32" s="1514">
        <f>COUNTIFS(E33:E34,TRUE,J33:J34,"Not Blank")</f>
        <v>0</v>
      </c>
      <c r="K32" s="1514">
        <f>COUNTIFS(E33:E34,FALSE,J33:J34,"Not Blank")</f>
        <v>0</v>
      </c>
      <c r="L32" s="1497" t="str">
        <f xml:space="preserve">
IF(J32&gt;2,"Too Many Entries - Check Red Lines",
IF(AND(E32=FALSE,J32=0,K32=0,E32=TRUE),"Nothing Required Below",
IF(J32&lt;F32,"Valid Entry required below - Check Amber Line/s",
IF(AND(E32=FALSE,J32=0,K32=0),"Nothing Entered below Yet",
IF(AND(J32=0,K32&gt;0),"**Non-Valid Entry/ies below - Check Yellow Line/s",
IF(AND(J32&gt;0,K32&gt;0),"**Valid and Non-Valid Entries made below - Check Yellow Line/s",
IF(AND(E32=FALSE,J32&lt;2),"Not all requirements addressed below - Check Pink Line/s",
IF(AND(E32=FALSE,J32&lt;2,J32&gt;0,K32=0),"More entries to come",
IF(AND(E32,TRUE,J32=2,K32=0),"Valid Entries made below"
)))))))))</f>
        <v>Nothing Entered below Yet</v>
      </c>
      <c r="M32" s="4300"/>
      <c r="N32" s="4872"/>
      <c r="O32" s="4878" t="b">
        <f>IF(OR(N32="Compliant",N32="FE with work-a-round",N32="Functionally Equivalent"),TRUE,FALSE)</f>
        <v>0</v>
      </c>
      <c r="P32" s="4889"/>
      <c r="Q32" s="1499" t="s">
        <v>565</v>
      </c>
      <c r="R32" s="138" t="b">
        <f>IF(AND(R33=TRUE,R34=TRUE),TRUE,FALSE)</f>
        <v>0</v>
      </c>
      <c r="S32" s="1779"/>
      <c r="T32" s="1779"/>
      <c r="U32" s="4301"/>
      <c r="V32" s="4885"/>
      <c r="W32" s="4725" t="b">
        <f>IF(OR(V32="Compliant",V32="FE with work-a-round",V32="Functionally Equivalent",V32="Not Required/Applicable"),TRUE,FALSE)</f>
        <v>0</v>
      </c>
      <c r="X32" s="1779"/>
      <c r="Y32" s="1779"/>
      <c r="Z32" s="4277"/>
    </row>
    <row r="33" spans="1:83" s="150" customFormat="1" ht="29.5" thickTop="1" x14ac:dyDescent="0.3">
      <c r="A33" s="150" t="s">
        <v>1576</v>
      </c>
      <c r="B33" s="1504"/>
      <c r="C33" s="2070" t="s">
        <v>1575</v>
      </c>
      <c r="D33" s="229" t="s">
        <v>3</v>
      </c>
      <c r="E33" s="121" t="b">
        <f>IF(D33="Compliant",TRUE,FALSE)</f>
        <v>0</v>
      </c>
      <c r="F33" s="44"/>
      <c r="G33" s="44" t="str">
        <f>IF(I33&lt;&gt;"", "Not Blank", "")</f>
        <v/>
      </c>
      <c r="H33" s="44"/>
      <c r="I33" s="42"/>
      <c r="J33" s="44" t="str">
        <f>IF(L33&lt;&gt;"", "Not Blank", "")</f>
        <v/>
      </c>
      <c r="K33" s="44"/>
      <c r="L33" s="42"/>
      <c r="M33" s="2611"/>
      <c r="N33" s="4871"/>
      <c r="O33" s="4879"/>
      <c r="P33" s="4890"/>
      <c r="Q33" s="2096"/>
      <c r="R33" s="67" t="b">
        <f>IF(OR(Q33="Compliant",Q33="FE with work-a-round",Q33="Functionally Equivalent",Q33="Not Required/Applicable"),TRUE,FALSE)</f>
        <v>0</v>
      </c>
      <c r="S33" s="399"/>
      <c r="T33" s="399"/>
      <c r="U33" s="3313"/>
      <c r="V33" s="4827"/>
      <c r="W33" s="4726" t="b">
        <f>IF(OR(V33="Compliant",V33="FE with work-a-round",V33="Functionally Equivalent",V33="Not Required/Applicable"),TRUE,FALSE)</f>
        <v>0</v>
      </c>
      <c r="X33" s="399"/>
      <c r="Y33" s="399"/>
      <c r="Z33" s="1785"/>
    </row>
    <row r="34" spans="1:83" ht="145.5" thickBot="1" x14ac:dyDescent="0.35">
      <c r="A34" s="150" t="s">
        <v>950</v>
      </c>
      <c r="B34" s="1504"/>
      <c r="C34" s="1687" t="s">
        <v>1957</v>
      </c>
      <c r="D34" s="230" t="s">
        <v>3</v>
      </c>
      <c r="E34" s="123" t="b">
        <f>IF(D34="Compliant",TRUE,FALSE)</f>
        <v>0</v>
      </c>
      <c r="F34" s="124"/>
      <c r="G34" s="124" t="str">
        <f>IF(I34&lt;&gt;"", "Not Blank", "")</f>
        <v/>
      </c>
      <c r="H34" s="124"/>
      <c r="I34" s="124"/>
      <c r="J34" s="124" t="str">
        <f>IF(L34&lt;&gt;"", "Not Blank", "")</f>
        <v/>
      </c>
      <c r="K34" s="124"/>
      <c r="L34" s="124"/>
      <c r="M34" s="1780"/>
      <c r="N34" s="4876"/>
      <c r="O34" s="4880"/>
      <c r="P34" s="4895"/>
      <c r="Q34" s="700"/>
      <c r="R34" s="161" t="b">
        <f>IF(OR(Q34="Compliant",Q34="FE with work-a-round",Q34="Functionally Equivalent",Q34="Not Required/Applicable"),TRUE,FALSE)</f>
        <v>0</v>
      </c>
      <c r="S34" s="1764"/>
      <c r="T34" s="1764"/>
      <c r="U34" s="2758"/>
      <c r="V34" s="4828"/>
      <c r="W34" s="4727"/>
      <c r="X34" s="1764"/>
      <c r="Y34" s="1764"/>
      <c r="Z34" s="1780"/>
    </row>
    <row r="35" spans="1:83" s="722" customFormat="1" ht="30" thickTop="1" thickBot="1" x14ac:dyDescent="0.35">
      <c r="A35" s="722" t="s">
        <v>964</v>
      </c>
      <c r="B35" s="1910" t="s">
        <v>1578</v>
      </c>
      <c r="C35" s="1728" t="s">
        <v>1259</v>
      </c>
      <c r="D35" s="1947" t="s">
        <v>565</v>
      </c>
      <c r="E35" s="2068" t="b">
        <f>IF(AND(E36=TRUE,E37=TRUE,E38=TRUE),TRUE,FALSE)</f>
        <v>0</v>
      </c>
      <c r="F35" s="1677">
        <f>COUNTIF(E36:E38,TRUE)</f>
        <v>0</v>
      </c>
      <c r="G35" s="1677">
        <f>COUNTIFS(E36:E38,TRUE,G36:G38,"Not Blank")</f>
        <v>0</v>
      </c>
      <c r="H35" s="1677">
        <f>COUNTIFS(E36:E38,FALSE,G36:G38,"Not Blank")</f>
        <v>0</v>
      </c>
      <c r="I35" s="1519" t="str">
        <f xml:space="preserve">
IF(F35&gt;3,"Too Many Entries - Check Red Lines",
IF(G35&lt;F35,"Valid Entry required below - Check Amber Line/s",
IF(AND(E35=FALSE,G35=0,H35=0),"Nothing Entered below Yet",
IF(G35&lt;F35,"Valid Entry required below - Check Amber Line/s",
IF(AND(G35=0,H35&gt;0),"**Non-Valid Entry/ies below - Check Yellow Line/s",
IF(AND(G35&gt;0,H35&gt;0),"**Valid and Non-Valid Entries made below - Check Yellow Line/s",
IF(AND(E35=FALSE,F35&lt;3),"Not all requirements addressed below - Check Pink Line/s",
IF(AND(E35=FALSE,G35&lt;3,G35&gt;0,H35=0),"More entries to come",
IF(AND(E35,TRUE,G35=3,H35=0),"Valid Entries made below"
)))))))))</f>
        <v>Nothing Entered below Yet</v>
      </c>
      <c r="J35" s="1677">
        <f>COUNTIFS(E36:E38,TRUE,J36:J38,"Not Blank")</f>
        <v>0</v>
      </c>
      <c r="K35" s="1677">
        <f>COUNTIFS(E36:E38,FALSE,J36:J38,"Not Blank")</f>
        <v>0</v>
      </c>
      <c r="L35" s="1519" t="str">
        <f xml:space="preserve">
IF(J35&gt;3,"Too Many Entries - Check Red Lines",
IF(AND(E35=FALSE,J35=0,K35=0,E35=TRUE),"Nothing Required Below",
IF(J35&lt;F35,"Valid Entry required below - Check Amber Line/s",
IF(AND(E35=FALSE,J35=0,K35=0),"Nothing Entered below Yet",
IF(AND(J35=0,K35&gt;0),"**Non-Valid Entry/ies below - Check Yellow Line/s",
IF(AND(J35&gt;0,K35&gt;0),"**Valid and Non-Valid Entries made below - Check Yellow Line/s",
IF(AND(E35=FALSE,J35&lt;3),"Not all requirements addressed below - Check Pink Line/s",
IF(AND(E35=FALSE,J35&lt;3,J35&gt;0,K35=0),"More entries to come",
IF(AND(E35,TRUE,J35=3,K35=0),"Valid Entries made below"
)))))))))</f>
        <v>Nothing Entered below Yet</v>
      </c>
      <c r="M35" s="4302"/>
      <c r="N35" s="4875" t="s">
        <v>3</v>
      </c>
      <c r="O35" s="4878" t="b">
        <f>IF(OR(N35="Compliant",N35="FE with work-a-round",N35="Functionally Equivalent"),TRUE,FALSE)</f>
        <v>0</v>
      </c>
      <c r="P35" s="4889"/>
      <c r="Q35" s="1846" t="s">
        <v>565</v>
      </c>
      <c r="R35" s="338" t="b">
        <f>IF(AND(R36=TRUE,R37=TRUE,R38=TRUE),TRUE,FALSE)</f>
        <v>0</v>
      </c>
      <c r="S35" s="2752"/>
      <c r="T35" s="2752"/>
      <c r="U35" s="4304"/>
      <c r="V35" s="4900" t="s">
        <v>3</v>
      </c>
      <c r="W35" s="4725" t="b">
        <f>IF(OR(V35="Compliant",V35="FE with work-a-round",V35="Functionally Equivalent",V35="Not Required/Applicable"),TRUE,FALSE)</f>
        <v>0</v>
      </c>
      <c r="X35" s="2752"/>
      <c r="Y35" s="2752"/>
      <c r="Z35" s="4305"/>
    </row>
    <row r="36" spans="1:83" s="150" customFormat="1" ht="276" thickTop="1" x14ac:dyDescent="0.3">
      <c r="A36" s="150" t="s">
        <v>1579</v>
      </c>
      <c r="B36" s="1504"/>
      <c r="C36" s="1686" t="s">
        <v>961</v>
      </c>
      <c r="D36" s="229" t="s">
        <v>3</v>
      </c>
      <c r="E36" s="121" t="b">
        <f>IF(D36="Compliant",TRUE,FALSE)</f>
        <v>0</v>
      </c>
      <c r="F36" s="44"/>
      <c r="G36" s="44" t="str">
        <f>IF(I36&lt;&gt;"", "Not Blank", "")</f>
        <v/>
      </c>
      <c r="H36" s="44"/>
      <c r="I36" s="111"/>
      <c r="J36" s="44" t="str">
        <f>IF(L36&lt;&gt;"", "Not Blank", "")</f>
        <v/>
      </c>
      <c r="K36" s="44"/>
      <c r="L36" s="111"/>
      <c r="M36" s="4303"/>
      <c r="N36" s="4538"/>
      <c r="O36" s="4879"/>
      <c r="P36" s="4890"/>
      <c r="Q36" s="863" t="s">
        <v>3</v>
      </c>
      <c r="R36" s="67" t="b">
        <f>IF(OR(Q36="Compliant",Q36="FE with work-a-round",Q36="Functionally Equivalent",Q36="Not Required/Applicable"),TRUE,FALSE)</f>
        <v>0</v>
      </c>
      <c r="S36" s="399"/>
      <c r="T36" s="399"/>
      <c r="U36" s="3313"/>
      <c r="V36" s="4901"/>
      <c r="W36" s="4726" t="b">
        <f>IF(OR(V36="Compliant",V36="FE with work-a-round",V36="Functionally Equivalent",V36="Not Required/Applicable"),TRUE,FALSE)</f>
        <v>0</v>
      </c>
      <c r="X36" s="399"/>
      <c r="Y36" s="399"/>
      <c r="Z36" s="1785"/>
    </row>
    <row r="37" spans="1:83" ht="72.5" x14ac:dyDescent="0.3">
      <c r="A37" s="150" t="s">
        <v>1580</v>
      </c>
      <c r="B37" s="1504"/>
      <c r="C37" s="1686" t="s">
        <v>962</v>
      </c>
      <c r="D37" s="319" t="s">
        <v>3</v>
      </c>
      <c r="E37" s="121" t="b">
        <f>IF(D37="Compliant",TRUE,FALSE)</f>
        <v>0</v>
      </c>
      <c r="F37" s="44"/>
      <c r="G37" s="44" t="str">
        <f>IF(I37&lt;&gt;"", "Not Blank", "")</f>
        <v/>
      </c>
      <c r="H37" s="44"/>
      <c r="I37" s="44"/>
      <c r="J37" s="44" t="str">
        <f>IF(L37&lt;&gt;"", "Not Blank", "")</f>
        <v/>
      </c>
      <c r="K37" s="44"/>
      <c r="L37" s="44"/>
      <c r="M37" s="1775"/>
      <c r="N37" s="4538"/>
      <c r="O37" s="4879"/>
      <c r="P37" s="4890"/>
      <c r="Q37" s="690" t="s">
        <v>3</v>
      </c>
      <c r="R37" s="67" t="b">
        <f>IF(OR(Q37="Compliant",Q37="FE with work-a-round",Q37="Functionally Equivalent",Q37="Not Required/Applicable"),TRUE,FALSE)</f>
        <v>0</v>
      </c>
      <c r="S37" s="1748"/>
      <c r="T37" s="1748"/>
      <c r="U37" s="1752"/>
      <c r="V37" s="4901"/>
      <c r="W37" s="4726"/>
      <c r="X37" s="1748"/>
      <c r="Y37" s="1748"/>
      <c r="Z37" s="1775"/>
    </row>
    <row r="38" spans="1:83" s="150" customFormat="1" ht="102" thickBot="1" x14ac:dyDescent="0.35">
      <c r="A38" s="150" t="s">
        <v>1581</v>
      </c>
      <c r="B38" s="1505"/>
      <c r="C38" s="1687" t="s">
        <v>963</v>
      </c>
      <c r="D38" s="230" t="s">
        <v>3</v>
      </c>
      <c r="E38" s="123" t="b">
        <f>IF(D38="Compliant",TRUE,FALSE)</f>
        <v>0</v>
      </c>
      <c r="F38" s="124"/>
      <c r="G38" s="124" t="str">
        <f>IF(I38&lt;&gt;"", "Not Blank", "")</f>
        <v/>
      </c>
      <c r="H38" s="124"/>
      <c r="I38" s="124"/>
      <c r="J38" s="124" t="str">
        <f>IF(L38&lt;&gt;"", "Not Blank", "")</f>
        <v/>
      </c>
      <c r="K38" s="124"/>
      <c r="L38" s="124"/>
      <c r="M38" s="1784"/>
      <c r="N38" s="4539"/>
      <c r="O38" s="4880"/>
      <c r="P38" s="4891"/>
      <c r="Q38" s="691" t="s">
        <v>3</v>
      </c>
      <c r="R38" s="161" t="b">
        <f>IF(OR(Q38="Compliant",Q38="FE with work-a-round",Q38="Functionally Equivalent",Q38="Not Required/Applicable"),TRUE,FALSE)</f>
        <v>0</v>
      </c>
      <c r="S38" s="1765"/>
      <c r="T38" s="1765"/>
      <c r="U38" s="3323"/>
      <c r="V38" s="4902"/>
      <c r="W38" s="4727"/>
      <c r="X38" s="1765"/>
      <c r="Y38" s="1765"/>
      <c r="Z38" s="1784"/>
    </row>
    <row r="39" spans="1:83" s="3634" customFormat="1" ht="15" thickTop="1" x14ac:dyDescent="0.3">
      <c r="B39" s="3661"/>
      <c r="G39" s="3633"/>
      <c r="H39" s="3633"/>
      <c r="I39" s="3652"/>
    </row>
    <row r="40" spans="1:83" s="4311" customFormat="1" ht="15.5" x14ac:dyDescent="0.3">
      <c r="A40" s="4868" t="s">
        <v>1137</v>
      </c>
      <c r="B40" s="4869"/>
      <c r="C40" s="4869"/>
      <c r="D40" s="4869"/>
      <c r="E40" s="4869"/>
      <c r="F40" s="4869"/>
      <c r="G40" s="4869"/>
      <c r="H40" s="4869"/>
      <c r="I40" s="4869"/>
      <c r="J40" s="4869"/>
      <c r="K40" s="4869"/>
      <c r="L40" s="4869"/>
      <c r="M40" s="4869"/>
      <c r="N40" s="4869"/>
      <c r="O40" s="4306"/>
      <c r="P40" s="4306"/>
      <c r="Q40" s="4306"/>
      <c r="R40" s="4306"/>
      <c r="S40" s="4307"/>
      <c r="T40" s="4308"/>
      <c r="U40" s="4308"/>
      <c r="V40" s="4309"/>
      <c r="W40" s="4306"/>
      <c r="X40" s="4307"/>
      <c r="Y40" s="4308"/>
      <c r="Z40" s="4310"/>
    </row>
    <row r="41" spans="1:83" s="3633" customFormat="1" ht="15" thickBot="1" x14ac:dyDescent="0.35">
      <c r="A41" s="3634"/>
      <c r="B41" s="3638"/>
      <c r="C41" s="3634"/>
      <c r="D41" s="3634"/>
      <c r="E41" s="3634"/>
      <c r="F41" s="3634"/>
      <c r="G41" s="3634"/>
      <c r="H41" s="3634"/>
      <c r="I41" s="3634"/>
      <c r="J41" s="3634"/>
      <c r="K41" s="3634"/>
      <c r="L41" s="3634"/>
      <c r="M41" s="3634"/>
      <c r="N41" s="3638"/>
      <c r="O41" s="3634"/>
      <c r="P41" s="3638"/>
      <c r="Q41" s="3635"/>
      <c r="R41" s="3634"/>
      <c r="S41" s="3701"/>
      <c r="T41" s="3701"/>
      <c r="U41" s="3701"/>
      <c r="V41" s="3638"/>
      <c r="W41" s="3634"/>
      <c r="X41" s="3635"/>
      <c r="Y41" s="3635"/>
    </row>
    <row r="42" spans="1:83" s="310" customFormat="1" ht="30" thickTop="1" thickBot="1" x14ac:dyDescent="0.35">
      <c r="A42" s="237">
        <v>11</v>
      </c>
      <c r="B42" s="1502" t="s">
        <v>474</v>
      </c>
      <c r="C42" s="1923" t="s">
        <v>1533</v>
      </c>
      <c r="D42" s="2211" t="s">
        <v>565</v>
      </c>
      <c r="E42" s="2062" t="b">
        <f>IF(AND(E43=TRUE,E44=TRUE,E46=TRUE),TRUE,FALSE)</f>
        <v>0</v>
      </c>
      <c r="F42" s="2060">
        <f>COUNTIF(E43:E46,TRUE)</f>
        <v>0</v>
      </c>
      <c r="G42" s="1677">
        <f>COUNTIFS(E43:E46,TRUE,G43:G46,"Not Blank")</f>
        <v>0</v>
      </c>
      <c r="H42" s="1677">
        <f>COUNTIFS(E43:E46,FALSE,G43:G46,"Not Blank")</f>
        <v>0</v>
      </c>
      <c r="I42" s="1519" t="str">
        <f xml:space="preserve">
IF(F42&gt;4,"Too Many Entries - Check Red Lines",
IF(G42&lt;F42,"Valid Entry required below - Check Amber Line/s",
IF(AND(E42=FALSE,G42=0,H42=0),"Nothing Entered below Yet",
IF(G42&lt;F42,"Valid Entry required below - Check Amber Line/s",
IF(AND(G42=0,H42&gt;0),"**Non-Valid Entry/ies below - Check Yellow Line/s",
IF(AND(G42&gt;0,H42&gt;0),"**Valid and Non-Valid Entries made below - Check Yellow Line/s",
IF(AND(E42=FALSE,F42&lt;4),"Not all requirements addressed below - Check Pink Line/s",
IF(AND(E42=FALSE,G42&lt;4,G42&gt;0,H42=0),"More entries to come",
IF(AND(E42,TRUE,G42=4,H42=0),"Valid Entries made below"
)))))))))</f>
        <v>Nothing Entered below Yet</v>
      </c>
      <c r="J42" s="1677">
        <f>COUNTIFS(E43:E46,TRUE,J43:J46,"Not Blank")</f>
        <v>0</v>
      </c>
      <c r="K42" s="1677">
        <f>COUNTIFS(E43:E46,FALSE,J43:J46,"Not Blank")</f>
        <v>0</v>
      </c>
      <c r="L42" s="1519" t="str">
        <f xml:space="preserve">
IF(J42&gt;4,"Too Many Entries - Check Red Lines",
IF(AND(E42=FALSE,J42=0,K42=0,E42=TRUE),"Nothing Required Below",
IF(J42&lt;F42,"Valid Entry required below - Check Amber Line/s",
IF(AND(E42=FALSE,J42=0,K42=0),"Nothing Entered below Yet",
IF(AND(J42=0,K42&gt;0),"**Non-Valid Entry/ies below - Check Yellow Line/s",
IF(AND(J42&gt;0,K42&gt;0),"**Valid and Non-Valid Entries made below - Check Yellow Line/s",
IF(AND(E42=FALSE,J42&lt;4),"Not all requirements addressed below - Check Pink Line/s",
IF(AND(E42=FALSE,J42&lt;4,J42&gt;0,K42=0),"More entries to come",
IF(AND(E42,TRUE,J42=4,K42=0),"Valid Entries made below"
)))))))))</f>
        <v>Nothing Entered below Yet</v>
      </c>
      <c r="M42" s="3332"/>
      <c r="N42" s="4414" t="s">
        <v>3</v>
      </c>
      <c r="O42" s="4899" t="b">
        <f>IF(OR(N42="Compliant",N42="FE with work-a-round",N42="Functionally Equivalent"),TRUE,FALSE)</f>
        <v>0</v>
      </c>
      <c r="P42" s="4889"/>
      <c r="Q42" s="698" t="s">
        <v>565</v>
      </c>
      <c r="R42" s="716" t="b">
        <f>IF(AND(R43=TRUE,R44=TRUE,R46=TRUE),TRUE,FALSE)</f>
        <v>0</v>
      </c>
      <c r="S42" s="186"/>
      <c r="T42" s="186"/>
      <c r="U42" s="306"/>
      <c r="V42" s="4414" t="s">
        <v>3</v>
      </c>
      <c r="W42" s="4881" t="b">
        <f>IF(OR(V42="Compliant",V42="FE with work-a-round",V42="Functionally Equivalent",V42="Not Required/Applicable"),TRUE,FALSE)</f>
        <v>0</v>
      </c>
      <c r="X42" s="186"/>
      <c r="Y42" s="186"/>
      <c r="Z42" s="306"/>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309"/>
    </row>
    <row r="43" spans="1:83" s="27" customFormat="1" ht="73" thickTop="1" x14ac:dyDescent="0.3">
      <c r="A43" s="15" t="s">
        <v>1106</v>
      </c>
      <c r="B43" s="1852"/>
      <c r="C43" s="2071" t="s">
        <v>1250</v>
      </c>
      <c r="D43" s="1013" t="s">
        <v>3</v>
      </c>
      <c r="E43" s="67" t="b">
        <f>IF(D43="Compliant",TRUE,FALSE)</f>
        <v>0</v>
      </c>
      <c r="F43" s="44"/>
      <c r="G43" s="293" t="str">
        <f>IF(I43&lt;&gt;"", "Not Blank", "")</f>
        <v/>
      </c>
      <c r="H43" s="293"/>
      <c r="I43" s="1779"/>
      <c r="J43" s="44" t="str">
        <f>IF(L43&lt;&gt;"", "Not Blank", "")</f>
        <v/>
      </c>
      <c r="K43" s="44"/>
      <c r="L43" s="111"/>
      <c r="M43" s="807"/>
      <c r="N43" s="4415"/>
      <c r="O43" s="4887"/>
      <c r="P43" s="4890"/>
      <c r="Q43" s="863" t="s">
        <v>3</v>
      </c>
      <c r="R43" s="67" t="b">
        <f>IF(OR(Q43="Compliant",Q43="FE with work-a-round",Q43="Functionally Equivalent",Q43="Not Required/Applicable"),TRUE,FALSE)</f>
        <v>0</v>
      </c>
      <c r="S43" s="44"/>
      <c r="T43" s="44"/>
      <c r="U43" s="122"/>
      <c r="V43" s="4415"/>
      <c r="W43" s="4879"/>
      <c r="X43" s="44"/>
      <c r="Y43" s="44"/>
      <c r="Z43" s="122"/>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40"/>
    </row>
    <row r="44" spans="1:83" s="27" customFormat="1" ht="72.5" x14ac:dyDescent="0.3">
      <c r="A44" s="15" t="s">
        <v>1106</v>
      </c>
      <c r="B44" s="1852"/>
      <c r="C44" s="2072" t="s">
        <v>1950</v>
      </c>
      <c r="D44" s="319" t="s">
        <v>3</v>
      </c>
      <c r="E44" s="67" t="b">
        <f>IF(D44="Compliant",TRUE,FALSE)</f>
        <v>0</v>
      </c>
      <c r="F44" s="44"/>
      <c r="G44" s="293" t="str">
        <f>IF(I44&lt;&gt;"", "Not Blank", "")</f>
        <v/>
      </c>
      <c r="H44" s="293"/>
      <c r="I44" s="399"/>
      <c r="J44" s="44" t="str">
        <f>IF(L44&lt;&gt;"", "Not Blank", "")</f>
        <v/>
      </c>
      <c r="K44" s="44"/>
      <c r="L44" s="44"/>
      <c r="M44" s="81"/>
      <c r="N44" s="4415"/>
      <c r="O44" s="4887"/>
      <c r="P44" s="4890"/>
      <c r="Q44" s="690" t="s">
        <v>3</v>
      </c>
      <c r="R44" s="67" t="b">
        <f>IF(OR(Q44="Compliant",Q44="FE with work-a-round",Q44="Functionally Equivalent",Q44="Not Required/Applicable"),TRUE,FALSE)</f>
        <v>0</v>
      </c>
      <c r="S44" s="44"/>
      <c r="T44" s="44"/>
      <c r="U44" s="122"/>
      <c r="V44" s="4415"/>
      <c r="W44" s="4879"/>
      <c r="X44" s="44"/>
      <c r="Y44" s="44"/>
      <c r="Z44" s="122"/>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40"/>
    </row>
    <row r="45" spans="1:83" s="27" customFormat="1" ht="409.5" x14ac:dyDescent="0.3">
      <c r="A45" s="15">
        <v>7.5</v>
      </c>
      <c r="B45" s="2035"/>
      <c r="C45" s="2073" t="s">
        <v>1569</v>
      </c>
      <c r="D45" s="319" t="s">
        <v>3</v>
      </c>
      <c r="E45" s="67" t="b">
        <f>IF(D45="Compliant",TRUE,FALSE)</f>
        <v>0</v>
      </c>
      <c r="F45" s="44"/>
      <c r="G45" s="293" t="str">
        <f>IF(I45&lt;&gt;"", "Not Blank", "")</f>
        <v/>
      </c>
      <c r="H45" s="293"/>
      <c r="I45" s="399"/>
      <c r="J45" s="44" t="str">
        <f>IF(L45&lt;&gt;"", "Not Blank", "")</f>
        <v/>
      </c>
      <c r="K45" s="44"/>
      <c r="L45" s="44"/>
      <c r="M45" s="81"/>
      <c r="N45" s="4415"/>
      <c r="O45" s="4887"/>
      <c r="P45" s="4890"/>
      <c r="Q45" s="690" t="s">
        <v>3</v>
      </c>
      <c r="R45" s="67" t="b">
        <f>IF(OR(Q45="Compliant",Q45="FE with work-a-round",Q45="Functionally Equivalent",Q45="Not Required/Applicable"),TRUE,FALSE)</f>
        <v>0</v>
      </c>
      <c r="S45" s="44"/>
      <c r="T45" s="44"/>
      <c r="U45" s="122"/>
      <c r="V45" s="4415"/>
      <c r="W45" s="4879"/>
      <c r="X45" s="44"/>
      <c r="Y45" s="44"/>
      <c r="Z45" s="122"/>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40"/>
    </row>
    <row r="46" spans="1:83" s="27" customFormat="1" ht="58.5" thickBot="1" x14ac:dyDescent="0.35">
      <c r="A46" s="149" t="s">
        <v>1103</v>
      </c>
      <c r="B46" s="1861"/>
      <c r="C46" s="2074" t="s">
        <v>1251</v>
      </c>
      <c r="D46" s="230" t="s">
        <v>3</v>
      </c>
      <c r="E46" s="161" t="b">
        <f>IF(D46="Compliant",TRUE,FALSE)</f>
        <v>0</v>
      </c>
      <c r="F46" s="124"/>
      <c r="G46" s="266" t="str">
        <f>IF(I46&lt;&gt;"", "Not Blank", "")</f>
        <v/>
      </c>
      <c r="H46" s="266"/>
      <c r="I46" s="1765"/>
      <c r="J46" s="124" t="str">
        <f>IF(L46&lt;&gt;"", "Not Blank", "")</f>
        <v/>
      </c>
      <c r="K46" s="124"/>
      <c r="L46" s="124"/>
      <c r="M46" s="196"/>
      <c r="N46" s="4416"/>
      <c r="O46" s="4888"/>
      <c r="P46" s="4895"/>
      <c r="Q46" s="691" t="s">
        <v>3</v>
      </c>
      <c r="R46" s="161" t="b">
        <f>IF(OR(Q46="Compliant",Q46="FE with work-a-round",Q46="Functionally Equivalent",Q46="Not Required/Applicable"),TRUE,FALSE)</f>
        <v>0</v>
      </c>
      <c r="S46" s="124"/>
      <c r="T46" s="124"/>
      <c r="U46" s="125"/>
      <c r="V46" s="4416"/>
      <c r="W46" s="4880"/>
      <c r="X46" s="124"/>
      <c r="Y46" s="124"/>
      <c r="Z46" s="125"/>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40"/>
    </row>
    <row r="47" spans="1:83" s="3716" customFormat="1" ht="15" thickTop="1" x14ac:dyDescent="0.3">
      <c r="A47" s="3661"/>
      <c r="B47" s="3634"/>
      <c r="C47" s="3661"/>
      <c r="D47" s="3634"/>
      <c r="E47" s="3634"/>
      <c r="F47" s="3634"/>
      <c r="G47" s="3633"/>
      <c r="H47" s="3633"/>
      <c r="I47" s="3652"/>
      <c r="J47" s="3634"/>
      <c r="K47" s="3634"/>
      <c r="L47" s="3634"/>
      <c r="M47" s="3634"/>
      <c r="N47" s="3634"/>
      <c r="O47" s="3634"/>
      <c r="P47" s="3634"/>
      <c r="Q47" s="3634"/>
      <c r="R47" s="3634"/>
      <c r="S47" s="3634"/>
      <c r="T47" s="3634"/>
      <c r="U47" s="3634"/>
      <c r="V47" s="3634"/>
      <c r="W47" s="3634"/>
      <c r="X47" s="3634"/>
      <c r="Y47" s="3634"/>
      <c r="Z47" s="3634"/>
      <c r="AA47" s="3634"/>
      <c r="AB47" s="3634"/>
      <c r="AC47" s="3634"/>
      <c r="AD47" s="3634"/>
      <c r="AE47" s="3634"/>
      <c r="AF47" s="3634"/>
      <c r="AG47" s="3634"/>
      <c r="AH47" s="3634"/>
      <c r="AI47" s="3634"/>
      <c r="AJ47" s="3634"/>
      <c r="AK47" s="3634"/>
      <c r="AL47" s="3634"/>
      <c r="AM47" s="3634"/>
      <c r="AN47" s="3634"/>
      <c r="AO47" s="3634"/>
      <c r="AP47" s="3634"/>
      <c r="AQ47" s="3634"/>
      <c r="AR47" s="3634"/>
      <c r="AS47" s="3634"/>
      <c r="AT47" s="3634"/>
      <c r="AU47" s="3634"/>
      <c r="AV47" s="3634"/>
      <c r="AW47" s="3634"/>
      <c r="AX47" s="3634"/>
      <c r="AY47" s="3634"/>
      <c r="AZ47" s="3634"/>
      <c r="BA47" s="3634"/>
      <c r="BB47" s="3634"/>
      <c r="BC47" s="3634"/>
      <c r="BD47" s="3634"/>
      <c r="BE47" s="3634"/>
      <c r="BF47" s="3634"/>
      <c r="BG47" s="3634"/>
      <c r="BH47" s="3634"/>
      <c r="BI47" s="3634"/>
      <c r="BJ47" s="3634"/>
      <c r="BK47" s="3634"/>
      <c r="BL47" s="3634"/>
      <c r="BM47" s="3634"/>
      <c r="BN47" s="3634"/>
      <c r="BO47" s="3634"/>
      <c r="BP47" s="3634"/>
      <c r="BQ47" s="3634"/>
      <c r="BR47" s="3634"/>
      <c r="BS47" s="3634"/>
      <c r="BT47" s="3634"/>
      <c r="BU47" s="3634"/>
      <c r="BV47" s="3634"/>
      <c r="BW47" s="3634"/>
      <c r="BX47" s="3634"/>
      <c r="BY47" s="3634"/>
      <c r="BZ47" s="3634"/>
      <c r="CA47" s="3634"/>
      <c r="CB47" s="3634"/>
      <c r="CC47" s="3634"/>
      <c r="CD47" s="3634"/>
      <c r="CE47" s="3785"/>
    </row>
    <row r="48" spans="1:83" s="3633" customFormat="1" x14ac:dyDescent="0.3">
      <c r="A48" s="4532" t="s">
        <v>1138</v>
      </c>
      <c r="B48" s="4529"/>
      <c r="C48" s="4529"/>
      <c r="D48" s="4529"/>
      <c r="E48" s="4529"/>
      <c r="F48" s="4529"/>
      <c r="G48" s="4529"/>
      <c r="H48" s="4529"/>
      <c r="I48" s="4529"/>
      <c r="J48" s="4529"/>
      <c r="K48" s="4529"/>
      <c r="L48" s="4529"/>
      <c r="M48" s="4529"/>
      <c r="N48" s="4529"/>
      <c r="O48" s="4030"/>
      <c r="P48" s="4030"/>
      <c r="Q48" s="4030"/>
      <c r="R48" s="4030"/>
      <c r="S48" s="4031"/>
      <c r="T48" s="4032"/>
      <c r="U48" s="4032"/>
      <c r="V48" s="3880"/>
      <c r="W48" s="4030"/>
      <c r="X48" s="4031"/>
      <c r="Y48" s="4032"/>
      <c r="Z48" s="4313"/>
    </row>
    <row r="49" spans="1:83" s="3633" customFormat="1" ht="15" thickBot="1" x14ac:dyDescent="0.35">
      <c r="B49" s="4314"/>
      <c r="C49" s="4314"/>
      <c r="D49" s="4314"/>
      <c r="E49" s="4314"/>
      <c r="F49" s="4314"/>
      <c r="G49" s="4314"/>
      <c r="H49" s="4314"/>
      <c r="I49" s="4314"/>
      <c r="J49" s="4314"/>
      <c r="K49" s="4314"/>
      <c r="L49" s="4314"/>
      <c r="M49" s="4314"/>
      <c r="N49" s="4314"/>
      <c r="O49" s="4314"/>
      <c r="P49" s="4314"/>
      <c r="Q49" s="4314"/>
      <c r="R49" s="4314"/>
      <c r="S49" s="4314"/>
      <c r="T49" s="4314"/>
      <c r="U49" s="4314"/>
      <c r="V49" s="4314"/>
      <c r="W49" s="4314"/>
      <c r="X49" s="4314"/>
      <c r="Y49" s="4315"/>
    </row>
    <row r="50" spans="1:83" s="721" customFormat="1" ht="30" thickTop="1" thickBot="1" x14ac:dyDescent="0.35">
      <c r="A50" s="515"/>
      <c r="B50" s="1509" t="s">
        <v>1358</v>
      </c>
      <c r="C50" s="1709" t="s">
        <v>1376</v>
      </c>
      <c r="D50" s="1923" t="s">
        <v>1363</v>
      </c>
      <c r="E50" s="2100" t="b">
        <f>IF(AND(E51,TRUE,E52,TRUE),TRUE,FALSE)</f>
        <v>0</v>
      </c>
      <c r="F50" s="1642">
        <f>F51</f>
        <v>0</v>
      </c>
      <c r="G50" s="1642">
        <f>G51</f>
        <v>0</v>
      </c>
      <c r="H50" s="1642">
        <f>H51</f>
        <v>0</v>
      </c>
      <c r="I50" s="1642" t="str">
        <f xml:space="preserve">
IF(F50&gt;6,"Too Many Entries - Check Red Lines",
IF(G50&lt;F50,"Valid Entry required below - Check Amber Line/s",
IF(AND(E50=FALSE,G50=0,H50=0),"Nothing Entered below Yet",
IF(G50&lt;F50,"Valid Entry required below - Check Amber Line/s",
IF(AND(G50=0,H50&gt;0),"**Non-Valid Entry/ies below - Check Yellow Line/s",
IF(AND(G50&gt;0,H50&gt;0),"**Valid and Non-Valid Entries made below - Check Yellow Line/s",
IF(AND(E50=FALSE,F50&lt;6),"Not all requirements addressed below - Check Pink Line/s",
IF(AND(E50=FALSE,G50&lt;6,G50&gt;0,H50=0),"More entries to come",
IF(AND(E50,TRUE,G50=6,H50=0),"Valid Entries made below"
)))))))))</f>
        <v>Nothing Entered below Yet</v>
      </c>
      <c r="J50" s="1677">
        <f>J51</f>
        <v>0</v>
      </c>
      <c r="K50" s="1677">
        <f>K51</f>
        <v>0</v>
      </c>
      <c r="L50" s="1642" t="str">
        <f xml:space="preserve">
IF(J50&gt;6,"Too Many Entries - Check Red Lines",
IF(AND(E50=FALSE,J50=0,K50=0,E50=TRUE),"Nothing Required Below",
IF(J50&lt;F50,"Valid Entry required below - Check Amber Line/s",
IF(AND(E50=FALSE,J50=0,K50=0),"Nothing Entered below Yet",
IF(AND(J50=0,K50&gt;0),"**Non-Valid Entry/ies below - Check Yellow Line/s",
IF(AND(J50&gt;0,K50&gt;0),"**Valid and Non-Valid Entries made below - Check Yellow Line/s",
IF(AND(E50=FALSE,J50&lt;6),"Not all requirements addressed below - Check Pink Line/s",
IF(AND(E50=FALSE,J50&lt;6,J50&gt;0,K50=0),"More entries to come",
IF(AND(E50,TRUE,J50=6,K50=0),"Valid Entries made below"
)))))))))</f>
        <v>Nothing Entered below Yet</v>
      </c>
      <c r="M50" s="4312"/>
      <c r="N50" s="4870"/>
      <c r="O50" s="4896" t="b">
        <f>IF(OR(N50="Compliant",N50="FE with work-a-round",N50="Functionally Equivalent"),TRUE,FALSE)</f>
        <v>0</v>
      </c>
      <c r="P50" s="4870"/>
      <c r="Q50" s="698" t="s">
        <v>565</v>
      </c>
      <c r="R50" s="338" t="b">
        <f>IF(AND(R51,TRUE,R52,TRUE),TRUE,FALSE)</f>
        <v>0</v>
      </c>
      <c r="S50" s="4082"/>
      <c r="T50" s="4082"/>
      <c r="U50" s="4316"/>
      <c r="V50" s="4906"/>
      <c r="W50" s="4882" t="b">
        <f>IF(OR(V50="Compliant",V50="FE with work-a-round",V50="Functionally Equivalent",V50="Not Required/Applicable"),TRUE,FALSE)</f>
        <v>0</v>
      </c>
      <c r="X50" s="4082"/>
      <c r="Y50" s="4082"/>
      <c r="Z50" s="4317"/>
    </row>
    <row r="51" spans="1:83" s="310" customFormat="1" ht="30" thickTop="1" thickBot="1" x14ac:dyDescent="0.35">
      <c r="A51" s="462">
        <v>7</v>
      </c>
      <c r="B51" s="1910" t="s">
        <v>432</v>
      </c>
      <c r="C51" s="1709" t="s">
        <v>924</v>
      </c>
      <c r="D51" s="1923" t="s">
        <v>1262</v>
      </c>
      <c r="E51" s="2100" t="b">
        <f>IF(AND(E52=TRUE,E58=TRUE),TRUE,FALSE)</f>
        <v>0</v>
      </c>
      <c r="F51" s="1642">
        <f>COUNTIF(E53:E58,TRUE)</f>
        <v>0</v>
      </c>
      <c r="G51" s="1642">
        <f>COUNTIFS(E53:E58,TRUE,G53:G58,"Not Blank")</f>
        <v>0</v>
      </c>
      <c r="H51" s="1642">
        <f>COUNTIFS(E53:E58,FALSE,G53:G58,"Not Blank")</f>
        <v>0</v>
      </c>
      <c r="I51" s="1642" t="str">
        <f xml:space="preserve">
IF(F51&gt;6,"Too Many Entries - Check Red Lines",
IF(G51&lt;F51,"Valid Entry required below - Check Amber Line/s",
IF(AND(E51=FALSE,G51=0,H51=0),"Nothing Entered below Yet",
IF(G51&lt;F51,"Valid Entry required below - Check Amber Line/s",
IF(AND(G51=0,H51&gt;0),"**Non-Valid Entry/ies below - Check Yellow Line/s",
IF(AND(G51&gt;0,H51&gt;0),"**Valid and Non-Valid Entries made below - Check Yellow Line/s",
IF(AND(E51=FALSE,F51&lt;6),"Not all requirements addressed below - Check Pink Line/s",
IF(AND(E51=FALSE,G51&lt;6,G51&gt;0,H51=0),"More entries to come",
IF(AND(E51,TRUE,G51=6,H51=0),"Valid Entries made below"
)))))))))</f>
        <v>Nothing Entered below Yet</v>
      </c>
      <c r="J51" s="2075">
        <f>COUNTIFS(E53:E58,TRUE,J53:J58,"Not Blank")</f>
        <v>0</v>
      </c>
      <c r="K51" s="2075">
        <f>COUNTIFS(E52:E58,FALSE,J52:J58,"Not Blank")</f>
        <v>0</v>
      </c>
      <c r="L51" s="2197" t="str">
        <f xml:space="preserve">
IF(J51&gt;6,"Too Many Entries - Check Red Lines",
IF(AND(E51=FALSE,J51=0,K51=0,E51=TRUE),"Nothing Required Below",
IF(J51&lt;F51,"Valid Entry required below - Check Amber Line/s",
IF(AND(E51=FALSE,J51=0,K51=0),"Nothing Entered below Yet",
IF(AND(J51=0,K51&gt;0),"**Non-Valid Entry/ies below - Check Yellow Line/s",
IF(AND(J51&gt;0,K51&gt;0),"**Valid and Non-Valid Entries made below - Check Yellow Line/s",
IF(AND(E51=FALSE,J51&lt;6),"Not all requirements addressed below - Check Pink Line/s",
IF(AND(E51=FALSE,J51&lt;6,J51&gt;0,K51=0),"More entries to come",
IF(AND(E51,TRUE,J51=6,K51=0),"Valid Entries made below"
)))))))))</f>
        <v>Nothing Entered below Yet</v>
      </c>
      <c r="M51" s="2198"/>
      <c r="N51" s="4871"/>
      <c r="O51" s="4897"/>
      <c r="P51" s="4871"/>
      <c r="Q51" s="698" t="s">
        <v>565</v>
      </c>
      <c r="R51" s="716" t="b">
        <f>IF(AND(R52=TRUE,R58=TRUE),TRUE,FALSE)</f>
        <v>0</v>
      </c>
      <c r="S51" s="261"/>
      <c r="T51" s="261"/>
      <c r="U51" s="589"/>
      <c r="V51" s="4907"/>
      <c r="W51" s="4883"/>
      <c r="X51" s="261"/>
      <c r="Y51" s="261"/>
      <c r="Z51" s="575"/>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309"/>
    </row>
    <row r="52" spans="1:83" s="310" customFormat="1" ht="29.5" thickTop="1" x14ac:dyDescent="0.3">
      <c r="A52" s="720">
        <v>7.1</v>
      </c>
      <c r="B52" s="1910" t="s">
        <v>1584</v>
      </c>
      <c r="C52" s="2194" t="s">
        <v>951</v>
      </c>
      <c r="D52" s="2207" t="s">
        <v>1261</v>
      </c>
      <c r="E52" s="2212" t="b">
        <f>IF(AND(E53=TRUE,E54=TRUE,E55=TRUE,E56=TRUE,E57=TRUE),TRUE,FALSE)</f>
        <v>0</v>
      </c>
      <c r="F52" s="2208">
        <f>COUNTIF(E53:E57,TRUE)</f>
        <v>0</v>
      </c>
      <c r="G52" s="2208">
        <f>COUNTIFS(E53:E57,TRUE,G53:G57,"Not Blank")</f>
        <v>0</v>
      </c>
      <c r="H52" s="2208">
        <f>COUNTIFS(E53:E57,FALSE,G53:G57,"Not Blank")</f>
        <v>0</v>
      </c>
      <c r="I52" s="2208" t="str">
        <f xml:space="preserve">
IF(F52&gt;5,"Too Many Entries - Check Red Lines",
IF(G52&lt;F52,"Valid Entry required below - Check Amber Line/s",
IF(AND(E52=FALSE,G52=0,H52=0),"Nothing Entered below Yet",
IF(G52&lt;F52,"Valid Entry required below - Check Amber Line/s",
IF(AND(G52=0,H52&gt;0),"**Non-Valid Entry/ies below - Check Yellow Line/s",
IF(AND(G52&gt;0,H52&gt;0),"**Valid and Non-Valid Entries made below - Check Yellow Line/s",
IF(AND(E52=FALSE,F52&lt;5),"Not all requirements addressed below - Check Pink Line/s",
IF(AND(E52=FALSE,G52&lt;5,G52&gt;0,H52=0),"More entries to come",
IF(AND(E52,TRUE,G52=5,H52=0),"Valid Entries made below"
)))))))))</f>
        <v>Nothing Entered below Yet</v>
      </c>
      <c r="J52" s="2075">
        <f>COUNTIFS(E53:E57,TRUE,J53:J57,"Not Blank")</f>
        <v>0</v>
      </c>
      <c r="K52" s="2075">
        <f>COUNTIFS(E53:E57,FALSE,J53:J57,"Not Blank")</f>
        <v>0</v>
      </c>
      <c r="L52" s="2208" t="str">
        <f xml:space="preserve">
IF(J52&gt;5,"Too Many Entries - Check Red Lines",
IF(AND(E52=FALSE,J52=0,K52=0,E52=TRUE),"Nothing Required Below",
IF(J52&lt;F52,"Valid Entry required below - Check Amber Line/s",
IF(AND(E52=FALSE,J52=0,K52=0),"Nothing Entered below Yet",
IF(AND(J52=0,K52&gt;0),"**Non-Valid Entry/ies below - Check Yellow Line/s",
IF(AND(J52&gt;0,K52&gt;0),"**Valid and Non-Valid Entries made below - Check Yellow Line/s",
IF(AND(E52=FALSE,J52&lt;5),"Not all requirements addressed below - Check Pink Line/s",
IF(AND(E52=FALSE,J52&lt;5,J52&gt;0,K52=0),"More entries to come",
IF(AND(E52,TRUE,J52=5,K52=0),"Valid Entries made below"
)))))))))</f>
        <v>Nothing Entered below Yet</v>
      </c>
      <c r="M52" s="2213"/>
      <c r="N52" s="4871"/>
      <c r="O52" s="4897"/>
      <c r="P52" s="4903"/>
      <c r="Q52" s="698" t="s">
        <v>565</v>
      </c>
      <c r="R52" s="716" t="b">
        <f>IF(AND(R53=TRUE,R54=TRUE,R55=TRUE,R56=TRUE,R57=TRUE),TRUE,FALSE)</f>
        <v>0</v>
      </c>
      <c r="S52" s="261"/>
      <c r="T52" s="261"/>
      <c r="U52" s="589"/>
      <c r="V52" s="4907"/>
      <c r="W52" s="4883"/>
      <c r="X52" s="261"/>
      <c r="Y52" s="261"/>
      <c r="Z52" s="575"/>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309"/>
    </row>
    <row r="53" spans="1:83" s="27" customFormat="1" ht="58" x14ac:dyDescent="0.3">
      <c r="A53" s="37"/>
      <c r="B53" s="1504"/>
      <c r="C53" s="1717" t="s">
        <v>953</v>
      </c>
      <c r="D53" s="1013" t="s">
        <v>3</v>
      </c>
      <c r="E53" s="41" t="b">
        <f t="shared" ref="E53:E58" si="0">IF(D53="Compliant",TRUE,FALSE)</f>
        <v>0</v>
      </c>
      <c r="F53" s="42"/>
      <c r="G53" s="42" t="str">
        <f t="shared" ref="G53:G58" si="1">IF(I53&lt;&gt;"", "Not Blank", "")</f>
        <v/>
      </c>
      <c r="H53" s="42"/>
      <c r="I53" s="42"/>
      <c r="J53" s="44" t="str">
        <f t="shared" ref="J53:J58" si="2">IF(L53&lt;&gt;"", "Not Blank", "")</f>
        <v/>
      </c>
      <c r="K53" s="44"/>
      <c r="L53" s="42"/>
      <c r="M53" s="144"/>
      <c r="N53" s="4871"/>
      <c r="O53" s="4897"/>
      <c r="P53" s="4903"/>
      <c r="Q53" s="2214"/>
      <c r="R53" s="67" t="b">
        <f t="shared" ref="R53:R58" si="3">IF(OR(Q53="Compliant",Q53="FE with work-a-round",Q53="Functionally Equivalent",Q53="Not Required/Applicable"),TRUE,FALSE)</f>
        <v>0</v>
      </c>
      <c r="S53" s="44"/>
      <c r="T53" s="44"/>
      <c r="U53" s="68"/>
      <c r="V53" s="4907"/>
      <c r="W53" s="4883"/>
      <c r="X53" s="44"/>
      <c r="Y53" s="44"/>
      <c r="Z53" s="122"/>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40"/>
    </row>
    <row r="54" spans="1:83" s="27" customFormat="1" ht="72.5" x14ac:dyDescent="0.3">
      <c r="A54" s="37"/>
      <c r="B54" s="1504"/>
      <c r="C54" s="1717" t="s">
        <v>954</v>
      </c>
      <c r="D54" s="319" t="s">
        <v>3</v>
      </c>
      <c r="E54" s="67" t="b">
        <f t="shared" si="0"/>
        <v>0</v>
      </c>
      <c r="F54" s="44"/>
      <c r="G54" s="44" t="str">
        <f t="shared" si="1"/>
        <v/>
      </c>
      <c r="H54" s="44"/>
      <c r="I54" s="44"/>
      <c r="J54" s="44" t="str">
        <f t="shared" si="2"/>
        <v/>
      </c>
      <c r="K54" s="44"/>
      <c r="L54" s="44"/>
      <c r="M54" s="68"/>
      <c r="N54" s="4871"/>
      <c r="O54" s="4897"/>
      <c r="P54" s="4903"/>
      <c r="Q54" s="1060"/>
      <c r="R54" s="67" t="b">
        <f t="shared" si="3"/>
        <v>0</v>
      </c>
      <c r="S54" s="44"/>
      <c r="T54" s="44"/>
      <c r="U54" s="68"/>
      <c r="V54" s="4907"/>
      <c r="W54" s="4883"/>
      <c r="X54" s="44"/>
      <c r="Y54" s="44"/>
      <c r="Z54" s="122"/>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40"/>
    </row>
    <row r="55" spans="1:83" s="27" customFormat="1" ht="43.5" x14ac:dyDescent="0.3">
      <c r="A55" s="37"/>
      <c r="B55" s="1504"/>
      <c r="C55" s="1717" t="s">
        <v>928</v>
      </c>
      <c r="D55" s="319" t="s">
        <v>3</v>
      </c>
      <c r="E55" s="67" t="b">
        <f t="shared" si="0"/>
        <v>0</v>
      </c>
      <c r="F55" s="44"/>
      <c r="G55" s="44" t="str">
        <f t="shared" si="1"/>
        <v/>
      </c>
      <c r="H55" s="44"/>
      <c r="I55" s="44"/>
      <c r="J55" s="44" t="str">
        <f t="shared" si="2"/>
        <v/>
      </c>
      <c r="K55" s="44"/>
      <c r="L55" s="44"/>
      <c r="M55" s="68"/>
      <c r="N55" s="4871"/>
      <c r="O55" s="4897"/>
      <c r="P55" s="4903"/>
      <c r="Q55" s="1060"/>
      <c r="R55" s="67" t="b">
        <f t="shared" si="3"/>
        <v>0</v>
      </c>
      <c r="S55" s="44"/>
      <c r="T55" s="44"/>
      <c r="U55" s="68"/>
      <c r="V55" s="4907"/>
      <c r="W55" s="4883"/>
      <c r="X55" s="44"/>
      <c r="Y55" s="44"/>
      <c r="Z55" s="122"/>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40"/>
    </row>
    <row r="56" spans="1:83" s="27" customFormat="1" ht="43.5" x14ac:dyDescent="0.3">
      <c r="A56" s="37"/>
      <c r="B56" s="1504"/>
      <c r="C56" s="1717" t="s">
        <v>929</v>
      </c>
      <c r="D56" s="319" t="s">
        <v>3</v>
      </c>
      <c r="E56" s="67" t="b">
        <f t="shared" si="0"/>
        <v>0</v>
      </c>
      <c r="F56" s="44"/>
      <c r="G56" s="44" t="str">
        <f t="shared" si="1"/>
        <v/>
      </c>
      <c r="H56" s="44"/>
      <c r="I56" s="44"/>
      <c r="J56" s="44" t="str">
        <f t="shared" si="2"/>
        <v/>
      </c>
      <c r="K56" s="44"/>
      <c r="L56" s="44"/>
      <c r="M56" s="68"/>
      <c r="N56" s="4871"/>
      <c r="O56" s="4897"/>
      <c r="P56" s="4903"/>
      <c r="Q56" s="1060"/>
      <c r="R56" s="67" t="b">
        <f t="shared" si="3"/>
        <v>0</v>
      </c>
      <c r="S56" s="44"/>
      <c r="T56" s="44"/>
      <c r="U56" s="68"/>
      <c r="V56" s="4907"/>
      <c r="W56" s="4883"/>
      <c r="X56" s="44"/>
      <c r="Y56" s="44"/>
      <c r="Z56" s="122"/>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40"/>
    </row>
    <row r="57" spans="1:83" s="27" customFormat="1" ht="72.5" x14ac:dyDescent="0.3">
      <c r="A57" s="37"/>
      <c r="B57" s="1504"/>
      <c r="C57" s="1717" t="s">
        <v>955</v>
      </c>
      <c r="D57" s="319" t="s">
        <v>3</v>
      </c>
      <c r="E57" s="67" t="b">
        <f t="shared" si="0"/>
        <v>0</v>
      </c>
      <c r="F57" s="44"/>
      <c r="G57" s="44" t="str">
        <f t="shared" si="1"/>
        <v/>
      </c>
      <c r="H57" s="44"/>
      <c r="I57" s="44"/>
      <c r="J57" s="44" t="str">
        <f t="shared" si="2"/>
        <v/>
      </c>
      <c r="K57" s="44"/>
      <c r="L57" s="44"/>
      <c r="M57" s="68"/>
      <c r="N57" s="4871"/>
      <c r="O57" s="4897"/>
      <c r="P57" s="4903"/>
      <c r="Q57" s="1060" t="s">
        <v>3</v>
      </c>
      <c r="R57" s="67" t="b">
        <f t="shared" si="3"/>
        <v>0</v>
      </c>
      <c r="S57" s="44"/>
      <c r="T57" s="44"/>
      <c r="U57" s="68"/>
      <c r="V57" s="4907"/>
      <c r="W57" s="4883"/>
      <c r="X57" s="44"/>
      <c r="Y57" s="44"/>
      <c r="Z57" s="122"/>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40"/>
    </row>
    <row r="58" spans="1:83" s="27" customFormat="1" ht="87.5" thickBot="1" x14ac:dyDescent="0.35">
      <c r="A58" s="37">
        <v>7.2</v>
      </c>
      <c r="B58" s="1505"/>
      <c r="C58" s="1800" t="s">
        <v>952</v>
      </c>
      <c r="D58" s="230" t="s">
        <v>3</v>
      </c>
      <c r="E58" s="161" t="b">
        <f t="shared" si="0"/>
        <v>0</v>
      </c>
      <c r="F58" s="124"/>
      <c r="G58" s="124" t="str">
        <f t="shared" si="1"/>
        <v/>
      </c>
      <c r="H58" s="124"/>
      <c r="I58" s="124"/>
      <c r="J58" s="124" t="str">
        <f t="shared" si="2"/>
        <v/>
      </c>
      <c r="K58" s="124"/>
      <c r="L58" s="124"/>
      <c r="M58" s="246"/>
      <c r="N58" s="4873"/>
      <c r="O58" s="4898"/>
      <c r="P58" s="4904"/>
      <c r="Q58" s="1017"/>
      <c r="R58" s="161" t="b">
        <f t="shared" si="3"/>
        <v>0</v>
      </c>
      <c r="S58" s="124"/>
      <c r="T58" s="124"/>
      <c r="U58" s="246"/>
      <c r="V58" s="4908"/>
      <c r="W58" s="4884"/>
      <c r="X58" s="124"/>
      <c r="Y58" s="124"/>
      <c r="Z58" s="125"/>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40"/>
    </row>
    <row r="59" spans="1:83" s="3668" customFormat="1" ht="15" thickTop="1" x14ac:dyDescent="0.3">
      <c r="A59" s="3661"/>
      <c r="B59" s="3634"/>
      <c r="C59" s="3634"/>
      <c r="D59" s="3634"/>
      <c r="E59" s="3634"/>
      <c r="F59" s="3634"/>
      <c r="G59" s="3633"/>
      <c r="H59" s="3633"/>
      <c r="I59" s="3652"/>
      <c r="J59" s="3634"/>
      <c r="K59" s="3634"/>
      <c r="L59" s="3634"/>
      <c r="M59" s="3634"/>
      <c r="N59" s="3634"/>
      <c r="O59" s="3634"/>
      <c r="P59" s="3634"/>
      <c r="Q59" s="3634"/>
      <c r="R59" s="3634"/>
      <c r="S59" s="3634"/>
      <c r="T59" s="3634"/>
      <c r="U59" s="3634"/>
      <c r="V59" s="3634"/>
      <c r="W59" s="3634"/>
      <c r="X59" s="3634"/>
      <c r="Y59" s="3634"/>
      <c r="Z59" s="3634"/>
      <c r="AA59" s="3634"/>
      <c r="AB59" s="3634"/>
      <c r="AC59" s="3634"/>
      <c r="AD59" s="3634"/>
      <c r="AE59" s="3634"/>
      <c r="AF59" s="3634"/>
      <c r="AG59" s="3634"/>
      <c r="AH59" s="3634"/>
      <c r="AI59" s="3634"/>
      <c r="AJ59" s="3634"/>
      <c r="AK59" s="3634"/>
      <c r="AL59" s="3634"/>
      <c r="AM59" s="3634"/>
      <c r="AN59" s="3634"/>
      <c r="AO59" s="3634"/>
      <c r="AP59" s="3634"/>
      <c r="AQ59" s="3634"/>
      <c r="AR59" s="3634"/>
      <c r="AS59" s="3634"/>
      <c r="AT59" s="3634"/>
      <c r="AU59" s="3634"/>
      <c r="AV59" s="3634"/>
      <c r="AW59" s="3634"/>
      <c r="AX59" s="3634"/>
      <c r="AY59" s="3634"/>
      <c r="AZ59" s="3634"/>
      <c r="BA59" s="3634"/>
      <c r="BB59" s="3634"/>
      <c r="BC59" s="3634"/>
      <c r="BD59" s="3634"/>
      <c r="BE59" s="3634"/>
      <c r="BF59" s="3634"/>
      <c r="BG59" s="3634"/>
      <c r="BH59" s="3634"/>
      <c r="BI59" s="3634"/>
      <c r="BJ59" s="3634"/>
      <c r="BK59" s="3634"/>
      <c r="BL59" s="3634"/>
      <c r="BM59" s="3634"/>
      <c r="BN59" s="3634"/>
      <c r="BO59" s="3634"/>
      <c r="BP59" s="3634"/>
      <c r="BQ59" s="3634"/>
      <c r="BR59" s="3634"/>
      <c r="BS59" s="3634"/>
      <c r="BT59" s="3634"/>
      <c r="BU59" s="3634"/>
      <c r="BV59" s="3634"/>
      <c r="BW59" s="3634"/>
      <c r="BX59" s="3634"/>
      <c r="BY59" s="3634"/>
      <c r="BZ59" s="3634"/>
      <c r="CA59" s="3634"/>
      <c r="CB59" s="3634"/>
      <c r="CC59" s="3634"/>
      <c r="CD59" s="3634"/>
      <c r="CE59" s="3634"/>
    </row>
    <row r="60" spans="1:83" s="4311" customFormat="1" ht="15.5" x14ac:dyDescent="0.3">
      <c r="A60" s="4868" t="s">
        <v>1139</v>
      </c>
      <c r="B60" s="4869"/>
      <c r="C60" s="4869"/>
      <c r="D60" s="4869"/>
      <c r="E60" s="4869"/>
      <c r="F60" s="4869"/>
      <c r="G60" s="4869"/>
      <c r="H60" s="4869"/>
      <c r="I60" s="4869"/>
      <c r="J60" s="4869"/>
      <c r="K60" s="4869"/>
      <c r="L60" s="4869"/>
      <c r="M60" s="4869"/>
      <c r="N60" s="4869"/>
      <c r="O60" s="4306"/>
      <c r="P60" s="4306"/>
      <c r="Q60" s="4306"/>
      <c r="R60" s="4306"/>
      <c r="S60" s="4307"/>
      <c r="T60" s="4308"/>
      <c r="U60" s="4308"/>
      <c r="V60" s="4309"/>
      <c r="W60" s="4306"/>
      <c r="X60" s="4307"/>
      <c r="Y60" s="4308"/>
      <c r="Z60" s="4310"/>
    </row>
    <row r="61" spans="1:83" s="3678" customFormat="1" ht="15" thickBot="1" x14ac:dyDescent="0.35">
      <c r="A61" s="3634"/>
      <c r="B61" s="3634"/>
      <c r="C61" s="3634"/>
      <c r="D61" s="3634"/>
      <c r="E61" s="3634"/>
      <c r="F61" s="3634"/>
      <c r="G61" s="3633"/>
      <c r="H61" s="3633"/>
      <c r="I61" s="3634"/>
      <c r="J61" s="3634"/>
      <c r="K61" s="3634"/>
      <c r="L61" s="3634"/>
      <c r="M61" s="3634"/>
      <c r="N61" s="3634"/>
      <c r="O61" s="3634"/>
      <c r="P61" s="3634"/>
      <c r="Q61" s="3634"/>
      <c r="R61" s="3634"/>
      <c r="S61" s="3634"/>
      <c r="T61" s="3634"/>
      <c r="U61" s="3634"/>
      <c r="V61" s="3634"/>
      <c r="W61" s="3634"/>
      <c r="X61" s="3634"/>
      <c r="Y61" s="3634"/>
      <c r="Z61" s="3634"/>
      <c r="AA61" s="3634"/>
      <c r="AB61" s="3634"/>
      <c r="AC61" s="3634"/>
      <c r="AD61" s="3634"/>
      <c r="AE61" s="3634"/>
      <c r="AF61" s="3634"/>
      <c r="AG61" s="3634"/>
      <c r="AH61" s="3634"/>
      <c r="AI61" s="3634"/>
      <c r="AJ61" s="3634"/>
      <c r="AK61" s="3634"/>
      <c r="AL61" s="3634"/>
      <c r="AM61" s="3634"/>
      <c r="AN61" s="3634"/>
      <c r="AO61" s="3634"/>
      <c r="AP61" s="3634"/>
      <c r="AQ61" s="3634"/>
      <c r="AR61" s="3634"/>
      <c r="AS61" s="3634"/>
      <c r="AT61" s="3634"/>
      <c r="AU61" s="3634"/>
      <c r="AV61" s="3634"/>
      <c r="AW61" s="3634"/>
      <c r="AX61" s="3634"/>
      <c r="AY61" s="3634"/>
      <c r="AZ61" s="3634"/>
      <c r="BA61" s="3634"/>
      <c r="BB61" s="3634"/>
      <c r="BC61" s="3634"/>
      <c r="BD61" s="3634"/>
      <c r="BE61" s="3634"/>
      <c r="BF61" s="3634"/>
      <c r="BG61" s="3634"/>
      <c r="BH61" s="3634"/>
      <c r="BI61" s="3634"/>
      <c r="BJ61" s="3634"/>
      <c r="BK61" s="3634"/>
      <c r="BL61" s="3634"/>
      <c r="BM61" s="3634"/>
      <c r="BN61" s="3634"/>
      <c r="BO61" s="3634"/>
      <c r="BP61" s="3634"/>
      <c r="BQ61" s="3634"/>
      <c r="BR61" s="3634"/>
      <c r="BS61" s="3634"/>
      <c r="BT61" s="3634"/>
      <c r="BU61" s="3634"/>
      <c r="BV61" s="3634"/>
      <c r="BW61" s="3634"/>
      <c r="BX61" s="3634"/>
      <c r="BY61" s="3634"/>
      <c r="BZ61" s="3634"/>
      <c r="CA61" s="3634"/>
      <c r="CB61" s="3634"/>
      <c r="CC61" s="3634"/>
      <c r="CD61" s="3634"/>
      <c r="CE61" s="3634"/>
    </row>
    <row r="62" spans="1:83" s="204" customFormat="1" ht="30" thickTop="1" thickBot="1" x14ac:dyDescent="0.35">
      <c r="A62" s="237"/>
      <c r="B62" s="1509" t="s">
        <v>1542</v>
      </c>
      <c r="C62" s="1709" t="s">
        <v>1798</v>
      </c>
      <c r="D62" s="1923" t="s">
        <v>565</v>
      </c>
      <c r="E62" s="2100" t="b">
        <f>IF(AND(E63=TRUE,E72=TRUE),TRUE,FALSE)</f>
        <v>0</v>
      </c>
      <c r="F62" s="1642">
        <f>SUM(F63,F72)</f>
        <v>0</v>
      </c>
      <c r="G62" s="2196">
        <f>SUM(G63,G72)</f>
        <v>0</v>
      </c>
      <c r="H62" s="2196">
        <f>SUM(H63,H72)</f>
        <v>0</v>
      </c>
      <c r="I62" s="1642" t="str">
        <f xml:space="preserve">
IF(F62&gt;12,"Too Many Entries - Check Red Lines",
IF(G62&lt;F62,"Valid Entry required below - Check Amber Line/s",
IF(AND(E62=FALSE,G62=0,H62=0),"Nothing Entered below Yet",
IF(G62&lt;F62,"Valid Entry required below - Check Amber Line/s",
IF(AND(G62=0,H62&gt;0),"**Non-Valid Entry/ies below - Check Yellow Line/s",
IF(AND(G62&gt;0,H62&gt;0),"**Valid and Non-Valid Entries made below - Check Yellow Line/s",
IF(AND(E62=FALSE,F62&lt;12),"Not all requirements addressed below - Check Pink Line/s",
IF(AND(E62=FALSE,G62&lt;12,G62&gt;0,H62=0),"More entries to come",
IF(AND(E62,TRUE,G62=12,H62=0),"Valid Entries made below"
)))))))))</f>
        <v>Nothing Entered below Yet</v>
      </c>
      <c r="J62" s="1677">
        <f>SUM(J63,J72)</f>
        <v>0</v>
      </c>
      <c r="K62" s="1677">
        <f>SUM(K63,K72)</f>
        <v>0</v>
      </c>
      <c r="L62" s="1519" t="str">
        <f xml:space="preserve">
IF(J62&gt;12,"Too Many Entries - Check Red Lines",
IF(AND(E62=FALSE,J62=0,K62=0,E62=TRUE),"Nothing Required Below",
IF(J62&lt;F62,"Valid Entry required below - Check Amber Line/s",
IF(AND(E62=FALSE,J62=0,K62=0),"Nothing Entered below Yet",
IF(AND(J62=0,K62&gt;0),"**Non-Valid Entry/ies below - Check Yellow Line/s",
IF(AND(J62&gt;0,K62&gt;0),"**Valid and Non-Valid Entries made below - Check Yellow Line/s",
IF(AND(E62=FALSE,J62&lt;12),"Not all requirements addressed below - Check Pink Line/s",
IF(AND(E62=FALSE,J62&lt;12,J62&gt;0,K62=0),"More entries to come",
IF(AND(E62,TRUE,J62=12,K62=0),"Valid Entries made below"
)))))))))</f>
        <v>Nothing Entered below Yet</v>
      </c>
      <c r="M62" s="1009"/>
      <c r="N62" s="2076" t="s">
        <v>565</v>
      </c>
      <c r="O62" s="704" t="b">
        <f>IF(AND(O63=TRUE,O72=TRUE),TRUE,FALSE)</f>
        <v>0</v>
      </c>
      <c r="P62" s="306"/>
      <c r="Q62" s="411" t="s">
        <v>565</v>
      </c>
      <c r="R62" s="338" t="b">
        <f>IF(AND(R63=TRUE,R72=TRUE),TRUE,FALSE)</f>
        <v>0</v>
      </c>
      <c r="S62" s="186"/>
      <c r="T62" s="186"/>
      <c r="U62" s="459"/>
      <c r="V62" s="376" t="s">
        <v>565</v>
      </c>
      <c r="W62" s="338" t="b">
        <f>IF(AND(W63=TRUE,W72=TRUE),TRUE,FALSE)</f>
        <v>0</v>
      </c>
      <c r="X62" s="186"/>
      <c r="Y62" s="186"/>
      <c r="Z62" s="306"/>
    </row>
    <row r="63" spans="1:83" s="204" customFormat="1" ht="73" thickTop="1" x14ac:dyDescent="0.3">
      <c r="B63" s="1910" t="s">
        <v>1583</v>
      </c>
      <c r="C63" s="2215" t="s">
        <v>956</v>
      </c>
      <c r="D63" s="2216" t="s">
        <v>565</v>
      </c>
      <c r="E63" s="2195" t="b">
        <f>IF(AND(E64=TRUE,E65=TRUE,E66=TRUE,E67=TRUE,E68=TRUE,E69=TRUE,E70=TRUE,E71=TRUE),TRUE,FALSE)</f>
        <v>0</v>
      </c>
      <c r="F63" s="2067">
        <f>COUNTIF(E64:E71,TRUE)</f>
        <v>0</v>
      </c>
      <c r="G63" s="2067">
        <f>COUNTIFS(E64:E71,TRUE,G64:G71,"Not Blank")</f>
        <v>0</v>
      </c>
      <c r="H63" s="2067">
        <f>COUNTIFS(E64:E71,FALSE,G64:G71,"Not Blank")</f>
        <v>0</v>
      </c>
      <c r="I63" s="2217" t="str">
        <f xml:space="preserve">
IF(F63&gt;8,"Too Many Entries - Check Red Lines",
IF(G63&lt;F63,"Valid Entry required below - Check Amber Line/s",
IF(AND(E63=FALSE,G63=0,H63=0),"Nothing Entered below Yet",
IF(G63&lt;F63,"Valid Entry required below - Check Amber Line/s",
IF(AND(G63=0,H63&gt;0),"**Non-Valid Entry/ies below - Check Yellow Line/s",
IF(AND(G63&gt;0,H63&gt;0),"**Valid and Non-Valid Entries made below - Check Yellow Line/s",
IF(AND(E63=FALSE,F63&lt;8),"Not all requirements addressed below - Check Pink Line/s",
IF(AND(E63=FALSE,G63&lt;8,G63&gt;0,H63=0),"More entries to come",
IF(AND(E63,TRUE,G63=8,H63=0),"Valid Entries made below"
)))))))))</f>
        <v>Nothing Entered below Yet</v>
      </c>
      <c r="J63" s="2218">
        <f>COUNTIFS(E64:E71,TRUE,J64:J71,"Not Blank")</f>
        <v>0</v>
      </c>
      <c r="K63" s="2218">
        <f>COUNTIFS(E64:E71,FALSE,J64:J71,"Not Blank")</f>
        <v>0</v>
      </c>
      <c r="L63" s="2208" t="str">
        <f xml:space="preserve">
IF(J63&gt;8,"Too Many Entries - Check Red Lines",
IF(AND(E63=FALSE,J63=0,K63=0,E63=TRUE),"Nothing Required Below",
IF(J63&lt;F63,"Valid Entry required below - Check Amber Line/s",
IF(AND(E63=FALSE,J63=0,K63=0),"Nothing Entered below Yet",
IF(AND(J63=0,K63&gt;0),"**Non-Valid Entry/ies below - Check Yellow Line/s",
IF(AND(J63&gt;0,K63&gt;0),"**Valid and Non-Valid Entries made below - Check Yellow Line/s",
IF(AND(E63=FALSE,J63&lt;8),"Not all requirements addressed below - Check Pink Line/s",
IF(AND(E63=FALSE,J63&lt;8,J63&gt;0,K63=0),"More entries to come",
IF(AND(E63,TRUE,J63=8,K63=0),"Valid Entries made below"
)))))))))</f>
        <v>Nothing Entered below Yet</v>
      </c>
      <c r="M63" s="2213"/>
      <c r="N63" s="4870" t="s">
        <v>3</v>
      </c>
      <c r="O63" s="4899" t="b">
        <f>IF(OR(N63="Compliant",N63="FE with work-a-round",N63="Functionally Equivalent"),TRUE,FALSE)</f>
        <v>0</v>
      </c>
      <c r="P63" s="4905"/>
      <c r="Q63" s="2141" t="s">
        <v>565</v>
      </c>
      <c r="R63" s="716" t="b">
        <f>IF(AND(R64=TRUE,R65=TRUE,R66=TRUE,R67=TRUE,R68=TRUE,R69=TRUE,R70=TRUE,R71=TRUE),TRUE,FALSE)</f>
        <v>0</v>
      </c>
      <c r="S63" s="261"/>
      <c r="T63" s="261"/>
      <c r="U63" s="589"/>
      <c r="V63" s="4726" t="s">
        <v>3</v>
      </c>
      <c r="W63" s="4881" t="b">
        <f>IF(OR(V63="Compliant",V63="FE with work-a-round",V63="Functionally Equivalent",V63="Not Required/Applicable"),TRUE,FALSE)</f>
        <v>0</v>
      </c>
      <c r="X63" s="261"/>
      <c r="Y63" s="261"/>
      <c r="Z63" s="575"/>
      <c r="AR63" s="716"/>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589"/>
    </row>
    <row r="64" spans="1:83" s="28" customFormat="1" ht="29" x14ac:dyDescent="0.3">
      <c r="A64" s="28">
        <v>11.1</v>
      </c>
      <c r="B64" s="1504"/>
      <c r="C64" s="2167" t="s">
        <v>957</v>
      </c>
      <c r="D64" s="2168" t="s">
        <v>3</v>
      </c>
      <c r="E64" s="67" t="b">
        <f t="shared" ref="E64:E71" si="4">IF(D64="Compliant",TRUE,FALSE)</f>
        <v>0</v>
      </c>
      <c r="F64" s="44"/>
      <c r="G64" s="44" t="str">
        <f>IF(I64&lt;&gt;"", "Not Blank", "")</f>
        <v/>
      </c>
      <c r="H64" s="44"/>
      <c r="I64" s="42"/>
      <c r="J64" s="42" t="str">
        <f t="shared" ref="J64:J71" si="5">IF(L64&lt;&gt;"", "Not Blank", "")</f>
        <v/>
      </c>
      <c r="K64" s="42"/>
      <c r="L64" s="42"/>
      <c r="M64" s="144"/>
      <c r="N64" s="4871"/>
      <c r="O64" s="4887"/>
      <c r="P64" s="4890"/>
      <c r="Q64" s="2219"/>
      <c r="R64" s="67" t="b">
        <f t="shared" ref="R64:R71" si="6">IF(OR(Q64="Compliant",Q64="FE with work-a-round",Q64="Functionally Equivalent",Q64="Not Required/Applicable"),TRUE,FALSE)</f>
        <v>0</v>
      </c>
      <c r="S64" s="44"/>
      <c r="T64" s="44"/>
      <c r="U64" s="68"/>
      <c r="V64" s="4726"/>
      <c r="W64" s="4879"/>
      <c r="X64" s="44"/>
      <c r="Y64" s="44"/>
      <c r="Z64" s="122"/>
      <c r="AR64" s="67"/>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68"/>
    </row>
    <row r="65" spans="1:83" s="28" customFormat="1" ht="43.5" x14ac:dyDescent="0.3">
      <c r="B65" s="1504"/>
      <c r="C65" s="1717" t="s">
        <v>917</v>
      </c>
      <c r="D65" s="319" t="s">
        <v>3</v>
      </c>
      <c r="E65" s="67" t="b">
        <f t="shared" si="4"/>
        <v>0</v>
      </c>
      <c r="F65" s="44"/>
      <c r="G65" s="44" t="str">
        <f t="shared" ref="G65:G71" si="7">IF(I65&lt;&gt;"", "Not Blank", "")</f>
        <v/>
      </c>
      <c r="H65" s="44"/>
      <c r="I65" s="44"/>
      <c r="J65" s="44" t="str">
        <f t="shared" si="5"/>
        <v/>
      </c>
      <c r="K65" s="44"/>
      <c r="L65" s="44"/>
      <c r="M65" s="68"/>
      <c r="N65" s="4871"/>
      <c r="O65" s="4887"/>
      <c r="P65" s="4890"/>
      <c r="Q65" s="699"/>
      <c r="R65" s="67" t="b">
        <f t="shared" si="6"/>
        <v>0</v>
      </c>
      <c r="S65" s="44"/>
      <c r="T65" s="44"/>
      <c r="U65" s="68"/>
      <c r="V65" s="4726"/>
      <c r="W65" s="4879"/>
      <c r="X65" s="44"/>
      <c r="Y65" s="44"/>
      <c r="Z65" s="122"/>
      <c r="AR65" s="67"/>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68"/>
    </row>
    <row r="66" spans="1:83" s="28" customFormat="1" ht="43.5" x14ac:dyDescent="0.3">
      <c r="B66" s="1504"/>
      <c r="C66" s="1717" t="s">
        <v>918</v>
      </c>
      <c r="D66" s="319" t="s">
        <v>3</v>
      </c>
      <c r="E66" s="67" t="b">
        <f t="shared" si="4"/>
        <v>0</v>
      </c>
      <c r="F66" s="44"/>
      <c r="G66" s="44" t="str">
        <f t="shared" si="7"/>
        <v/>
      </c>
      <c r="H66" s="44"/>
      <c r="I66" s="44"/>
      <c r="J66" s="44" t="str">
        <f t="shared" si="5"/>
        <v/>
      </c>
      <c r="K66" s="44"/>
      <c r="L66" s="44"/>
      <c r="M66" s="68"/>
      <c r="N66" s="4871"/>
      <c r="O66" s="4887"/>
      <c r="P66" s="4890"/>
      <c r="Q66" s="699"/>
      <c r="R66" s="67" t="b">
        <f t="shared" si="6"/>
        <v>0</v>
      </c>
      <c r="S66" s="44"/>
      <c r="T66" s="44"/>
      <c r="U66" s="68"/>
      <c r="V66" s="4726"/>
      <c r="W66" s="4879"/>
      <c r="X66" s="44"/>
      <c r="Y66" s="44"/>
      <c r="Z66" s="122"/>
      <c r="AR66" s="67"/>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68"/>
    </row>
    <row r="67" spans="1:83" s="28" customFormat="1" ht="130.5" x14ac:dyDescent="0.3">
      <c r="B67" s="1504"/>
      <c r="C67" s="1717" t="s">
        <v>958</v>
      </c>
      <c r="D67" s="319" t="s">
        <v>3</v>
      </c>
      <c r="E67" s="67" t="b">
        <f t="shared" si="4"/>
        <v>0</v>
      </c>
      <c r="F67" s="44"/>
      <c r="G67" s="44" t="str">
        <f t="shared" si="7"/>
        <v/>
      </c>
      <c r="H67" s="44"/>
      <c r="I67" s="44"/>
      <c r="J67" s="44" t="str">
        <f t="shared" si="5"/>
        <v/>
      </c>
      <c r="K67" s="44"/>
      <c r="L67" s="44"/>
      <c r="M67" s="68"/>
      <c r="N67" s="4871"/>
      <c r="O67" s="4887"/>
      <c r="P67" s="4890"/>
      <c r="Q67" s="699"/>
      <c r="R67" s="67" t="b">
        <f t="shared" si="6"/>
        <v>0</v>
      </c>
      <c r="S67" s="44"/>
      <c r="T67" s="44"/>
      <c r="U67" s="68"/>
      <c r="V67" s="4726"/>
      <c r="W67" s="4879"/>
      <c r="X67" s="44"/>
      <c r="Y67" s="44"/>
      <c r="Z67" s="122"/>
      <c r="AR67" s="67"/>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68"/>
    </row>
    <row r="68" spans="1:83" s="28" customFormat="1" ht="101.5" x14ac:dyDescent="0.3">
      <c r="B68" s="1504"/>
      <c r="C68" s="1717" t="s">
        <v>959</v>
      </c>
      <c r="D68" s="319" t="s">
        <v>3</v>
      </c>
      <c r="E68" s="67" t="b">
        <f t="shared" si="4"/>
        <v>0</v>
      </c>
      <c r="F68" s="44"/>
      <c r="G68" s="44" t="str">
        <f t="shared" si="7"/>
        <v/>
      </c>
      <c r="H68" s="44"/>
      <c r="I68" s="44"/>
      <c r="J68" s="44" t="str">
        <f t="shared" si="5"/>
        <v/>
      </c>
      <c r="K68" s="44"/>
      <c r="L68" s="44"/>
      <c r="M68" s="68"/>
      <c r="N68" s="4871"/>
      <c r="O68" s="4887"/>
      <c r="P68" s="4890"/>
      <c r="Q68" s="699"/>
      <c r="R68" s="67" t="b">
        <f t="shared" si="6"/>
        <v>0</v>
      </c>
      <c r="S68" s="44"/>
      <c r="T68" s="44"/>
      <c r="U68" s="68"/>
      <c r="V68" s="4726"/>
      <c r="W68" s="4879"/>
      <c r="X68" s="44"/>
      <c r="Y68" s="44"/>
      <c r="Z68" s="122"/>
      <c r="AR68" s="67"/>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68"/>
    </row>
    <row r="69" spans="1:83" s="28" customFormat="1" ht="58" x14ac:dyDescent="0.3">
      <c r="B69" s="1504"/>
      <c r="C69" s="1717" t="s">
        <v>960</v>
      </c>
      <c r="D69" s="319" t="s">
        <v>3</v>
      </c>
      <c r="E69" s="67" t="b">
        <f t="shared" si="4"/>
        <v>0</v>
      </c>
      <c r="F69" s="44"/>
      <c r="G69" s="44" t="str">
        <f t="shared" si="7"/>
        <v/>
      </c>
      <c r="H69" s="44"/>
      <c r="I69" s="44"/>
      <c r="J69" s="44" t="str">
        <f t="shared" si="5"/>
        <v/>
      </c>
      <c r="K69" s="44"/>
      <c r="L69" s="44"/>
      <c r="M69" s="68"/>
      <c r="N69" s="4871"/>
      <c r="O69" s="4887"/>
      <c r="P69" s="4890"/>
      <c r="Q69" s="699"/>
      <c r="R69" s="67" t="b">
        <f t="shared" si="6"/>
        <v>0</v>
      </c>
      <c r="S69" s="44"/>
      <c r="T69" s="44"/>
      <c r="U69" s="68"/>
      <c r="V69" s="4726"/>
      <c r="W69" s="4879"/>
      <c r="X69" s="44"/>
      <c r="Y69" s="44"/>
      <c r="Z69" s="122"/>
      <c r="AR69" s="67"/>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68"/>
    </row>
    <row r="70" spans="1:83" s="28" customFormat="1" ht="43.5" x14ac:dyDescent="0.3">
      <c r="B70" s="1504"/>
      <c r="C70" s="1717" t="s">
        <v>922</v>
      </c>
      <c r="D70" s="319" t="s">
        <v>3</v>
      </c>
      <c r="E70" s="67" t="b">
        <f t="shared" si="4"/>
        <v>0</v>
      </c>
      <c r="F70" s="44"/>
      <c r="G70" s="44" t="str">
        <f t="shared" si="7"/>
        <v/>
      </c>
      <c r="H70" s="44"/>
      <c r="I70" s="44"/>
      <c r="J70" s="44" t="str">
        <f t="shared" si="5"/>
        <v/>
      </c>
      <c r="K70" s="44"/>
      <c r="L70" s="44"/>
      <c r="M70" s="68"/>
      <c r="N70" s="4871"/>
      <c r="O70" s="4887"/>
      <c r="P70" s="4890"/>
      <c r="Q70" s="699"/>
      <c r="R70" s="67" t="b">
        <f t="shared" si="6"/>
        <v>0</v>
      </c>
      <c r="S70" s="44"/>
      <c r="T70" s="44"/>
      <c r="U70" s="68"/>
      <c r="V70" s="4726"/>
      <c r="W70" s="4879"/>
      <c r="X70" s="44"/>
      <c r="Y70" s="44"/>
      <c r="Z70" s="122"/>
      <c r="AR70" s="67"/>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68"/>
    </row>
    <row r="71" spans="1:83" s="28" customFormat="1" ht="44" thickBot="1" x14ac:dyDescent="0.35">
      <c r="B71" s="1504"/>
      <c r="C71" s="1807" t="s">
        <v>923</v>
      </c>
      <c r="D71" s="849" t="s">
        <v>3</v>
      </c>
      <c r="E71" s="78" t="b">
        <f t="shared" si="4"/>
        <v>0</v>
      </c>
      <c r="F71" s="79"/>
      <c r="G71" s="79" t="str">
        <f t="shared" si="7"/>
        <v/>
      </c>
      <c r="H71" s="79"/>
      <c r="I71" s="79"/>
      <c r="J71" s="79" t="str">
        <f t="shared" si="5"/>
        <v/>
      </c>
      <c r="K71" s="79"/>
      <c r="L71" s="79"/>
      <c r="M71" s="143"/>
      <c r="N71" s="4871"/>
      <c r="O71" s="4887"/>
      <c r="P71" s="4890"/>
      <c r="Q71" s="1038"/>
      <c r="R71" s="78" t="b">
        <f t="shared" si="6"/>
        <v>0</v>
      </c>
      <c r="S71" s="79"/>
      <c r="T71" s="79"/>
      <c r="U71" s="143"/>
      <c r="V71" s="4726"/>
      <c r="W71" s="4879"/>
      <c r="X71" s="79"/>
      <c r="Y71" s="79"/>
      <c r="Z71" s="127"/>
      <c r="AR71" s="78"/>
      <c r="AS71" s="79"/>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68"/>
    </row>
    <row r="72" spans="1:83" s="204" customFormat="1" ht="44" thickTop="1" x14ac:dyDescent="0.3">
      <c r="B72" s="1910" t="s">
        <v>1557</v>
      </c>
      <c r="C72" s="1669" t="s">
        <v>1258</v>
      </c>
      <c r="D72" s="1904" t="s">
        <v>1854</v>
      </c>
      <c r="E72" s="1924" t="b">
        <f>IF(AND(E73=TRUE,E74=TRUE,E75=TRUE,E76=TRUE),TRUE,FALSE)</f>
        <v>0</v>
      </c>
      <c r="F72" s="1677">
        <f>COUNTIF(E73:E76,TRUE)</f>
        <v>0</v>
      </c>
      <c r="G72" s="1677">
        <f>COUNTIFS(E73:E76,TRUE,G73:G76,"Not Blank")</f>
        <v>0</v>
      </c>
      <c r="H72" s="1677">
        <f>COUNTIFS(E73:E76,FALSE,G73:G76,"Not Blank")</f>
        <v>0</v>
      </c>
      <c r="I72" s="1677" t="str">
        <f xml:space="preserve">
IF(F72&gt;4,"Too Many Entries - Check Red Lines",
IF(G72&lt;F72,"Valid Entry required below - Check Amber Line/s",
IF(AND(E72=FALSE,G72=0,H72=0),"Nothing Entered below Yet",
IF(G72&lt;F72,"Valid Entry required below - Check Amber Line/s",
IF(AND(G72=0,H72&gt;0),"**Non-Valid Entry/ies below - Check Yellow Line/s",
IF(AND(G72&gt;0,H72&gt;0),"**Valid and Non-Valid Entries made below - Check Yellow Line/s",
IF(AND(E72=FALSE,F72&lt;4),"Not all requirements addressed below - Check Pink Line/s",
IF(AND(E72=FALSE,G72&lt;4,G72&gt;0,H72=0),"More entries to come",
IF(AND(E72,TRUE,G72=4,H72=0),"Valid Entries made below"
)))))))))</f>
        <v>Nothing Entered below Yet</v>
      </c>
      <c r="J72" s="1677">
        <f>COUNTIFS(E73:E76,TRUE,J73:J76,"Not Blank")</f>
        <v>0</v>
      </c>
      <c r="K72" s="1677">
        <f>COUNTIFS(E73:E76,FALSE,J73:J76,"Not Blank")</f>
        <v>0</v>
      </c>
      <c r="L72" s="1677" t="str">
        <f xml:space="preserve">
IF(J72&gt;4,"Too Many Entries - Check Red Lines",
IF(AND(E72=FALSE,J72=0,K72=0,E72=TRUE),"Nothing Required Below",
IF(J72&lt;F72,"Valid Entry required below - Check Amber Line/s",
IF(AND(E72=FALSE,J72=0,K72=0),"Nothing Entered below Yet",
IF(AND(J72=0,K72&gt;0),"**Non-Valid Entry/ies below - Check Yellow Line/s",
IF(AND(J72&gt;0,K72&gt;0),"**Valid and Non-Valid Entries made below - Check Yellow Line/s",
IF(AND(E72=FALSE,J72&lt;4),"Not all requirements addressed below - Check Pink Line/s",
IF(AND(E72=FALSE,J72&lt;4,J72&gt;0,K72=0),"More entries to come",
IF(AND(E72,TRUE,J72=4,K72=0),"Valid Entries made below"
)))))))))</f>
        <v>Nothing Entered below Yet</v>
      </c>
      <c r="M72" s="459"/>
      <c r="N72" s="4872" t="s">
        <v>3</v>
      </c>
      <c r="O72" s="4886" t="b">
        <f>IF(OR(N72="Compliant",N72="FE with work-a-round",N72="Functionally Equivalent"),TRUE,FALSE)</f>
        <v>0</v>
      </c>
      <c r="P72" s="4889"/>
      <c r="Q72" s="2076" t="s">
        <v>565</v>
      </c>
      <c r="R72" s="338" t="b">
        <f>IF(AND(R73=TRUE,R74=TRUE,R75=TRUE,R76=TRUE),TRUE,FALSE)</f>
        <v>0</v>
      </c>
      <c r="S72" s="186"/>
      <c r="T72" s="186"/>
      <c r="U72" s="459"/>
      <c r="V72" s="4725" t="s">
        <v>3</v>
      </c>
      <c r="W72" s="4878" t="b">
        <f>IF(OR(V72="Compliant",V72="FE with work-a-round",V72="Functionally Equivalent",V72="Not Required/Applicable"),TRUE,FALSE)</f>
        <v>0</v>
      </c>
      <c r="X72" s="186"/>
      <c r="Y72" s="186"/>
      <c r="Z72" s="306"/>
      <c r="AR72" s="717"/>
      <c r="AS72" s="718"/>
      <c r="AT72" s="718"/>
      <c r="AU72" s="718"/>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18"/>
      <c r="CA72" s="718"/>
      <c r="CB72" s="718"/>
      <c r="CC72" s="718"/>
      <c r="CD72" s="718"/>
      <c r="CE72" s="719"/>
    </row>
    <row r="73" spans="1:83" s="28" customFormat="1" ht="29" x14ac:dyDescent="0.3">
      <c r="B73" s="2077"/>
      <c r="C73" s="1717" t="s">
        <v>91</v>
      </c>
      <c r="D73" s="319" t="s">
        <v>3</v>
      </c>
      <c r="E73" s="67" t="b">
        <f>IF(D73="Compliant",TRUE,FALSE)</f>
        <v>0</v>
      </c>
      <c r="F73" s="44"/>
      <c r="G73" s="44" t="str">
        <f>IF(I73&lt;&gt;"", "Not Blank", "")</f>
        <v/>
      </c>
      <c r="H73" s="44"/>
      <c r="I73" s="44"/>
      <c r="J73" s="44" t="str">
        <f>IF(L73&lt;&gt;"", "Not Blank", "")</f>
        <v/>
      </c>
      <c r="K73" s="44"/>
      <c r="L73" s="44"/>
      <c r="M73" s="68"/>
      <c r="N73" s="4871"/>
      <c r="O73" s="4887"/>
      <c r="P73" s="4890"/>
      <c r="Q73" s="699" t="s">
        <v>3</v>
      </c>
      <c r="R73" s="67" t="b">
        <f>IF(OR(Q73="Compliant",Q73="FE with work-a-round",Q73="Functionally Equivalent",Q73="Not Required/Applicable"),TRUE,FALSE)</f>
        <v>0</v>
      </c>
      <c r="S73" s="44"/>
      <c r="T73" s="44"/>
      <c r="U73" s="68"/>
      <c r="V73" s="4726"/>
      <c r="W73" s="4879"/>
      <c r="X73" s="44"/>
      <c r="Y73" s="44"/>
      <c r="Z73" s="122"/>
      <c r="AR73" s="78"/>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143"/>
    </row>
    <row r="74" spans="1:83" s="28" customFormat="1" ht="29" x14ac:dyDescent="0.3">
      <c r="B74" s="1504"/>
      <c r="C74" s="1717" t="s">
        <v>92</v>
      </c>
      <c r="D74" s="319" t="s">
        <v>3</v>
      </c>
      <c r="E74" s="67" t="b">
        <f>IF(D74="Compliant",TRUE,FALSE)</f>
        <v>0</v>
      </c>
      <c r="F74" s="44"/>
      <c r="G74" s="44" t="str">
        <f>IF(I74&lt;&gt;"", "Not Blank", "")</f>
        <v/>
      </c>
      <c r="H74" s="44"/>
      <c r="I74" s="44"/>
      <c r="J74" s="44" t="str">
        <f>IF(L74&lt;&gt;"", "Not Blank", "")</f>
        <v/>
      </c>
      <c r="K74" s="44"/>
      <c r="L74" s="44"/>
      <c r="M74" s="68"/>
      <c r="N74" s="4871"/>
      <c r="O74" s="4887"/>
      <c r="P74" s="4890"/>
      <c r="Q74" s="699" t="s">
        <v>3</v>
      </c>
      <c r="R74" s="67" t="b">
        <f>IF(OR(Q74="Compliant",Q74="FE with work-a-round",Q74="Functionally Equivalent",Q74="Not Required/Applicable"),TRUE,FALSE)</f>
        <v>0</v>
      </c>
      <c r="S74" s="44"/>
      <c r="T74" s="44"/>
      <c r="U74" s="68"/>
      <c r="V74" s="4726"/>
      <c r="W74" s="4879"/>
      <c r="X74" s="44"/>
      <c r="Y74" s="44"/>
      <c r="Z74" s="122"/>
      <c r="AR74" s="78"/>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143"/>
    </row>
    <row r="75" spans="1:83" s="28" customFormat="1" ht="43.5" x14ac:dyDescent="0.3">
      <c r="B75" s="1504"/>
      <c r="C75" s="1717" t="s">
        <v>93</v>
      </c>
      <c r="D75" s="319" t="s">
        <v>3</v>
      </c>
      <c r="E75" s="67" t="b">
        <f>IF(D75="Compliant",TRUE,FALSE)</f>
        <v>0</v>
      </c>
      <c r="F75" s="44"/>
      <c r="G75" s="44" t="str">
        <f>IF(I75&lt;&gt;"", "Not Blank", "")</f>
        <v/>
      </c>
      <c r="H75" s="44"/>
      <c r="I75" s="44"/>
      <c r="J75" s="44" t="str">
        <f>IF(L75&lt;&gt;"", "Not Blank", "")</f>
        <v/>
      </c>
      <c r="K75" s="44"/>
      <c r="L75" s="44"/>
      <c r="M75" s="68"/>
      <c r="N75" s="4871"/>
      <c r="O75" s="4887"/>
      <c r="P75" s="4890"/>
      <c r="Q75" s="699" t="s">
        <v>3</v>
      </c>
      <c r="R75" s="67" t="b">
        <f>IF(OR(Q75="Compliant",Q75="FE with work-a-round",Q75="Functionally Equivalent",Q75="Not Required/Applicable"),TRUE,FALSE)</f>
        <v>0</v>
      </c>
      <c r="S75" s="44"/>
      <c r="T75" s="44"/>
      <c r="U75" s="68"/>
      <c r="V75" s="4726"/>
      <c r="W75" s="4879"/>
      <c r="X75" s="44"/>
      <c r="Y75" s="44"/>
      <c r="Z75" s="122"/>
      <c r="AR75" s="78"/>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143"/>
    </row>
    <row r="76" spans="1:83" s="28" customFormat="1" ht="87.5" thickBot="1" x14ac:dyDescent="0.35">
      <c r="B76" s="1505"/>
      <c r="C76" s="1800" t="s">
        <v>1241</v>
      </c>
      <c r="D76" s="230" t="s">
        <v>3</v>
      </c>
      <c r="E76" s="161" t="b">
        <f>IF(D76="Compliant",TRUE,FALSE)</f>
        <v>0</v>
      </c>
      <c r="F76" s="124"/>
      <c r="G76" s="124" t="str">
        <f>IF(I76&lt;&gt;"", "Not Blank", "")</f>
        <v/>
      </c>
      <c r="H76" s="124"/>
      <c r="I76" s="124"/>
      <c r="J76" s="124" t="str">
        <f>IF(L76&lt;&gt;"", "Not Blank", "")</f>
        <v/>
      </c>
      <c r="K76" s="124"/>
      <c r="L76" s="124"/>
      <c r="M76" s="246"/>
      <c r="N76" s="4873"/>
      <c r="O76" s="4888"/>
      <c r="P76" s="4891"/>
      <c r="Q76" s="700" t="s">
        <v>3</v>
      </c>
      <c r="R76" s="161" t="b">
        <f>IF(OR(Q76="Compliant",Q76="FE with work-a-round",Q76="Functionally Equivalent",Q76="Not Required/Applicable"),TRUE,FALSE)</f>
        <v>0</v>
      </c>
      <c r="S76" s="124"/>
      <c r="T76" s="124"/>
      <c r="U76" s="246"/>
      <c r="V76" s="4727"/>
      <c r="W76" s="4880"/>
      <c r="X76" s="124"/>
      <c r="Y76" s="124"/>
      <c r="Z76" s="125"/>
      <c r="AR76" s="78"/>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143"/>
    </row>
    <row r="77" spans="1:83" s="3634" customFormat="1" ht="15" thickTop="1" x14ac:dyDescent="0.3">
      <c r="A77" s="3679"/>
      <c r="B77" s="3679"/>
      <c r="AR77" s="3680"/>
      <c r="AS77" s="3681"/>
      <c r="AT77" s="3681"/>
      <c r="AU77" s="3681"/>
      <c r="AV77" s="3681"/>
      <c r="AW77" s="3681"/>
      <c r="AX77" s="3681"/>
      <c r="AY77" s="3681"/>
      <c r="AZ77" s="3681"/>
      <c r="BA77" s="3681"/>
      <c r="BB77" s="3681"/>
      <c r="BC77" s="3681"/>
      <c r="BD77" s="3681"/>
      <c r="BE77" s="3681"/>
      <c r="BF77" s="3681"/>
      <c r="BG77" s="3681"/>
      <c r="BH77" s="3681"/>
      <c r="BI77" s="3681"/>
      <c r="BJ77" s="3681"/>
      <c r="BK77" s="3681"/>
      <c r="BL77" s="3681"/>
      <c r="BM77" s="3681"/>
      <c r="BN77" s="3681"/>
      <c r="BO77" s="3681"/>
      <c r="BP77" s="3681"/>
      <c r="BQ77" s="3681"/>
      <c r="BR77" s="3681"/>
      <c r="BS77" s="3681"/>
      <c r="BT77" s="3681"/>
      <c r="BU77" s="3681"/>
      <c r="BV77" s="3681"/>
      <c r="BW77" s="3681"/>
      <c r="BX77" s="3681"/>
      <c r="BY77" s="3681"/>
      <c r="BZ77" s="3681"/>
      <c r="CA77" s="3681"/>
      <c r="CB77" s="3681"/>
      <c r="CC77" s="3681"/>
      <c r="CD77" s="3681"/>
      <c r="CE77" s="3682"/>
    </row>
    <row r="78" spans="1:83" s="4311" customFormat="1" ht="18.649999999999999" customHeight="1" x14ac:dyDescent="0.3">
      <c r="A78" s="4868" t="s">
        <v>1245</v>
      </c>
      <c r="B78" s="4869"/>
      <c r="C78" s="4869"/>
      <c r="D78" s="4869"/>
      <c r="E78" s="4869"/>
      <c r="F78" s="4869"/>
      <c r="G78" s="4869"/>
      <c r="H78" s="4869"/>
      <c r="I78" s="4869"/>
      <c r="J78" s="4869"/>
      <c r="K78" s="4869"/>
      <c r="L78" s="4869"/>
      <c r="M78" s="4869"/>
      <c r="N78" s="4869"/>
      <c r="O78" s="4306"/>
      <c r="P78" s="4306"/>
      <c r="Q78" s="4306"/>
      <c r="R78" s="4306"/>
      <c r="S78" s="4307"/>
      <c r="T78" s="4308"/>
      <c r="U78" s="4308"/>
      <c r="V78" s="4309"/>
      <c r="W78" s="4306"/>
      <c r="X78" s="4307"/>
      <c r="Y78" s="4308"/>
      <c r="Z78" s="4310"/>
    </row>
    <row r="79" spans="1:83" s="3634" customFormat="1" ht="15" thickBot="1" x14ac:dyDescent="0.35">
      <c r="A79" s="3638"/>
      <c r="B79" s="3638"/>
      <c r="C79" s="3638"/>
      <c r="D79" s="3638"/>
      <c r="E79" s="3638"/>
      <c r="F79" s="3638"/>
      <c r="G79" s="3638"/>
      <c r="H79" s="3638"/>
      <c r="I79" s="3638"/>
      <c r="J79" s="3638"/>
      <c r="K79" s="3638"/>
      <c r="L79" s="3740"/>
      <c r="M79" s="3638"/>
      <c r="N79" s="3638"/>
      <c r="O79" s="3638"/>
      <c r="P79" s="3638"/>
      <c r="R79" s="3638"/>
      <c r="V79" s="3638"/>
      <c r="W79" s="3638"/>
      <c r="AR79" s="3687"/>
      <c r="AS79" s="3688"/>
      <c r="AT79" s="3688"/>
      <c r="AU79" s="3688"/>
      <c r="AV79" s="3688"/>
      <c r="AW79" s="3688"/>
      <c r="AX79" s="3688"/>
      <c r="AY79" s="3688"/>
      <c r="AZ79" s="3688"/>
      <c r="BA79" s="3688"/>
      <c r="BB79" s="3688"/>
      <c r="BC79" s="3688"/>
      <c r="BD79" s="3688"/>
      <c r="BE79" s="3688"/>
      <c r="BF79" s="3688"/>
      <c r="BG79" s="3688"/>
      <c r="BH79" s="3688"/>
      <c r="BI79" s="3688"/>
      <c r="BJ79" s="3688"/>
      <c r="BK79" s="3688"/>
      <c r="BL79" s="3688"/>
      <c r="BM79" s="3688"/>
      <c r="BN79" s="3688"/>
      <c r="BO79" s="3688"/>
      <c r="BP79" s="3688"/>
      <c r="BQ79" s="3688"/>
      <c r="BR79" s="3688"/>
      <c r="BS79" s="3688"/>
      <c r="BT79" s="3688"/>
      <c r="BU79" s="3688"/>
      <c r="BV79" s="3688"/>
      <c r="BW79" s="3688"/>
      <c r="BX79" s="3688"/>
      <c r="BY79" s="3688"/>
      <c r="BZ79" s="3688"/>
      <c r="CA79" s="3688"/>
      <c r="CB79" s="3688"/>
      <c r="CC79" s="3688"/>
      <c r="CD79" s="3688"/>
      <c r="CE79" s="3689"/>
    </row>
    <row r="80" spans="1:83" s="304" customFormat="1" ht="30" thickTop="1" thickBot="1" x14ac:dyDescent="0.35">
      <c r="A80" s="646" t="s">
        <v>866</v>
      </c>
      <c r="B80" s="1509" t="s">
        <v>461</v>
      </c>
      <c r="C80" s="1709" t="s">
        <v>932</v>
      </c>
      <c r="D80" s="1923" t="s">
        <v>565</v>
      </c>
      <c r="E80" s="2100" t="b">
        <f>IF(AND(E81=TRUE,E86=TRUE,E87=TRUE),TRUE,FALSE)</f>
        <v>0</v>
      </c>
      <c r="F80" s="1642">
        <f>SUM(F81)+COUNTIF(E85:E87,TRUE)</f>
        <v>0</v>
      </c>
      <c r="G80" s="1642">
        <f>COUNTIFS(E82:E92,TRUE,G82:G92,"Not Blank")</f>
        <v>0</v>
      </c>
      <c r="H80" s="1642">
        <f>COUNTIFS(E82:E92,FALSE,G82:G92,"Not Blank")</f>
        <v>0</v>
      </c>
      <c r="I80" s="1642" t="str">
        <f xml:space="preserve">
IF(F80&gt;6,"Too Many Entries - Check Red Lines",
IF(G80&lt;F80,"Valid Entry required below - Check Amber Line/s",
IF(AND(E80=FALSE,G80=0,H80=0),"Nothing Entered below Yet",
IF(G80&lt;F80,"Valid Entry required below - Check Amber Line/s",
IF(AND(G80=0,H80&gt;0),"**Non-Valid Entry/ies below - Check Yellow Line/s",
IF(AND(G80&gt;0,H80&gt;0),"**Valid and Non-Valid Entries made below - Check Yellow Line/s",
IF(AND(E80=FALSE,F80&lt;6),"Not all requirements addressed below - Check Pink Line/s",
IF(AND(E80=FALSE,G80&lt;6,G80&gt;0,H80=0),"More entries to come",
IF(AND(E80,TRUE,G80=6,H80=0),"Valid Entries made below"
)))))))))</f>
        <v>Nothing Entered below Yet</v>
      </c>
      <c r="J80" s="1677">
        <f>COUNTIFS(E82:E92,TRUE,J82:J92,"Not Blank")</f>
        <v>0</v>
      </c>
      <c r="K80" s="1677">
        <f>COUNTIFS(E82:E92,FALSE,J82:J92,"Not Blank")</f>
        <v>0</v>
      </c>
      <c r="L80" s="1519" t="str">
        <f xml:space="preserve">
IF(J80&gt;6,"Too Many Entries - Check Red Lines",
IF(AND(E80=FALSE,J80=0,K80=0,E80=TRUE),"Nothing Required Below",
IF(J80&lt;F80,"Valid Entry required below - Check Amber Line/s",
IF(AND(E80=FALSE,J80=0,K80=0),"Nothing Entered below Yet",
IF(AND(J80=0,K80&gt;0),"**Non-Valid Entry/ies below - Check Yellow Line/s",
IF(AND(J80&gt;0,K80&gt;0),"**Valid and Non-Valid Entries made below - Check Yellow Line/s",
IF(AND(E80=FALSE,J80&lt;6),"Not all requirements addressed below - Check Pink Line/s",
IF(AND(E80=FALSE,J80&lt;6,J80&gt;0,K80=0),"More entries to come",
IF(AND(E80,TRUE,J80=6,K80=0),"Valid Entries made below"
)))))))))</f>
        <v>Nothing Entered below Yet</v>
      </c>
      <c r="M80" s="1009"/>
      <c r="N80" s="4872" t="s">
        <v>3</v>
      </c>
      <c r="O80" s="4886" t="b">
        <f>IF(OR(N80="Compliant",N80="FE with work-a-round",N80="Functionally Equivalent"),TRUE,FALSE)</f>
        <v>0</v>
      </c>
      <c r="P80" s="4889"/>
      <c r="Q80" s="4318" t="s">
        <v>565</v>
      </c>
      <c r="R80" s="338" t="b">
        <f>IF(AND(R81=TRUE,R86=TRUE,R87=TRUE),TRUE,FALSE)</f>
        <v>0</v>
      </c>
      <c r="S80" s="2752"/>
      <c r="T80" s="2752"/>
      <c r="U80" s="2753"/>
      <c r="V80" s="4885" t="s">
        <v>3</v>
      </c>
      <c r="W80" s="4878" t="b">
        <f>IF(OR(V80="Compliant",V80="FE with work-a-round",V80="Functionally Equivalent",V80="Not Required/Applicable"),TRUE,FALSE)</f>
        <v>0</v>
      </c>
      <c r="X80" s="2606"/>
      <c r="Y80" s="2606"/>
      <c r="Z80" s="2607"/>
      <c r="AK80" s="713"/>
      <c r="AL80" s="714"/>
      <c r="AM80" s="714"/>
      <c r="AN80" s="714"/>
      <c r="AO80" s="714"/>
      <c r="AP80" s="714"/>
      <c r="AQ80" s="714"/>
      <c r="AR80" s="714"/>
      <c r="AS80" s="714"/>
      <c r="AT80" s="714"/>
      <c r="AU80" s="714"/>
      <c r="AV80" s="714"/>
      <c r="AW80" s="714"/>
      <c r="AX80" s="714"/>
      <c r="AY80" s="714"/>
      <c r="AZ80" s="714"/>
      <c r="BA80" s="714"/>
      <c r="BB80" s="714"/>
      <c r="BC80" s="714"/>
      <c r="BD80" s="714"/>
      <c r="BE80" s="714"/>
      <c r="BF80" s="714"/>
      <c r="BG80" s="714"/>
      <c r="BH80" s="714"/>
      <c r="BI80" s="714"/>
      <c r="BJ80" s="714"/>
      <c r="BK80" s="714"/>
      <c r="BL80" s="714"/>
      <c r="BM80" s="714"/>
      <c r="BN80" s="714"/>
      <c r="BO80" s="714"/>
      <c r="BP80" s="714"/>
      <c r="BQ80" s="714"/>
      <c r="BR80" s="714"/>
      <c r="BS80" s="714"/>
      <c r="BT80" s="714"/>
      <c r="BU80" s="714"/>
      <c r="BV80" s="714"/>
      <c r="BW80" s="714"/>
      <c r="BX80" s="714"/>
      <c r="BY80" s="714"/>
      <c r="BZ80" s="714"/>
      <c r="CA80" s="714"/>
      <c r="CB80" s="714"/>
      <c r="CC80" s="714"/>
      <c r="CD80" s="714"/>
      <c r="CE80" s="715"/>
    </row>
    <row r="81" spans="1:83" s="304" customFormat="1" ht="29.5" thickTop="1" x14ac:dyDescent="0.3">
      <c r="A81" s="646"/>
      <c r="B81" s="1910" t="s">
        <v>1582</v>
      </c>
      <c r="C81" s="2220" t="s">
        <v>1259</v>
      </c>
      <c r="D81" s="2207" t="s">
        <v>565</v>
      </c>
      <c r="E81" s="2195" t="b">
        <f>IF(AND(E82=TRUE,E83=TRUE,E84=TRUE,E85=TRUE),TRUE,FALSE)</f>
        <v>0</v>
      </c>
      <c r="F81" s="2067">
        <f>COUNTIF(E82:E84,TRUE)</f>
        <v>0</v>
      </c>
      <c r="G81" s="2067">
        <f>COUNTIFS(E82:E84,TRUE,G82:G84,"Not Blank")</f>
        <v>0</v>
      </c>
      <c r="H81" s="2067">
        <f>COUNTIFS(E82:E84,FALSE,G82:G84,"Not Blank")</f>
        <v>0</v>
      </c>
      <c r="I81" s="2217" t="str">
        <f xml:space="preserve">
IF(F81&gt;3,"Too Many Entries - Check Red Lines",
IF(G81&lt;F81,"Valid Entry required below - Check Amber Line/s",
IF(AND(E81=FALSE,G81=0,H81=0),"Nothing Entered below Yet",
IF(G81&lt;F81,"Valid Entry required below - Check Amber Line/s",
IF(AND(G81=0,H81&gt;0),"**Non-Valid Entry/ies below - Check Yellow Line/s",
IF(AND(G81&gt;0,H81&gt;0),"**Valid and Non-Valid Entries made below - Check Yellow Line/s",
IF(AND(E81=FALSE,F81&lt;3),"Not all requirements addressed below - Check Pink Line/s",
IF(AND(E81=FALSE,G81&lt;3,G81&gt;0,H81=0),"More entries to come",
IF(AND(E81,TRUE,G81=3,H81=0),"Valid Entries made below"
)))))))))</f>
        <v>Nothing Entered below Yet</v>
      </c>
      <c r="J81" s="2218">
        <f>COUNTIFS(E82:E84,TRUE,J82:J84,"Not Blank")</f>
        <v>0</v>
      </c>
      <c r="K81" s="2218">
        <f>COUNTIFS(E82:E84,FALSE,J82:J84,"Not Blank")</f>
        <v>0</v>
      </c>
      <c r="L81" s="2208" t="str">
        <f xml:space="preserve">
IF(J81&gt;3,"Too Many Entries - Check Red Lines",
IF(AND(E81=FALSE,J81=0,K81=0,E81=TRUE),"Nothing Required Below",
IF(J81&lt;F81,"Valid Entry required below - Check Amber Line/s",
IF(AND(E81=FALSE,J81=0,K81=0),"Nothing Entered below Yet",
IF(AND(J81=0,K81&gt;0),"**Non-Valid Entry/ies below - Check Yellow Line/s",
IF(AND(J81&gt;0,K81&gt;0),"**Valid and Non-Valid Entries made below - Check Yellow Line/s",
IF(AND(E81=FALSE,J81&lt;3),"Not all requirements addressed below - Check Pink Line/s",
IF(AND(E81=FALSE,J81&lt;3,J81&gt;0,K81=0),"More entries to come",
IF(AND(E81,TRUE,J81=3,K81=0),"Valid Entries made below"
)))))))))</f>
        <v>Nothing Entered below Yet</v>
      </c>
      <c r="M81" s="2213"/>
      <c r="N81" s="4871"/>
      <c r="O81" s="4887"/>
      <c r="P81" s="4890"/>
      <c r="Q81" s="4319" t="s">
        <v>565</v>
      </c>
      <c r="R81" s="716" t="b">
        <f>IF(AND(R82=TRUE,R83=TRUE,R84=TRUE,R85=TRUE),TRUE,FALSE)</f>
        <v>0</v>
      </c>
      <c r="S81" s="2754"/>
      <c r="T81" s="2754"/>
      <c r="U81" s="2755"/>
      <c r="V81" s="4827"/>
      <c r="W81" s="4879"/>
      <c r="X81" s="2756"/>
      <c r="Y81" s="2756"/>
      <c r="Z81" s="2757"/>
      <c r="AK81" s="713"/>
      <c r="AL81" s="714"/>
      <c r="AM81" s="714"/>
      <c r="AN81" s="714"/>
      <c r="AO81" s="714"/>
      <c r="AP81" s="714"/>
      <c r="AQ81" s="714"/>
      <c r="AR81" s="714"/>
      <c r="AS81" s="714"/>
      <c r="AT81" s="714"/>
      <c r="AU81" s="714"/>
      <c r="AV81" s="714"/>
      <c r="AW81" s="714"/>
      <c r="AX81" s="714"/>
      <c r="AY81" s="714"/>
      <c r="AZ81" s="714"/>
      <c r="BA81" s="714"/>
      <c r="BB81" s="714"/>
      <c r="BC81" s="714"/>
      <c r="BD81" s="714"/>
      <c r="BE81" s="714"/>
      <c r="BF81" s="714"/>
      <c r="BG81" s="714"/>
      <c r="BH81" s="714"/>
      <c r="BI81" s="714"/>
      <c r="BJ81" s="714"/>
      <c r="BK81" s="714"/>
      <c r="BL81" s="714"/>
      <c r="BM81" s="714"/>
      <c r="BN81" s="714"/>
      <c r="BO81" s="714"/>
      <c r="BP81" s="714"/>
      <c r="BQ81" s="714"/>
      <c r="BR81" s="714"/>
      <c r="BS81" s="714"/>
      <c r="BT81" s="714"/>
      <c r="BU81" s="714"/>
      <c r="BV81" s="714"/>
      <c r="BW81" s="714"/>
      <c r="BX81" s="714"/>
      <c r="BY81" s="714"/>
      <c r="BZ81" s="714"/>
      <c r="CA81" s="714"/>
      <c r="CB81" s="714"/>
      <c r="CC81" s="714"/>
      <c r="CD81" s="714"/>
      <c r="CE81" s="715"/>
    </row>
    <row r="82" spans="1:83" ht="275.5" x14ac:dyDescent="0.3">
      <c r="A82" s="275" t="s">
        <v>964</v>
      </c>
      <c r="B82" s="1504"/>
      <c r="C82" s="1806" t="s">
        <v>961</v>
      </c>
      <c r="D82" s="1013" t="s">
        <v>3</v>
      </c>
      <c r="E82" s="67" t="b">
        <f t="shared" ref="E82:E87" si="8">IF(D82="Compliant",TRUE,FALSE)</f>
        <v>0</v>
      </c>
      <c r="F82" s="44"/>
      <c r="G82" s="44" t="str">
        <f t="shared" ref="G82:G87" si="9">IF(I82&lt;&gt;"", "Not Blank", "")</f>
        <v/>
      </c>
      <c r="H82" s="44"/>
      <c r="I82" s="42"/>
      <c r="J82" s="42" t="str">
        <f t="shared" ref="J82:J87" si="10">IF(L82&lt;&gt;"", "Not Blank", "")</f>
        <v/>
      </c>
      <c r="K82" s="42"/>
      <c r="L82" s="42"/>
      <c r="M82" s="144"/>
      <c r="N82" s="4871"/>
      <c r="O82" s="4887"/>
      <c r="P82" s="4890"/>
      <c r="Q82" s="2096" t="s">
        <v>3</v>
      </c>
      <c r="R82" s="67" t="b">
        <f t="shared" ref="R82:R87" si="11">IF(OR(Q82="Compliant",Q82="FE with work-a-round",Q82="Functionally Equivalent",Q82="Not Required/Applicable"),TRUE,FALSE)</f>
        <v>0</v>
      </c>
      <c r="S82" s="44"/>
      <c r="T82" s="44"/>
      <c r="U82" s="1752"/>
      <c r="V82" s="4827"/>
      <c r="W82" s="4879"/>
      <c r="X82" s="1748"/>
      <c r="Y82" s="1748"/>
      <c r="Z82" s="1775"/>
      <c r="AK82" s="33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33"/>
    </row>
    <row r="83" spans="1:83" ht="72.5" x14ac:dyDescent="0.3">
      <c r="A83" s="275"/>
      <c r="B83" s="1504"/>
      <c r="C83" s="1717" t="s">
        <v>962</v>
      </c>
      <c r="D83" s="319" t="s">
        <v>3</v>
      </c>
      <c r="E83" s="67" t="b">
        <f t="shared" si="8"/>
        <v>0</v>
      </c>
      <c r="F83" s="44"/>
      <c r="G83" s="44" t="str">
        <f t="shared" si="9"/>
        <v/>
      </c>
      <c r="H83" s="44"/>
      <c r="I83" s="44"/>
      <c r="J83" s="44" t="str">
        <f t="shared" si="10"/>
        <v/>
      </c>
      <c r="K83" s="44"/>
      <c r="L83" s="44"/>
      <c r="M83" s="68"/>
      <c r="N83" s="4871"/>
      <c r="O83" s="4887"/>
      <c r="P83" s="4890"/>
      <c r="Q83" s="699" t="s">
        <v>3</v>
      </c>
      <c r="R83" s="67" t="b">
        <f t="shared" si="11"/>
        <v>0</v>
      </c>
      <c r="S83" s="44"/>
      <c r="T83" s="44"/>
      <c r="U83" s="1752"/>
      <c r="V83" s="4827"/>
      <c r="W83" s="4879"/>
      <c r="X83" s="1748"/>
      <c r="Y83" s="1748"/>
      <c r="Z83" s="1775"/>
      <c r="AK83" s="33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33"/>
    </row>
    <row r="84" spans="1:83" ht="101.5" x14ac:dyDescent="0.3">
      <c r="A84" s="275"/>
      <c r="B84" s="1504"/>
      <c r="C84" s="1717" t="s">
        <v>963</v>
      </c>
      <c r="D84" s="319" t="s">
        <v>3</v>
      </c>
      <c r="E84" s="67" t="b">
        <f t="shared" si="8"/>
        <v>0</v>
      </c>
      <c r="F84" s="44"/>
      <c r="G84" s="44" t="str">
        <f t="shared" si="9"/>
        <v/>
      </c>
      <c r="H84" s="44"/>
      <c r="I84" s="44"/>
      <c r="J84" s="44" t="str">
        <f t="shared" si="10"/>
        <v/>
      </c>
      <c r="K84" s="44"/>
      <c r="L84" s="44"/>
      <c r="M84" s="68"/>
      <c r="N84" s="4871"/>
      <c r="O84" s="4887"/>
      <c r="P84" s="4890"/>
      <c r="Q84" s="699" t="s">
        <v>3</v>
      </c>
      <c r="R84" s="67" t="b">
        <f t="shared" si="11"/>
        <v>0</v>
      </c>
      <c r="S84" s="44"/>
      <c r="T84" s="44"/>
      <c r="U84" s="1752"/>
      <c r="V84" s="4827"/>
      <c r="W84" s="4879"/>
      <c r="X84" s="1748"/>
      <c r="Y84" s="1748"/>
      <c r="Z84" s="1775"/>
      <c r="AK84" s="33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33"/>
    </row>
    <row r="85" spans="1:83" ht="72.5" x14ac:dyDescent="0.3">
      <c r="A85" s="275" t="s">
        <v>966</v>
      </c>
      <c r="B85" s="1504"/>
      <c r="C85" s="1717" t="s">
        <v>1260</v>
      </c>
      <c r="D85" s="319" t="s">
        <v>3</v>
      </c>
      <c r="E85" s="67" t="b">
        <f t="shared" si="8"/>
        <v>0</v>
      </c>
      <c r="F85" s="44"/>
      <c r="G85" s="44" t="str">
        <f t="shared" si="9"/>
        <v/>
      </c>
      <c r="H85" s="44"/>
      <c r="I85" s="44"/>
      <c r="J85" s="44" t="str">
        <f t="shared" si="10"/>
        <v/>
      </c>
      <c r="K85" s="44"/>
      <c r="L85" s="44"/>
      <c r="M85" s="68"/>
      <c r="N85" s="4871"/>
      <c r="O85" s="4887"/>
      <c r="P85" s="4890"/>
      <c r="Q85" s="699" t="s">
        <v>3</v>
      </c>
      <c r="R85" s="67" t="b">
        <f t="shared" si="11"/>
        <v>0</v>
      </c>
      <c r="S85" s="44"/>
      <c r="T85" s="44"/>
      <c r="U85" s="1752"/>
      <c r="V85" s="4827"/>
      <c r="W85" s="4879"/>
      <c r="X85" s="1748"/>
      <c r="Y85" s="1748"/>
      <c r="Z85" s="1775"/>
      <c r="AK85" s="33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33"/>
    </row>
    <row r="86" spans="1:83" ht="130.5" x14ac:dyDescent="0.3">
      <c r="A86" s="275" t="s">
        <v>981</v>
      </c>
      <c r="B86" s="1504"/>
      <c r="C86" s="1717" t="s">
        <v>980</v>
      </c>
      <c r="D86" s="319" t="s">
        <v>3</v>
      </c>
      <c r="E86" s="67" t="b">
        <f t="shared" si="8"/>
        <v>0</v>
      </c>
      <c r="F86" s="44"/>
      <c r="G86" s="44" t="str">
        <f t="shared" si="9"/>
        <v/>
      </c>
      <c r="H86" s="44"/>
      <c r="I86" s="44"/>
      <c r="J86" s="44" t="str">
        <f t="shared" si="10"/>
        <v/>
      </c>
      <c r="K86" s="44"/>
      <c r="L86" s="44"/>
      <c r="M86" s="68"/>
      <c r="N86" s="4871"/>
      <c r="O86" s="4887"/>
      <c r="P86" s="4890"/>
      <c r="Q86" s="699" t="s">
        <v>3</v>
      </c>
      <c r="R86" s="67" t="b">
        <f t="shared" si="11"/>
        <v>0</v>
      </c>
      <c r="S86" s="44"/>
      <c r="T86" s="44"/>
      <c r="U86" s="1752"/>
      <c r="V86" s="4827"/>
      <c r="W86" s="4879"/>
      <c r="X86" s="1748"/>
      <c r="Y86" s="1748"/>
      <c r="Z86" s="1775"/>
      <c r="AK86" s="33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33"/>
    </row>
    <row r="87" spans="1:83" ht="319.5" thickBot="1" x14ac:dyDescent="0.35">
      <c r="A87" s="275" t="s">
        <v>979</v>
      </c>
      <c r="B87" s="1505"/>
      <c r="C87" s="1800" t="s">
        <v>965</v>
      </c>
      <c r="D87" s="230" t="s">
        <v>3</v>
      </c>
      <c r="E87" s="161" t="b">
        <f t="shared" si="8"/>
        <v>0</v>
      </c>
      <c r="F87" s="124"/>
      <c r="G87" s="124" t="str">
        <f t="shared" si="9"/>
        <v/>
      </c>
      <c r="H87" s="124"/>
      <c r="I87" s="124"/>
      <c r="J87" s="124" t="str">
        <f t="shared" si="10"/>
        <v/>
      </c>
      <c r="K87" s="124"/>
      <c r="L87" s="124"/>
      <c r="M87" s="246"/>
      <c r="N87" s="4873"/>
      <c r="O87" s="4888"/>
      <c r="P87" s="4891"/>
      <c r="Q87" s="700" t="s">
        <v>3</v>
      </c>
      <c r="R87" s="161" t="b">
        <f t="shared" si="11"/>
        <v>0</v>
      </c>
      <c r="S87" s="124"/>
      <c r="T87" s="124"/>
      <c r="U87" s="2758"/>
      <c r="V87" s="4828"/>
      <c r="W87" s="4880"/>
      <c r="X87" s="1764"/>
      <c r="Y87" s="1764"/>
      <c r="Z87" s="1780"/>
      <c r="AK87" s="33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33"/>
    </row>
    <row r="88" spans="1:83" ht="15" thickTop="1" x14ac:dyDescent="0.3"/>
    <row r="90" spans="1:83" x14ac:dyDescent="0.3">
      <c r="A90" s="150"/>
      <c r="B90" s="150"/>
    </row>
    <row r="91" spans="1:83" x14ac:dyDescent="0.3">
      <c r="A91" s="150"/>
      <c r="B91" s="150"/>
    </row>
    <row r="92" spans="1:83" x14ac:dyDescent="0.3">
      <c r="A92" s="150"/>
      <c r="B92" s="150"/>
    </row>
    <row r="93" spans="1:83" x14ac:dyDescent="0.3">
      <c r="A93" s="150"/>
      <c r="B93" s="150"/>
    </row>
    <row r="94" spans="1:83" x14ac:dyDescent="0.3">
      <c r="A94" s="150"/>
      <c r="B94" s="150"/>
    </row>
    <row r="95" spans="1:83" x14ac:dyDescent="0.3">
      <c r="A95" s="150"/>
      <c r="B95" s="150"/>
    </row>
    <row r="96" spans="1:83" x14ac:dyDescent="0.3">
      <c r="A96" s="150"/>
      <c r="B96" s="150"/>
    </row>
    <row r="97" spans="1:2" x14ac:dyDescent="0.3">
      <c r="A97" s="150"/>
      <c r="B97" s="150"/>
    </row>
    <row r="98" spans="1:2" x14ac:dyDescent="0.3">
      <c r="A98" s="150"/>
      <c r="B98" s="150"/>
    </row>
    <row r="99" spans="1:2" x14ac:dyDescent="0.3">
      <c r="A99" s="150"/>
      <c r="B99" s="150"/>
    </row>
    <row r="100" spans="1:2" x14ac:dyDescent="0.3">
      <c r="A100" s="150"/>
      <c r="B100" s="150"/>
    </row>
    <row r="101" spans="1:2" x14ac:dyDescent="0.3">
      <c r="A101" s="150"/>
      <c r="B101" s="150"/>
    </row>
    <row r="102" spans="1:2" x14ac:dyDescent="0.3">
      <c r="A102" s="150"/>
      <c r="B102" s="150"/>
    </row>
    <row r="103" spans="1:2" x14ac:dyDescent="0.3">
      <c r="A103" s="150"/>
      <c r="B103" s="150"/>
    </row>
    <row r="104" spans="1:2" x14ac:dyDescent="0.3">
      <c r="A104" s="150"/>
      <c r="B104" s="150"/>
    </row>
    <row r="105" spans="1:2" x14ac:dyDescent="0.3">
      <c r="A105" s="150"/>
      <c r="B105" s="150"/>
    </row>
    <row r="106" spans="1:2" x14ac:dyDescent="0.3">
      <c r="A106" s="150"/>
      <c r="B106" s="150"/>
    </row>
    <row r="107" spans="1:2" x14ac:dyDescent="0.3">
      <c r="A107" s="150"/>
      <c r="B107" s="150"/>
    </row>
    <row r="108" spans="1:2" x14ac:dyDescent="0.3">
      <c r="A108" s="150"/>
      <c r="B108" s="150"/>
    </row>
    <row r="109" spans="1:2" x14ac:dyDescent="0.3">
      <c r="A109" s="150"/>
      <c r="B109" s="150"/>
    </row>
    <row r="110" spans="1:2" x14ac:dyDescent="0.3">
      <c r="A110" s="150"/>
      <c r="B110" s="150"/>
    </row>
    <row r="111" spans="1:2" x14ac:dyDescent="0.3">
      <c r="A111" s="150"/>
      <c r="B111" s="150"/>
    </row>
    <row r="112" spans="1:2" x14ac:dyDescent="0.3">
      <c r="A112" s="150"/>
      <c r="B112" s="150"/>
    </row>
    <row r="113" spans="1:2" x14ac:dyDescent="0.3">
      <c r="A113" s="150"/>
      <c r="B113" s="150"/>
    </row>
    <row r="114" spans="1:2" x14ac:dyDescent="0.3">
      <c r="A114" s="150"/>
      <c r="B114" s="150"/>
    </row>
    <row r="115" spans="1:2" x14ac:dyDescent="0.3">
      <c r="A115" s="150"/>
      <c r="B115" s="150"/>
    </row>
    <row r="116" spans="1:2" x14ac:dyDescent="0.3">
      <c r="A116" s="150"/>
      <c r="B116" s="150"/>
    </row>
    <row r="117" spans="1:2" x14ac:dyDescent="0.3">
      <c r="A117" s="150"/>
      <c r="B117" s="150"/>
    </row>
    <row r="118" spans="1:2" x14ac:dyDescent="0.3">
      <c r="A118" s="150"/>
      <c r="B118" s="150"/>
    </row>
    <row r="119" spans="1:2" x14ac:dyDescent="0.3">
      <c r="A119" s="150"/>
      <c r="B119" s="150"/>
    </row>
    <row r="120" spans="1:2" x14ac:dyDescent="0.3">
      <c r="A120" s="150"/>
      <c r="B120" s="150"/>
    </row>
    <row r="121" spans="1:2" x14ac:dyDescent="0.3">
      <c r="A121" s="150"/>
      <c r="B121" s="150"/>
    </row>
    <row r="122" spans="1:2" x14ac:dyDescent="0.3">
      <c r="A122" s="150"/>
      <c r="B122" s="150"/>
    </row>
    <row r="123" spans="1:2" x14ac:dyDescent="0.3">
      <c r="A123" s="150"/>
      <c r="B123" s="150"/>
    </row>
    <row r="124" spans="1:2" x14ac:dyDescent="0.3">
      <c r="A124" s="150"/>
      <c r="B124" s="150"/>
    </row>
    <row r="125" spans="1:2" x14ac:dyDescent="0.3">
      <c r="A125" s="150"/>
      <c r="B125" s="150"/>
    </row>
    <row r="126" spans="1:2" x14ac:dyDescent="0.3">
      <c r="A126" s="150"/>
      <c r="B126" s="150"/>
    </row>
    <row r="127" spans="1:2" x14ac:dyDescent="0.3">
      <c r="A127" s="150"/>
      <c r="B127" s="150"/>
    </row>
    <row r="128" spans="1:2" x14ac:dyDescent="0.3">
      <c r="A128" s="150"/>
      <c r="B128" s="150"/>
    </row>
    <row r="129" spans="1:2" x14ac:dyDescent="0.3">
      <c r="A129" s="150"/>
      <c r="B129" s="150"/>
    </row>
    <row r="130" spans="1:2" x14ac:dyDescent="0.3">
      <c r="A130" s="150"/>
      <c r="B130" s="150"/>
    </row>
  </sheetData>
  <sheetProtection algorithmName="SHA-512" hashValue="R2B911IW7Z1GrXXlIohaf2z5KPyKuQfnjfBV5gEB89PnE6mpXuMC3FEZnYxwwJXwW3G8y+zx0pdcDCrqIH3Ccg==" saltValue="tNAQNx54DjcUy/zEiBZDSw==" spinCount="100000" sheet="1" formatCells="0" formatColumns="0" formatRows="0" insertHyperlinks="0" selectLockedCells="1" autoFilter="0"/>
  <mergeCells count="69">
    <mergeCell ref="B2:D2"/>
    <mergeCell ref="B1:D1"/>
    <mergeCell ref="B3:D3"/>
    <mergeCell ref="V24:V27"/>
    <mergeCell ref="V28:V31"/>
    <mergeCell ref="B6:D6"/>
    <mergeCell ref="B7:D7"/>
    <mergeCell ref="A11:C11"/>
    <mergeCell ref="D11:N11"/>
    <mergeCell ref="A4:D4"/>
    <mergeCell ref="O11:U11"/>
    <mergeCell ref="V32:V34"/>
    <mergeCell ref="V35:V38"/>
    <mergeCell ref="P72:P76"/>
    <mergeCell ref="P32:P34"/>
    <mergeCell ref="P35:P38"/>
    <mergeCell ref="P42:P46"/>
    <mergeCell ref="P50:P58"/>
    <mergeCell ref="P63:P71"/>
    <mergeCell ref="V50:V58"/>
    <mergeCell ref="V63:V71"/>
    <mergeCell ref="N80:N87"/>
    <mergeCell ref="P80:P87"/>
    <mergeCell ref="P21:P23"/>
    <mergeCell ref="P24:P27"/>
    <mergeCell ref="P28:P31"/>
    <mergeCell ref="N50:N58"/>
    <mergeCell ref="O50:O58"/>
    <mergeCell ref="O42:O46"/>
    <mergeCell ref="O63:O71"/>
    <mergeCell ref="O35:O38"/>
    <mergeCell ref="N42:N46"/>
    <mergeCell ref="O21:O23"/>
    <mergeCell ref="O24:O27"/>
    <mergeCell ref="O28:O31"/>
    <mergeCell ref="O32:O34"/>
    <mergeCell ref="W80:W87"/>
    <mergeCell ref="W42:W46"/>
    <mergeCell ref="W50:W58"/>
    <mergeCell ref="V80:V87"/>
    <mergeCell ref="O72:O76"/>
    <mergeCell ref="O80:O87"/>
    <mergeCell ref="V72:V76"/>
    <mergeCell ref="V42:V46"/>
    <mergeCell ref="W63:W71"/>
    <mergeCell ref="W72:W76"/>
    <mergeCell ref="W11:X11"/>
    <mergeCell ref="A18:C18"/>
    <mergeCell ref="D18:N18"/>
    <mergeCell ref="A40:C40"/>
    <mergeCell ref="D40:N40"/>
    <mergeCell ref="N35:N38"/>
    <mergeCell ref="N32:N34"/>
    <mergeCell ref="N28:N31"/>
    <mergeCell ref="N24:N27"/>
    <mergeCell ref="N21:N23"/>
    <mergeCell ref="W21:W23"/>
    <mergeCell ref="W24:W27"/>
    <mergeCell ref="W28:W31"/>
    <mergeCell ref="V21:V23"/>
    <mergeCell ref="W32:W34"/>
    <mergeCell ref="W35:W38"/>
    <mergeCell ref="A48:C48"/>
    <mergeCell ref="D48:N48"/>
    <mergeCell ref="A78:N78"/>
    <mergeCell ref="A60:C60"/>
    <mergeCell ref="D60:N60"/>
    <mergeCell ref="N63:N71"/>
    <mergeCell ref="N72:N76"/>
  </mergeCells>
  <conditionalFormatting sqref="B15">
    <cfRule type="expression" dxfId="1822" priority="382">
      <formula>IF($E15=TRUE,TRUE,FALSE)</formula>
    </cfRule>
  </conditionalFormatting>
  <conditionalFormatting sqref="B13">
    <cfRule type="expression" dxfId="1821" priority="381">
      <formula>IF($E13=TRUE,TRUE,FALSE)</formula>
    </cfRule>
  </conditionalFormatting>
  <conditionalFormatting sqref="B14">
    <cfRule type="expression" dxfId="1820" priority="380">
      <formula>IF($E14=TRUE,TRUE,FALSE)</formula>
    </cfRule>
  </conditionalFormatting>
  <conditionalFormatting sqref="B16">
    <cfRule type="expression" dxfId="1819" priority="379">
      <formula>IF($E16=TRUE,TRUE,FALSE)</formula>
    </cfRule>
  </conditionalFormatting>
  <conditionalFormatting sqref="D13:D16">
    <cfRule type="expression" dxfId="1818" priority="378">
      <formula>IF($E13,TRUE)</formula>
    </cfRule>
  </conditionalFormatting>
  <conditionalFormatting sqref="D42">
    <cfRule type="expression" dxfId="1817" priority="377">
      <formula>IF($E42,TRUE)</formula>
    </cfRule>
  </conditionalFormatting>
  <conditionalFormatting sqref="B42">
    <cfRule type="expression" dxfId="1816" priority="376">
      <formula>IF($E42,TRUE)</formula>
    </cfRule>
  </conditionalFormatting>
  <conditionalFormatting sqref="B43:B46">
    <cfRule type="expression" dxfId="1815" priority="13506">
      <formula>IF(AND($E43=FALSE,OR($I43&lt;&gt;"",$L43&lt;&gt;"")),TRUE,FALSE)</formula>
    </cfRule>
    <cfRule type="expression" dxfId="1814" priority="13507">
      <formula>IF(AND($E43=TRUE,OR($I43="",$J43="")),TRUE,FALSE)</formula>
    </cfRule>
    <cfRule type="expression" dxfId="1813" priority="13508">
      <formula>IF(AND($E43=TRUE,OR($I43&lt;&gt;"",$L43="")),TRUE,FALSE)</formula>
    </cfRule>
    <cfRule type="expression" dxfId="1812" priority="13509">
      <formula>IF(AND($E43=FALSE,$E$42=TRUE),TRUE,FALSE)</formula>
    </cfRule>
  </conditionalFormatting>
  <conditionalFormatting sqref="B25:B27">
    <cfRule type="expression" dxfId="1811" priority="359">
      <formula>IF(AND($E25=TRUE,$F$24&gt;1),TRUE,FALSE)</formula>
    </cfRule>
    <cfRule type="expression" dxfId="1810" priority="360">
      <formula>IF(AND($E25=FALSE,OR($I25&lt;&gt;"",$L25&lt;&gt;"")),TRUE,FALSE)</formula>
    </cfRule>
    <cfRule type="expression" dxfId="1809" priority="361">
      <formula>IF(AND($E25=TRUE,OR($I25="",$J25="")),TRUE,FALSE)</formula>
    </cfRule>
    <cfRule type="expression" dxfId="1808" priority="362">
      <formula>IF(AND($E25=TRUE,AND($I25&lt;&gt;"",$L25&lt;&gt;"")),TRUE,FALSE)</formula>
    </cfRule>
    <cfRule type="expression" dxfId="1807" priority="363">
      <formula>IF(AND($E25=FALSE,$E$24=TRUE),TRUE,FALSE)</formula>
    </cfRule>
  </conditionalFormatting>
  <conditionalFormatting sqref="B24 D24">
    <cfRule type="expression" dxfId="1806" priority="357" stopIfTrue="1">
      <formula>IF(AND($F$24&gt;1,$E24=TRUE),TRUE,FALSE)</formula>
    </cfRule>
    <cfRule type="expression" dxfId="1805" priority="358" stopIfTrue="1">
      <formula>IF(AND($F$24=1,$E24=TRUE),TRUE,FALSE)</formula>
    </cfRule>
  </conditionalFormatting>
  <conditionalFormatting sqref="B22:B23">
    <cfRule type="expression" dxfId="1804" priority="348">
      <formula>IF(AND($E22=FALSE,OR($I22&lt;&gt;"",$L22&lt;&gt;"")),TRUE,FALSE)</formula>
    </cfRule>
    <cfRule type="expression" dxfId="1803" priority="349">
      <formula>IF(AND($E22=TRUE,OR($I22="",$J22="")),TRUE,FALSE)</formula>
    </cfRule>
    <cfRule type="expression" dxfId="1802" priority="350">
      <formula>IF(AND($E22=TRUE,OR($I22&lt;&gt;"",$L22="")),TRUE,FALSE)</formula>
    </cfRule>
    <cfRule type="expression" dxfId="1801" priority="351">
      <formula>IF(AND($E22=FALSE,$E$21=TRUE),TRUE,FALSE)</formula>
    </cfRule>
  </conditionalFormatting>
  <conditionalFormatting sqref="B33:B34">
    <cfRule type="expression" dxfId="1800" priority="344">
      <formula>IF(AND($E33=FALSE,OR($I33&lt;&gt;"",$L33&lt;&gt;"")),TRUE,FALSE)</formula>
    </cfRule>
    <cfRule type="expression" dxfId="1799" priority="345">
      <formula>IF(AND($E33=TRUE,OR($I33="",$J33="")),TRUE,FALSE)</formula>
    </cfRule>
    <cfRule type="expression" dxfId="1798" priority="346">
      <formula>IF(AND($E33=TRUE,OR($I33&lt;&gt;"",$L33="")),TRUE,FALSE)</formula>
    </cfRule>
    <cfRule type="expression" dxfId="1797" priority="347">
      <formula>IF(AND($E33=FALSE,$E$32=TRUE),TRUE,FALSE)</formula>
    </cfRule>
  </conditionalFormatting>
  <conditionalFormatting sqref="B32 D32">
    <cfRule type="expression" dxfId="1796" priority="311">
      <formula>IF($E32,TRUE)</formula>
    </cfRule>
  </conditionalFormatting>
  <conditionalFormatting sqref="B28 D28">
    <cfRule type="expression" dxfId="1795" priority="310">
      <formula>IF($E28,TRUE)</formula>
    </cfRule>
  </conditionalFormatting>
  <conditionalFormatting sqref="D20:D21 B20:B21">
    <cfRule type="expression" dxfId="1794" priority="309">
      <formula>IF($E20,TRUE)</formula>
    </cfRule>
  </conditionalFormatting>
  <conditionalFormatting sqref="B35 D35">
    <cfRule type="expression" dxfId="1793" priority="308">
      <formula>IF($E35,TRUE)</formula>
    </cfRule>
  </conditionalFormatting>
  <conditionalFormatting sqref="B50">
    <cfRule type="expression" dxfId="1792" priority="307">
      <formula>IF($E50,TRUE)</formula>
    </cfRule>
  </conditionalFormatting>
  <conditionalFormatting sqref="B51:B52">
    <cfRule type="expression" dxfId="1791" priority="306">
      <formula>IF($E51,TRUE)</formula>
    </cfRule>
  </conditionalFormatting>
  <conditionalFormatting sqref="B62:B63">
    <cfRule type="expression" dxfId="1790" priority="305">
      <formula>IF($E62,TRUE)</formula>
    </cfRule>
  </conditionalFormatting>
  <conditionalFormatting sqref="B72">
    <cfRule type="expression" dxfId="1789" priority="304">
      <formula>IF($E72,TRUE)</formula>
    </cfRule>
  </conditionalFormatting>
  <conditionalFormatting sqref="B80:B81">
    <cfRule type="expression" dxfId="1788" priority="303">
      <formula>IF($E80,TRUE)</formula>
    </cfRule>
  </conditionalFormatting>
  <conditionalFormatting sqref="B53:B58">
    <cfRule type="expression" dxfId="1787" priority="299">
      <formula>IF(AND($E53=FALSE,OR($I53&lt;&gt;"",$L53&lt;&gt;"")),TRUE,FALSE)</formula>
    </cfRule>
    <cfRule type="expression" dxfId="1786" priority="300">
      <formula>IF(AND($E53=TRUE,OR($I53="",$J53="")),TRUE,FALSE)</formula>
    </cfRule>
    <cfRule type="expression" dxfId="1785" priority="301">
      <formula>IF(AND($E53=TRUE,OR($I53&lt;&gt;"",$L53="")),TRUE,FALSE)</formula>
    </cfRule>
    <cfRule type="expression" dxfId="1784" priority="302">
      <formula>IF(AND($E53=FALSE,$E$51=TRUE),TRUE,FALSE)</formula>
    </cfRule>
  </conditionalFormatting>
  <conditionalFormatting sqref="B64:B71">
    <cfRule type="expression" dxfId="1783" priority="295">
      <formula>IF(AND($E64=FALSE,OR($I64&lt;&gt;"",$L64&lt;&gt;"")),TRUE,FALSE)</formula>
    </cfRule>
    <cfRule type="expression" dxfId="1782" priority="296">
      <formula>IF(AND($E64=TRUE,OR($I64="",$J64="")),TRUE,FALSE)</formula>
    </cfRule>
    <cfRule type="expression" dxfId="1781" priority="297">
      <formula>IF(AND($E64=TRUE,OR($I64&lt;&gt;"",$L64="")),TRUE,FALSE)</formula>
    </cfRule>
    <cfRule type="expression" dxfId="1780" priority="298">
      <formula>IF(AND($E64=FALSE,$E$63=TRUE),TRUE,FALSE)</formula>
    </cfRule>
  </conditionalFormatting>
  <conditionalFormatting sqref="B73:B76">
    <cfRule type="expression" dxfId="1779" priority="291">
      <formula>IF(AND($E73=FALSE,OR($I73&lt;&gt;"",$L73&lt;&gt;"")),TRUE,FALSE)</formula>
    </cfRule>
    <cfRule type="expression" dxfId="1778" priority="292">
      <formula>IF(AND($E73=TRUE,OR($I73="",$J73="")),TRUE,FALSE)</formula>
    </cfRule>
    <cfRule type="expression" dxfId="1777" priority="293">
      <formula>IF(AND($E73=TRUE,OR($I73&lt;&gt;"",$L73="")),TRUE,FALSE)</formula>
    </cfRule>
    <cfRule type="expression" dxfId="1776" priority="294">
      <formula>IF(AND($E73=FALSE,$E$72=TRUE),TRUE,FALSE)</formula>
    </cfRule>
  </conditionalFormatting>
  <conditionalFormatting sqref="B82:B87">
    <cfRule type="expression" dxfId="1775" priority="287">
      <formula>IF(AND($E82=FALSE,OR($I82&lt;&gt;"",$L82&lt;&gt;"")),TRUE,FALSE)</formula>
    </cfRule>
    <cfRule type="expression" dxfId="1774" priority="288">
      <formula>IF(AND($E82=TRUE,OR($I82="",$J82="")),TRUE,FALSE)</formula>
    </cfRule>
    <cfRule type="expression" dxfId="1773" priority="289">
      <formula>IF(AND($E82=TRUE,OR($I82&lt;&gt;"",$L82="")),TRUE,FALSE)</formula>
    </cfRule>
    <cfRule type="expression" dxfId="1772" priority="290">
      <formula>IF(AND($E82=FALSE,$E$81=TRUE),TRUE,FALSE)</formula>
    </cfRule>
  </conditionalFormatting>
  <conditionalFormatting sqref="D62">
    <cfRule type="expression" dxfId="1771" priority="246">
      <formula>IF($E62,TRUE)</formula>
    </cfRule>
  </conditionalFormatting>
  <conditionalFormatting sqref="D63">
    <cfRule type="expression" dxfId="1770" priority="245">
      <formula>IF($E63,TRUE)</formula>
    </cfRule>
  </conditionalFormatting>
  <conditionalFormatting sqref="D72">
    <cfRule type="expression" dxfId="1769" priority="244">
      <formula>IF($E72,TRUE)</formula>
    </cfRule>
  </conditionalFormatting>
  <conditionalFormatting sqref="D80">
    <cfRule type="expression" dxfId="1768" priority="243">
      <formula>IF($E80,TRUE)</formula>
    </cfRule>
  </conditionalFormatting>
  <conditionalFormatting sqref="D81">
    <cfRule type="expression" dxfId="1767" priority="242">
      <formula>IF($E81,TRUE)</formula>
    </cfRule>
  </conditionalFormatting>
  <conditionalFormatting sqref="D51">
    <cfRule type="expression" dxfId="1766" priority="241">
      <formula>IF($E51,TRUE)</formula>
    </cfRule>
  </conditionalFormatting>
  <conditionalFormatting sqref="D52">
    <cfRule type="expression" dxfId="1765" priority="240">
      <formula>IF($E52,TRUE)</formula>
    </cfRule>
  </conditionalFormatting>
  <conditionalFormatting sqref="B29:B31">
    <cfRule type="expression" dxfId="1764" priority="352">
      <formula>IF(AND($E29=FALSE,OR($I29&lt;&gt;"",$L29&lt;&gt;"")),TRUE,FALSE)</formula>
    </cfRule>
    <cfRule type="expression" dxfId="1763" priority="353">
      <formula>IF(AND($E29=TRUE,OR($I29="",$J29="")),TRUE,FALSE)</formula>
    </cfRule>
    <cfRule type="expression" dxfId="1762" priority="354">
      <formula>IF(AND($E29=TRUE,OR($I29&lt;&gt;"",$L29="")),TRUE,FALSE)</formula>
    </cfRule>
  </conditionalFormatting>
  <conditionalFormatting sqref="B36:B38">
    <cfRule type="expression" dxfId="1761" priority="228">
      <formula>IF(AND($E36=FALSE,OR($I36&lt;&gt;"",$L36&lt;&gt;"")),TRUE,FALSE)</formula>
    </cfRule>
    <cfRule type="expression" dxfId="1760" priority="229">
      <formula>IF(AND($E36=TRUE,OR($I36="",$J36="")),TRUE,FALSE)</formula>
    </cfRule>
    <cfRule type="expression" dxfId="1759" priority="230">
      <formula>IF(AND($E36=TRUE,OR($I36&lt;&gt;"",$L36="")),TRUE,FALSE)</formula>
    </cfRule>
    <cfRule type="expression" dxfId="1758" priority="231">
      <formula>IF(AND($E36=FALSE,$E$35=TRUE),TRUE,FALSE)</formula>
    </cfRule>
  </conditionalFormatting>
  <conditionalFormatting sqref="B9">
    <cfRule type="expression" dxfId="1757" priority="219">
      <formula>IF($E9,TRUE)</formula>
    </cfRule>
  </conditionalFormatting>
  <conditionalFormatting sqref="V13:V16">
    <cfRule type="expression" dxfId="1756" priority="151">
      <formula>IF($O13=FALSE,TRUE,FALSE)</formula>
    </cfRule>
    <cfRule type="expression" dxfId="1755" priority="152">
      <formula>IF($O13=TRUE,TRUE,FALSE)</formula>
    </cfRule>
  </conditionalFormatting>
  <conditionalFormatting sqref="N80 N63 N72 N42">
    <cfRule type="expression" dxfId="1754" priority="144">
      <formula>IF($N42="Compliant",TRUE)</formula>
    </cfRule>
    <cfRule type="expression" dxfId="1753" priority="145">
      <formula>IF($N42="FE with work-a-round",TRUE)</formula>
    </cfRule>
    <cfRule type="expression" dxfId="1752" priority="146">
      <formula>IF($N42="Functionally Equivalent",TRUE)</formula>
    </cfRule>
    <cfRule type="expression" dxfId="1751" priority="147">
      <formula>IF($N42="Likely to become compliant",TRUE)</formula>
    </cfRule>
    <cfRule type="expression" dxfId="1750" priority="148">
      <formula>IF($N42="Partly Compliant",TRUE)</formula>
    </cfRule>
  </conditionalFormatting>
  <conditionalFormatting sqref="V21 V50 V63:V76 V80 V42 V24:V38">
    <cfRule type="expression" dxfId="1749" priority="135">
      <formula>IF(V21="Compliant",TRUE)</formula>
    </cfRule>
    <cfRule type="expression" dxfId="1748" priority="136">
      <formula>IF(V21="FE with work-a-round",TRUE)</formula>
    </cfRule>
    <cfRule type="expression" dxfId="1747" priority="137">
      <formula>IF(V21="Functionally Equivalent",TRUE)</formula>
    </cfRule>
    <cfRule type="expression" dxfId="1746" priority="138">
      <formula>IF(V21="Likely to become compliant",TRUE)</formula>
    </cfRule>
    <cfRule type="expression" dxfId="1745" priority="139">
      <formula>IF(V21="Partly Compliant",TRUE)</formula>
    </cfRule>
    <cfRule type="expression" dxfId="1744" priority="140">
      <formula>IF(V21="Unknown/Missing",TRUE)</formula>
    </cfRule>
    <cfRule type="expression" dxfId="1743" priority="141">
      <formula>IF(V21="Not Required/Applicable",TRUE)</formula>
    </cfRule>
    <cfRule type="expression" dxfId="1742" priority="142">
      <formula>IF(V21="Not Compliant",TRUE)</formula>
    </cfRule>
    <cfRule type="expression" dxfId="1741" priority="143">
      <formula>IF($N21=" ",TRUE)</formula>
    </cfRule>
  </conditionalFormatting>
  <conditionalFormatting sqref="Q50">
    <cfRule type="expression" dxfId="1740" priority="115">
      <formula>IF($O$17=FALSE,TRUE,FALSE)</formula>
    </cfRule>
    <cfRule type="expression" dxfId="1739" priority="116">
      <formula>IF($O$17=TRUE,TRUE,FALSE)</formula>
    </cfRule>
  </conditionalFormatting>
  <conditionalFormatting sqref="Q51">
    <cfRule type="expression" dxfId="1738" priority="113">
      <formula>IF($O$17=FALSE,TRUE,FALSE)</formula>
    </cfRule>
    <cfRule type="expression" dxfId="1737" priority="114">
      <formula>IF($O$17=TRUE,TRUE,FALSE)</formula>
    </cfRule>
  </conditionalFormatting>
  <conditionalFormatting sqref="Q52">
    <cfRule type="expression" dxfId="1736" priority="111">
      <formula>IF($O$17=FALSE,TRUE,FALSE)</formula>
    </cfRule>
    <cfRule type="expression" dxfId="1735" priority="112">
      <formula>IF($O$17=TRUE,TRUE,FALSE)</formula>
    </cfRule>
  </conditionalFormatting>
  <conditionalFormatting sqref="N13:N16 N20 N62">
    <cfRule type="expression" dxfId="1734" priority="155">
      <formula>IF(O13=FALSE,TRUE,FALSE)</formula>
    </cfRule>
    <cfRule type="expression" dxfId="1733" priority="156">
      <formula>IF(O13=TRUE,TRUE,FALSE)</formula>
    </cfRule>
  </conditionalFormatting>
  <conditionalFormatting sqref="Q13:Q16 Q20:Q21 Q24 Q28 Q32 Q35 Q50:Q52 Q62:Q63 Q72 Q80:Q81 Q42">
    <cfRule type="expression" dxfId="1732" priority="153">
      <formula>IF($R13=FALSE,TRUE,FALSE)</formula>
    </cfRule>
    <cfRule type="expression" dxfId="1731" priority="154">
      <formula>IF($R13=TRUE,TRUE,FALSE)</formula>
    </cfRule>
  </conditionalFormatting>
  <conditionalFormatting sqref="N21:N38 N42 N63:N76 N80 N50:N58">
    <cfRule type="expression" dxfId="1730" priority="102">
      <formula>IF($N21="Compliant",TRUE)</formula>
    </cfRule>
    <cfRule type="expression" dxfId="1729" priority="103">
      <formula>IF($N21="FE with work-a-round",TRUE)</formula>
    </cfRule>
    <cfRule type="expression" dxfId="1728" priority="104">
      <formula>IF($N21="Functionally Equivalent",TRUE)</formula>
    </cfRule>
    <cfRule type="expression" dxfId="1727" priority="105">
      <formula>IF($N21="Likely to become compliant",TRUE)</formula>
    </cfRule>
    <cfRule type="expression" dxfId="1726" priority="106">
      <formula>IF($N21="Partly Compliant",TRUE)</formula>
    </cfRule>
    <cfRule type="expression" dxfId="1725" priority="107">
      <formula>IF($N21="Unknown/Missing",TRUE)</formula>
    </cfRule>
    <cfRule type="expression" dxfId="1724" priority="108">
      <formula>IF($N21="Not Required/Applicable",TRUE)</formula>
    </cfRule>
    <cfRule type="expression" dxfId="1723" priority="109">
      <formula>IF($N21="Not Compliant",TRUE)</formula>
    </cfRule>
    <cfRule type="expression" dxfId="1722" priority="110">
      <formula>IF($N21=" ",TRUE)</formula>
    </cfRule>
  </conditionalFormatting>
  <conditionalFormatting sqref="N50">
    <cfRule type="expression" dxfId="1721" priority="97">
      <formula>IF($N50="Compliant",TRUE)</formula>
    </cfRule>
    <cfRule type="expression" dxfId="1720" priority="98">
      <formula>IF($N50="FE with work-a-round",TRUE)</formula>
    </cfRule>
    <cfRule type="expression" dxfId="1719" priority="99">
      <formula>IF($N50="Functionally Equivalent",TRUE)</formula>
    </cfRule>
    <cfRule type="expression" dxfId="1718" priority="100">
      <formula>IF($N50="Likely to become compliant",TRUE)</formula>
    </cfRule>
    <cfRule type="expression" dxfId="1717" priority="101">
      <formula>IF($N50="Partly Compliant",TRUE)</formula>
    </cfRule>
  </conditionalFormatting>
  <conditionalFormatting sqref="V20">
    <cfRule type="expression" dxfId="1716" priority="85">
      <formula>IF(W20=TRUE,TRUE,FALSE)</formula>
    </cfRule>
  </conditionalFormatting>
  <conditionalFormatting sqref="V20">
    <cfRule type="expression" dxfId="1715" priority="84">
      <formula>IF(W20=FALSE,TRUE,FALSE)</formula>
    </cfRule>
  </conditionalFormatting>
  <conditionalFormatting sqref="Q24">
    <cfRule type="expression" dxfId="1714" priority="64">
      <formula>IF(Q24="Compliant",TRUE)</formula>
    </cfRule>
    <cfRule type="expression" dxfId="1713" priority="65">
      <formula>IF(Q24="FE with work-a-round",TRUE)</formula>
    </cfRule>
    <cfRule type="expression" dxfId="1712" priority="66">
      <formula>IF(Q24="Functionally Equivalent",TRUE)</formula>
    </cfRule>
    <cfRule type="expression" dxfId="1711" priority="67">
      <formula>IF($Q24="Likely to become compliant",TRUE)</formula>
    </cfRule>
    <cfRule type="expression" dxfId="1710" priority="68">
      <formula>IF($Q24="Partly Compliant",TRUE)</formula>
    </cfRule>
    <cfRule type="expression" dxfId="1709" priority="69">
      <formula>IF($Q24="Unknown/Missing",TRUE)</formula>
    </cfRule>
    <cfRule type="expression" dxfId="1708" priority="70">
      <formula>IF($Q24="Not Required/Applicable",TRUE)</formula>
    </cfRule>
    <cfRule type="expression" dxfId="1707" priority="71">
      <formula>IF(Q24="Not Compliant",TRUE)</formula>
    </cfRule>
    <cfRule type="expression" dxfId="1706" priority="72">
      <formula>IF(Q24=" ",TRUE)</formula>
    </cfRule>
  </conditionalFormatting>
  <conditionalFormatting sqref="Q42">
    <cfRule type="expression" dxfId="1705" priority="62">
      <formula>IF($O$17=FALSE,TRUE,FALSE)</formula>
    </cfRule>
    <cfRule type="expression" dxfId="1704" priority="63">
      <formula>IF($O$17=TRUE,TRUE,FALSE)</formula>
    </cfRule>
  </conditionalFormatting>
  <conditionalFormatting sqref="V62">
    <cfRule type="expression" dxfId="1703" priority="52">
      <formula>IF($W62=FALSE,TRUE,FALSE)</formula>
    </cfRule>
    <cfRule type="expression" dxfId="1702" priority="53">
      <formula>IF($W62=TRUE,TRUE,FALSE)</formula>
    </cfRule>
  </conditionalFormatting>
  <conditionalFormatting sqref="D9 N9 Q9 V9">
    <cfRule type="expression" dxfId="1701" priority="50">
      <formula>IF(D9="Not Applicable",TRUE)</formula>
    </cfRule>
    <cfRule type="expression" dxfId="1700" priority="51">
      <formula>IF(D9="Applicable",TRUE)</formula>
    </cfRule>
    <cfRule type="expression" dxfId="1699" priority="220">
      <formula>IF(D9=" ",TRUE)</formula>
    </cfRule>
  </conditionalFormatting>
  <conditionalFormatting sqref="Q53:Q58">
    <cfRule type="expression" dxfId="1698" priority="11">
      <formula>IF(Q53="Compliant",TRUE)</formula>
    </cfRule>
    <cfRule type="expression" dxfId="1697" priority="12">
      <formula>IF(Q53="FE with work-a-round",TRUE)</formula>
    </cfRule>
    <cfRule type="expression" dxfId="1696" priority="13">
      <formula>IF(Q53="Functionally Equivalent",TRUE)</formula>
    </cfRule>
    <cfRule type="expression" dxfId="1695" priority="14">
      <formula>IF(Q53="Likely to become compliant",TRUE)</formula>
    </cfRule>
    <cfRule type="expression" dxfId="1694" priority="15">
      <formula>IF(Q53="Partly Compliant",TRUE)</formula>
    </cfRule>
    <cfRule type="expression" dxfId="1693" priority="16">
      <formula>IF(Q53="Unknown/Missing",TRUE)</formula>
    </cfRule>
    <cfRule type="expression" dxfId="1692" priority="17">
      <formula>IF(Q53="Not Required/Applicable",TRUE)</formula>
    </cfRule>
    <cfRule type="expression" dxfId="1691" priority="18">
      <formula>IF(Q53="Not Compliant",TRUE)</formula>
    </cfRule>
    <cfRule type="expression" dxfId="1690" priority="19">
      <formula>IF($N53=" ",TRUE)</formula>
    </cfRule>
  </conditionalFormatting>
  <conditionalFormatting sqref="Q82:Q87 Q73:Q76 Q64:Q71 Q43:Q46 Q36:Q38 Q33:Q34 Q29:Q31 Q25:Q27 Q22:Q23">
    <cfRule type="expression" dxfId="1689" priority="2">
      <formula>IF($Q22="Compliant",TRUE)</formula>
    </cfRule>
    <cfRule type="expression" dxfId="1688" priority="3">
      <formula>IF($Q22="FE with work-a-round",TRUE)</formula>
    </cfRule>
    <cfRule type="expression" dxfId="1687" priority="4">
      <formula>IF($Q22="Functionally Equivalent",TRUE)</formula>
    </cfRule>
    <cfRule type="expression" dxfId="1686" priority="5">
      <formula>IF($Q22="Likely to become compliant",TRUE)</formula>
    </cfRule>
    <cfRule type="expression" dxfId="1685" priority="6">
      <formula>IF($Q22="Partly Compliant",TRUE)</formula>
    </cfRule>
    <cfRule type="expression" dxfId="1684" priority="7">
      <formula>IF($Q22="Unknown/Missing",TRUE)</formula>
    </cfRule>
    <cfRule type="expression" dxfId="1683" priority="8">
      <formula>IF($Q22="Not Required/Applicable",TRUE)</formula>
    </cfRule>
    <cfRule type="expression" dxfId="1682" priority="9">
      <formula>IF($Q22="Not Compliant",TRUE)</formula>
    </cfRule>
    <cfRule type="expression" dxfId="1681" priority="10">
      <formula>IF($Q22=" ",TRUE)</formula>
    </cfRule>
  </conditionalFormatting>
  <conditionalFormatting sqref="D22:D23 D25:D27 D29:D31 D33:D34 D36:D38 D43:D46 D53:D58 D64:D71 D73:D76 D82:D87">
    <cfRule type="expression" dxfId="1680" priority="312">
      <formula>IF($D22="Compliant",TRUE)</formula>
    </cfRule>
    <cfRule type="expression" dxfId="1679" priority="313">
      <formula>IF($D22=" ",TRUE)</formula>
    </cfRule>
    <cfRule type="expression" dxfId="1678" priority="319">
      <formula>IF($D22="Not Compliant",TRUE)</formula>
    </cfRule>
  </conditionalFormatting>
  <dataValidations count="1">
    <dataValidation type="list" allowBlank="1" showInputMessage="1" showErrorMessage="1" sqref="V59 N59">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14" id="{20D13BED-A7F3-4B65-8FFB-0E7A1253D90B}">
            <xm:f>ISNUMBER(SEARCH($D22,Dropdowns!$D$18))</xm:f>
            <x14:dxf>
              <fill>
                <patternFill>
                  <bgColor rgb="FFFFFF00"/>
                </patternFill>
              </fill>
            </x14:dxf>
          </x14:cfRule>
          <x14:cfRule type="expression" priority="315" id="{E7B7E3E3-06A7-42AB-9D47-5DE8EF1CA665}">
            <xm:f>ISNUMBER(SEARCH($D22,Dropdowns!$D$19))</xm:f>
            <x14:dxf>
              <fill>
                <patternFill>
                  <bgColor theme="6" tint="0.39994506668294322"/>
                </patternFill>
              </fill>
            </x14:dxf>
          </x14:cfRule>
          <x14:cfRule type="expression" priority="316" id="{BBB5DA57-EAFF-47B6-BDBC-B4E7ECB5F61C}">
            <xm:f>ISNUMBER(SEARCH($D22,Dropdowns!$D$20))</xm:f>
            <x14:dxf>
              <fill>
                <patternFill>
                  <bgColor theme="6" tint="0.39994506668294322"/>
                </patternFill>
              </fill>
            </x14:dxf>
          </x14:cfRule>
          <x14:cfRule type="expression" priority="317" id="{76F2685A-C0D1-442E-804C-43673C19E450}">
            <xm:f>ISNUMBER(SEARCH($D22,Dropdowns!$D$21))</xm:f>
            <x14:dxf>
              <fill>
                <patternFill>
                  <bgColor rgb="FFFFFF00"/>
                </patternFill>
              </fill>
            </x14:dxf>
          </x14:cfRule>
          <x14:cfRule type="expression" priority="318" id="{F006239A-E2EB-4C83-A98B-20511712A6CB}">
            <xm:f>ISNUMBER(SEARCH($D22,Dropdowns!$D$23))</xm:f>
            <x14:dxf>
              <fill>
                <patternFill>
                  <bgColor rgb="FFFFFF00"/>
                </patternFill>
              </fill>
            </x14:dxf>
          </x14:cfRule>
          <xm:sqref>D22:D23 D25:D27 D29:D31 D33:D34 D36:D38 D43:D46 D53:D58 D64:D71 D73:D76 D82:D87</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Dropdowns!$C$11:$C$13</xm:f>
          </x14:formula1>
          <xm:sqref>N9 D9 V9 Q9</xm:sqref>
        </x14:dataValidation>
        <x14:dataValidation type="list" allowBlank="1" showInputMessage="1" showErrorMessage="1">
          <x14:formula1>
            <xm:f>Dropdowns!$F$9:$F$12</xm:f>
          </x14:formula1>
          <xm:sqref>V77 V61 N79 N61 V79 N77</xm:sqref>
        </x14:dataValidation>
        <x14:dataValidation type="list" allowBlank="1" showInputMessage="1" showErrorMessage="1">
          <x14:formula1>
            <xm:f>Dropdowns!$F$9:$F$13</xm:f>
          </x14:formula1>
          <xm:sqref>V24</xm:sqref>
        </x14:dataValidation>
        <x14:dataValidation type="list" allowBlank="1" showInputMessage="1" showErrorMessage="1">
          <x14:formula1>
            <xm:f>Dropdowns!$D$16:$D$23</xm:f>
          </x14:formula1>
          <xm:sqref>D53:D58 D64:D71 D73:D76 D82:D87 D43:D46 D29:D31 D25:D27 D22:D23 D33:D34 D36:D38</xm:sqref>
        </x14:dataValidation>
        <x14:dataValidation type="list" allowBlank="1" showInputMessage="1" showErrorMessage="1">
          <x14:formula1>
            <xm:f>Dropdowns!$F$2:$F$8</xm:f>
          </x14:formula1>
          <xm:sqref>N21:N38 N63:N66 N72:N75 N80:N83 N42:N45 N50:N58</xm:sqref>
        </x14:dataValidation>
        <x14:dataValidation type="list" allowBlank="1" showInputMessage="1" showErrorMessage="1">
          <x14:formula1>
            <xm:f>Dropdowns!$G$11:$G$16</xm:f>
          </x14:formula1>
          <xm:sqref>V42 V28:V38 V80:V87 V50:V58 V63:V76 V21</xm:sqref>
        </x14:dataValidation>
        <x14:dataValidation type="list" allowBlank="1" showInputMessage="1" showErrorMessage="1">
          <x14:formula1>
            <xm:f>Dropdowns!$E$11:$E$15</xm:f>
          </x14:formula1>
          <xm:sqref>Q36:Q38 Q43:Q46 Q64:Q71 Q73:Q76 Q53:Q58 Q22:Q23 Q25:Q27 Q29:Q31 Q33:Q34 Q82:Q87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92"/>
  <sheetViews>
    <sheetView topLeftCell="B1" zoomScale="75" zoomScaleNormal="75" workbookViewId="0">
      <selection activeCell="A4" sqref="A4:D4"/>
    </sheetView>
  </sheetViews>
  <sheetFormatPr defaultRowHeight="13" x14ac:dyDescent="0.3"/>
  <cols>
    <col min="1" max="1" width="0" hidden="1" customWidth="1"/>
    <col min="2" max="3" width="43.796875" customWidth="1"/>
    <col min="4" max="4" width="29" customWidth="1"/>
    <col min="5" max="6" width="9.69921875" hidden="1" customWidth="1"/>
    <col min="7" max="8" width="8.796875" hidden="1" customWidth="1"/>
    <col min="9" max="9" width="59.796875" customWidth="1"/>
    <col min="10" max="10" width="8.3984375" hidden="1" customWidth="1"/>
    <col min="11" max="11" width="9.19921875" hidden="1" customWidth="1"/>
    <col min="12" max="12" width="26.19921875" customWidth="1"/>
    <col min="13" max="14" width="26.296875" customWidth="1"/>
    <col min="15" max="15" width="0" hidden="1" customWidth="1"/>
    <col min="16" max="16" width="37" customWidth="1"/>
    <col min="17" max="17" width="12" hidden="1" customWidth="1"/>
    <col min="18" max="18" width="55.19921875" customWidth="1"/>
    <col min="19" max="19" width="36.69921875" customWidth="1"/>
    <col min="20" max="20" width="40.3984375" customWidth="1"/>
    <col min="21" max="21" width="27.296875" customWidth="1"/>
    <col min="22" max="22" width="0" hidden="1" customWidth="1"/>
    <col min="23" max="23" width="51.69921875" style="14" customWidth="1"/>
    <col min="24" max="24" width="32.296875" customWidth="1"/>
    <col min="25" max="25" width="26.296875" customWidth="1"/>
  </cols>
  <sheetData>
    <row r="1" spans="1:25" ht="69" customHeight="1" x14ac:dyDescent="0.3">
      <c r="B1" s="4521"/>
      <c r="C1" s="4521"/>
      <c r="D1" s="4521"/>
    </row>
    <row r="2" spans="1:25" ht="99.75" customHeight="1" x14ac:dyDescent="0.3">
      <c r="B2" s="4398" t="s">
        <v>2280</v>
      </c>
      <c r="C2" s="4494"/>
      <c r="D2" s="4494"/>
    </row>
    <row r="3" spans="1:25" x14ac:dyDescent="0.3">
      <c r="B3" s="4643"/>
      <c r="C3" s="4643"/>
      <c r="D3" s="4643"/>
    </row>
    <row r="4" spans="1:25" s="1085" customFormat="1" ht="54" customHeight="1" thickBot="1" x14ac:dyDescent="0.35">
      <c r="A4" s="4917" t="s">
        <v>1885</v>
      </c>
      <c r="B4" s="4917"/>
      <c r="C4" s="4917"/>
      <c r="D4" s="4917"/>
      <c r="E4" s="1106"/>
      <c r="F4" s="1107"/>
      <c r="G4" s="1107"/>
      <c r="H4" s="1107"/>
      <c r="I4" s="1107"/>
      <c r="J4" s="1107"/>
      <c r="K4" s="1107"/>
      <c r="W4" s="560"/>
    </row>
    <row r="5" spans="1:25" s="225" customFormat="1" ht="40.5" customHeight="1" thickTop="1" thickBot="1" x14ac:dyDescent="0.35">
      <c r="A5" s="1103"/>
      <c r="B5" s="1103" t="s">
        <v>1872</v>
      </c>
      <c r="C5" s="1103" t="s">
        <v>1873</v>
      </c>
      <c r="D5" s="1103" t="s">
        <v>1236</v>
      </c>
      <c r="E5" s="1103"/>
      <c r="F5" s="1103"/>
      <c r="G5" s="1104"/>
      <c r="H5" s="1103"/>
      <c r="I5" s="1103" t="s">
        <v>458</v>
      </c>
      <c r="J5" s="1104"/>
      <c r="K5" s="1104"/>
      <c r="L5" s="1103" t="s">
        <v>408</v>
      </c>
      <c r="M5" s="1103" t="s">
        <v>466</v>
      </c>
      <c r="N5" s="1104" t="s">
        <v>465</v>
      </c>
      <c r="O5" s="1103"/>
      <c r="P5" s="1103" t="s">
        <v>1212</v>
      </c>
      <c r="Q5" s="1103"/>
      <c r="R5" s="1103" t="s">
        <v>396</v>
      </c>
      <c r="S5" s="1103" t="s">
        <v>409</v>
      </c>
      <c r="T5" s="1103" t="s">
        <v>1211</v>
      </c>
      <c r="U5" s="1103" t="s">
        <v>1801</v>
      </c>
      <c r="V5" s="1103"/>
      <c r="W5" s="1103" t="s">
        <v>10</v>
      </c>
      <c r="X5" s="1103" t="s">
        <v>11</v>
      </c>
      <c r="Y5" s="1103" t="s">
        <v>12</v>
      </c>
    </row>
    <row r="6" spans="1:25" ht="19" thickTop="1" x14ac:dyDescent="0.3">
      <c r="A6" s="250"/>
      <c r="B6" s="4918" t="s">
        <v>900</v>
      </c>
      <c r="C6" s="4918"/>
      <c r="D6" s="4919"/>
    </row>
    <row r="7" spans="1:25" ht="45.65" customHeight="1" thickBot="1" x14ac:dyDescent="0.35">
      <c r="A7" s="251"/>
      <c r="B7" s="4920" t="s">
        <v>1893</v>
      </c>
      <c r="C7" s="4920"/>
      <c r="D7" s="4921"/>
    </row>
    <row r="8" spans="1:25" ht="15.5" thickTop="1" thickBot="1" x14ac:dyDescent="0.35">
      <c r="A8" s="14"/>
      <c r="B8" s="103"/>
    </row>
    <row r="9" spans="1:25" s="2" customFormat="1" ht="39" customHeight="1" thickTop="1" thickBot="1" x14ac:dyDescent="0.35">
      <c r="A9" s="57"/>
      <c r="B9" s="1133" t="s">
        <v>901</v>
      </c>
      <c r="C9" s="400"/>
      <c r="D9" s="400"/>
      <c r="E9" s="400" t="b">
        <v>0</v>
      </c>
      <c r="F9" s="400"/>
      <c r="G9" s="400"/>
      <c r="H9" s="400"/>
      <c r="I9" s="400"/>
      <c r="J9" s="400"/>
      <c r="K9" s="400"/>
      <c r="L9" s="400"/>
      <c r="M9" s="400"/>
      <c r="N9" s="538"/>
      <c r="O9" s="53"/>
      <c r="P9" s="53"/>
      <c r="Q9" s="53"/>
      <c r="R9" s="53"/>
      <c r="S9" s="53"/>
      <c r="T9" s="53"/>
      <c r="U9" s="53"/>
      <c r="V9" s="53"/>
      <c r="W9" s="53"/>
      <c r="X9" s="53"/>
      <c r="Y9" s="53"/>
    </row>
    <row r="10" spans="1:25" ht="18" customHeight="1" thickTop="1" thickBot="1" x14ac:dyDescent="0.35">
      <c r="A10" s="14"/>
      <c r="B10" s="535"/>
      <c r="C10" s="535"/>
      <c r="D10" s="535"/>
    </row>
    <row r="11" spans="1:25" s="2" customFormat="1" ht="19" thickTop="1" x14ac:dyDescent="0.3">
      <c r="A11" s="4911" t="s">
        <v>1254</v>
      </c>
      <c r="B11" s="4912"/>
      <c r="C11" s="4912"/>
      <c r="D11" s="4912"/>
      <c r="E11" s="4912"/>
      <c r="F11" s="4912"/>
      <c r="G11" s="4912"/>
      <c r="H11" s="4912"/>
      <c r="I11" s="4912"/>
      <c r="J11" s="4912"/>
      <c r="K11" s="4912"/>
      <c r="L11" s="4912"/>
      <c r="M11" s="4912"/>
      <c r="N11" s="4912"/>
      <c r="O11" s="4912"/>
      <c r="P11" s="4912"/>
      <c r="Q11" s="4912"/>
      <c r="R11" s="4912"/>
      <c r="S11" s="4912"/>
      <c r="T11" s="4912"/>
      <c r="U11" s="255"/>
      <c r="V11" s="255"/>
      <c r="W11" s="255"/>
      <c r="X11" s="255"/>
      <c r="Y11" s="536"/>
    </row>
    <row r="12" spans="1:25" ht="15" thickBot="1" x14ac:dyDescent="0.35">
      <c r="A12" s="252"/>
      <c r="B12" s="253"/>
      <c r="C12" s="50"/>
      <c r="D12" s="50"/>
      <c r="E12" s="50"/>
      <c r="F12" s="50"/>
      <c r="G12" s="50"/>
      <c r="H12" s="50"/>
      <c r="I12" s="50"/>
      <c r="J12" s="50"/>
      <c r="K12" s="50"/>
      <c r="L12" s="50"/>
      <c r="M12" s="50"/>
      <c r="N12" s="50"/>
      <c r="O12" s="50"/>
      <c r="P12" s="50"/>
      <c r="Q12" s="50"/>
      <c r="R12" s="50"/>
      <c r="S12" s="50"/>
      <c r="T12" s="50"/>
      <c r="U12" s="50"/>
      <c r="V12" s="50"/>
      <c r="W12" s="50"/>
      <c r="X12" s="50"/>
      <c r="Y12" s="154"/>
    </row>
    <row r="13" spans="1:25" s="2" customFormat="1" ht="44" thickTop="1" x14ac:dyDescent="0.3">
      <c r="A13" s="379"/>
      <c r="B13" s="344" t="s">
        <v>824</v>
      </c>
      <c r="C13" s="2030" t="s">
        <v>475</v>
      </c>
      <c r="D13" s="2078" t="s">
        <v>1233</v>
      </c>
      <c r="E13" s="44" t="b">
        <f>E20</f>
        <v>0</v>
      </c>
      <c r="F13" s="44"/>
      <c r="G13" s="47"/>
      <c r="H13" s="47"/>
      <c r="I13" s="47"/>
      <c r="J13" s="47"/>
      <c r="K13" s="47"/>
      <c r="L13" s="47"/>
      <c r="M13" s="47"/>
      <c r="N13" s="50"/>
      <c r="O13" s="44" t="b">
        <v>0</v>
      </c>
      <c r="P13" s="44"/>
      <c r="Q13" s="44" t="b">
        <v>0</v>
      </c>
      <c r="R13" s="115"/>
      <c r="S13" s="115"/>
      <c r="T13" s="115"/>
      <c r="U13" s="115"/>
      <c r="V13" s="44" t="b">
        <v>0</v>
      </c>
      <c r="W13" s="113"/>
      <c r="X13" s="113"/>
      <c r="Y13" s="114"/>
    </row>
    <row r="14" spans="1:25" s="2" customFormat="1" ht="29" x14ac:dyDescent="0.3">
      <c r="A14" s="254"/>
      <c r="B14" s="346" t="s">
        <v>825</v>
      </c>
      <c r="C14" s="2079" t="s">
        <v>474</v>
      </c>
      <c r="D14" s="2079" t="s">
        <v>1233</v>
      </c>
      <c r="E14" s="44" t="b">
        <f>E25</f>
        <v>0</v>
      </c>
      <c r="F14" s="44"/>
      <c r="G14" s="47"/>
      <c r="H14" s="47"/>
      <c r="I14" s="47"/>
      <c r="J14" s="47"/>
      <c r="K14" s="47"/>
      <c r="L14" s="47"/>
      <c r="M14" s="47"/>
      <c r="N14" s="50"/>
      <c r="O14" s="44" t="b">
        <v>0</v>
      </c>
      <c r="P14" s="44"/>
      <c r="Q14" s="44" t="b">
        <v>0</v>
      </c>
      <c r="R14" s="115"/>
      <c r="S14" s="115"/>
      <c r="T14" s="115"/>
      <c r="U14" s="115"/>
      <c r="V14" s="44" t="b">
        <v>0</v>
      </c>
      <c r="W14" s="113"/>
      <c r="X14" s="113"/>
      <c r="Y14" s="114"/>
    </row>
    <row r="15" spans="1:25" s="2" customFormat="1" ht="43.5" x14ac:dyDescent="0.3">
      <c r="A15" s="379"/>
      <c r="B15" s="348" t="s">
        <v>826</v>
      </c>
      <c r="C15" s="2079" t="s">
        <v>822</v>
      </c>
      <c r="D15" s="2079" t="s">
        <v>1233</v>
      </c>
      <c r="E15" s="361" t="b">
        <f>E33</f>
        <v>0</v>
      </c>
      <c r="F15" s="361"/>
      <c r="G15" s="361"/>
      <c r="H15" s="361"/>
      <c r="I15" s="361"/>
      <c r="J15" s="361"/>
      <c r="K15" s="361"/>
      <c r="L15" s="361"/>
      <c r="M15" s="361"/>
      <c r="N15" s="157"/>
      <c r="O15" s="115"/>
      <c r="P15" s="115"/>
      <c r="Q15" s="115"/>
      <c r="R15" s="115"/>
      <c r="S15" s="115"/>
      <c r="T15" s="115"/>
      <c r="U15" s="115"/>
      <c r="V15" s="115"/>
      <c r="W15" s="115"/>
      <c r="X15" s="115"/>
      <c r="Y15" s="116"/>
    </row>
    <row r="16" spans="1:25" s="2" customFormat="1" ht="29.5" thickBot="1" x14ac:dyDescent="0.35">
      <c r="A16" s="194"/>
      <c r="B16" s="350" t="s">
        <v>827</v>
      </c>
      <c r="C16" s="2080" t="s">
        <v>823</v>
      </c>
      <c r="D16" s="2081" t="s">
        <v>1233</v>
      </c>
      <c r="E16" s="258" t="b">
        <f>E39</f>
        <v>0</v>
      </c>
      <c r="F16" s="258"/>
      <c r="G16" s="258"/>
      <c r="H16" s="258"/>
      <c r="I16" s="258"/>
      <c r="J16" s="258"/>
      <c r="K16" s="258"/>
      <c r="L16" s="258"/>
      <c r="M16" s="258"/>
      <c r="N16" s="159"/>
      <c r="O16" s="117"/>
      <c r="P16" s="117"/>
      <c r="Q16" s="117"/>
      <c r="R16" s="117"/>
      <c r="S16" s="117"/>
      <c r="T16" s="117"/>
      <c r="U16" s="117"/>
      <c r="V16" s="117"/>
      <c r="W16" s="117"/>
      <c r="X16" s="117"/>
      <c r="Y16" s="118"/>
    </row>
    <row r="17" spans="1:25" s="70" customFormat="1" ht="15.5" thickTop="1" thickBot="1" x14ac:dyDescent="0.35">
      <c r="A17" s="214"/>
      <c r="C17" s="214"/>
      <c r="E17" s="217"/>
      <c r="F17" s="217"/>
      <c r="G17" s="214"/>
      <c r="H17" s="214"/>
      <c r="I17" s="222"/>
      <c r="J17" s="222"/>
      <c r="K17" s="222"/>
      <c r="L17" s="222"/>
      <c r="M17" s="222"/>
      <c r="N17" s="214"/>
      <c r="O17" s="222"/>
      <c r="Q17" s="222"/>
      <c r="R17" s="222"/>
      <c r="S17" s="222"/>
      <c r="T17" s="222"/>
      <c r="U17" s="222"/>
      <c r="V17" s="222"/>
      <c r="W17" s="222"/>
      <c r="X17" s="222"/>
      <c r="Y17" s="222"/>
    </row>
    <row r="18" spans="1:25" s="225" customFormat="1" ht="19" thickTop="1" x14ac:dyDescent="0.3">
      <c r="A18" s="4911" t="s">
        <v>1135</v>
      </c>
      <c r="B18" s="4912"/>
      <c r="C18" s="4912"/>
      <c r="D18" s="4912"/>
      <c r="E18" s="4912"/>
      <c r="F18" s="4912"/>
      <c r="G18" s="4912"/>
      <c r="H18" s="4912"/>
      <c r="I18" s="4912"/>
      <c r="J18" s="4912"/>
      <c r="K18" s="4912"/>
      <c r="L18" s="4912"/>
      <c r="M18" s="4912"/>
      <c r="N18" s="4912"/>
      <c r="O18" s="255"/>
      <c r="P18" s="255"/>
      <c r="Q18" s="255"/>
      <c r="R18" s="255"/>
      <c r="S18" s="255"/>
      <c r="T18" s="255"/>
      <c r="U18" s="255"/>
      <c r="V18" s="255"/>
      <c r="W18" s="255"/>
      <c r="X18" s="255"/>
      <c r="Y18" s="256"/>
    </row>
    <row r="19" spans="1:25" s="70" customFormat="1" ht="15" thickBot="1" x14ac:dyDescent="0.35">
      <c r="A19" s="257"/>
      <c r="B19" s="2083"/>
      <c r="C19" s="2083"/>
      <c r="D19" s="2083"/>
      <c r="E19" s="2083"/>
      <c r="F19" s="2083"/>
      <c r="G19" s="2083"/>
      <c r="H19" s="2083"/>
      <c r="I19" s="2083"/>
      <c r="J19" s="2083"/>
      <c r="K19" s="2083"/>
      <c r="L19" s="2083"/>
      <c r="M19" s="2083"/>
      <c r="N19" s="2083"/>
      <c r="O19" s="2083"/>
      <c r="P19" s="2083"/>
      <c r="Q19" s="2083"/>
      <c r="R19" s="2083"/>
      <c r="S19" s="2083"/>
      <c r="T19" s="2083"/>
      <c r="U19" s="2083"/>
      <c r="V19" s="2083"/>
      <c r="W19" s="2083"/>
      <c r="X19" s="2083"/>
      <c r="Y19" s="2084"/>
    </row>
    <row r="20" spans="1:25" s="2" customFormat="1" ht="44.5" thickTop="1" thickBot="1" x14ac:dyDescent="0.35">
      <c r="A20" s="194"/>
      <c r="B20" s="1051" t="s">
        <v>415</v>
      </c>
      <c r="C20" s="2085" t="s">
        <v>940</v>
      </c>
      <c r="D20" s="2086"/>
      <c r="E20" s="2085" t="b">
        <f>IF(AND(E21=TRUE,E29=TRUE,E27=TRUE),TRUE,FALSE)</f>
        <v>0</v>
      </c>
      <c r="F20" s="2085"/>
      <c r="G20" s="2085">
        <f>COUNTIFS(E21:E32,TRUE,G21:G32,"Not Blank")</f>
        <v>0</v>
      </c>
      <c r="H20" s="2085">
        <f>COUNTIFS(E21:E32,FALSE,G21:G32,"Not Blank")</f>
        <v>0</v>
      </c>
      <c r="I20" s="2087" t="str">
        <f>IF(AND(E20=FALSE,G20=0,H20=0),"Nothing Enterred below Yet",IF(AND(E20=FALSE,G20&gt;0,H20=0),"Entry below has not been summarised",IF(AND(G20=0,H20&gt;0),"**Non-Valid Entry/ies below - Check Yellow Box/es",IF(AND(E20,TRUE,G20=1,H20=0),"Valid Entry made below",IF(AND(E20=TRUE,G20=0,H20=0),"Valid Entry required below - Check amber box",IF(AND(E20=TRUE,G20&gt;1,H20=0),"**Too many Options used - check Red Boxes",IF(AND(G20&gt;0,H20&gt;0),"**Valid and Non-Valid Entries made below - Check Yellow Box/es")))))))</f>
        <v>Nothing Enterred below Yet</v>
      </c>
      <c r="J20" s="240"/>
      <c r="K20" s="240"/>
      <c r="L20" s="2087" t="str">
        <f>IF(AND(E20=FALSE,J20=0,K20=0),"Nothing Enterred below Yet",IF(AND(J20=0,K20&gt;0),"**Non-Valid Entry/ies below - Check Yellow Box/es",IF(J20&lt;F20,"Valid Entry required below - Check amber box",IF(AND(J20&gt;0,K20&gt;0),"**Valid and Non-Valid Entries made below - Check Yellow Box/es",IF(AND(E20=FALSE,J20&lt;4),"Not all requirements addressed below - Check Pink Box/es",IF(AND(E20,TRUE,J20=4,K20=0),"Valid Entries made below"))))))</f>
        <v>Nothing Enterred below Yet</v>
      </c>
      <c r="M20" s="240"/>
      <c r="N20" s="400"/>
      <c r="O20" s="91"/>
      <c r="P20" s="91"/>
      <c r="Q20" s="91"/>
      <c r="R20" s="91"/>
      <c r="S20" s="91"/>
      <c r="T20" s="91"/>
      <c r="U20" s="2088"/>
      <c r="V20" s="91"/>
      <c r="W20" s="2088"/>
      <c r="X20" s="2088"/>
      <c r="Y20" s="2089"/>
    </row>
    <row r="21" spans="1:25" ht="13.5" thickTop="1" x14ac:dyDescent="0.3">
      <c r="A21" s="16"/>
      <c r="B21" s="16"/>
      <c r="W21"/>
    </row>
    <row r="22" spans="1:25" s="28" customFormat="1" ht="18" customHeight="1" thickBot="1" x14ac:dyDescent="0.35">
      <c r="A22" s="18"/>
      <c r="B22" s="19"/>
      <c r="C22" s="57"/>
      <c r="D22" s="57"/>
      <c r="E22" s="57"/>
      <c r="F22" s="57"/>
      <c r="G22" s="70"/>
      <c r="H22" s="233"/>
      <c r="I22" s="150"/>
      <c r="N22" s="214"/>
      <c r="U22" s="237"/>
    </row>
    <row r="23" spans="1:25" s="2" customFormat="1" ht="18.649999999999999" customHeight="1" thickTop="1" x14ac:dyDescent="0.3">
      <c r="A23" s="4911" t="s">
        <v>1137</v>
      </c>
      <c r="B23" s="4912"/>
      <c r="C23" s="4912"/>
      <c r="D23" s="4912"/>
      <c r="E23" s="4912"/>
      <c r="F23" s="4912"/>
      <c r="G23" s="4912"/>
      <c r="H23" s="4912"/>
      <c r="I23" s="4912"/>
      <c r="J23" s="4912"/>
      <c r="K23" s="4912"/>
      <c r="L23" s="4912"/>
      <c r="M23" s="4912"/>
      <c r="N23" s="4912"/>
      <c r="O23" s="537"/>
      <c r="P23" s="537"/>
      <c r="Q23" s="537"/>
      <c r="R23" s="537"/>
      <c r="S23" s="537"/>
      <c r="T23" s="537"/>
      <c r="U23" s="259"/>
      <c r="V23" s="537"/>
      <c r="W23" s="259"/>
      <c r="X23" s="259"/>
      <c r="Y23" s="260"/>
    </row>
    <row r="24" spans="1:25" s="2" customFormat="1" ht="18" customHeight="1" x14ac:dyDescent="0.3">
      <c r="A24" s="254"/>
      <c r="B24" s="157"/>
      <c r="C24" s="44"/>
      <c r="D24" s="44"/>
      <c r="E24" s="361"/>
      <c r="F24" s="361"/>
      <c r="G24" s="382"/>
      <c r="H24" s="361"/>
      <c r="I24" s="44"/>
      <c r="J24" s="216"/>
      <c r="K24" s="216"/>
      <c r="L24" s="44"/>
      <c r="M24" s="44"/>
      <c r="N24" s="382"/>
      <c r="O24" s="115"/>
      <c r="P24" s="115"/>
      <c r="Q24" s="115"/>
      <c r="R24" s="115"/>
      <c r="S24" s="115"/>
      <c r="T24" s="115"/>
      <c r="U24" s="113"/>
      <c r="V24" s="115"/>
      <c r="W24" s="113"/>
      <c r="X24" s="113"/>
      <c r="Y24" s="114"/>
    </row>
    <row r="25" spans="1:25" s="28" customFormat="1" ht="29.5" thickBot="1" x14ac:dyDescent="0.35">
      <c r="A25" s="121">
        <v>11</v>
      </c>
      <c r="B25" s="44" t="s">
        <v>474</v>
      </c>
      <c r="C25" s="2061" t="s">
        <v>670</v>
      </c>
      <c r="D25" s="1903" t="s">
        <v>1195</v>
      </c>
      <c r="E25" s="1976" t="b">
        <f>IF(AND(E26=TRUE,E27=TRUE,E29=TRUE),TRUE,FALSE)</f>
        <v>0</v>
      </c>
      <c r="F25" s="1976">
        <f>COUNTIF(E26:E29,TRUE)</f>
        <v>1</v>
      </c>
      <c r="G25" s="2082">
        <f>COUNTIFS(E26:E29,TRUE,G26:G29,"Not Blank")</f>
        <v>0</v>
      </c>
      <c r="H25" s="1920">
        <f>COUNTIFS(E26:E29,FALSE,G26:G29,"Not Blank")</f>
        <v>0</v>
      </c>
      <c r="I25" s="151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Valid Entry required below - Check Amber Line/s</v>
      </c>
      <c r="J25" s="1518">
        <f>COUNTIFS(E26:E29,TRUE,J26:J29,"Not Blank")</f>
        <v>0</v>
      </c>
      <c r="K25" s="1518">
        <f>COUNTIFS(E26:E29,FALSE,J26:J29,"Not Blank")</f>
        <v>0</v>
      </c>
      <c r="L25" s="1517" t="str">
        <f>IF(AND(E25=FALSE,J25=0,K25=0),"Nothing Enterred below Yet",IF(AND(J25=0,K25&gt;0),"**Non-Valid Entry/ies below - Check Yellow Box/es",IF(J25&lt;F25,"Valid Entry required below - Check amber box",IF(AND(J25&gt;0,K25&gt;0),"**Valid and Non-Valid Entries made below - Check Yellow Box/es",IF(AND(E25=FALSE,J25&lt;4),"Not all requirements addressed below - Check Pink Box/es",IF(AND(E25,TRUE,J25=4,K25=0),"Valid Entries made below"))))))</f>
        <v>Nothing Enterred below Yet</v>
      </c>
      <c r="M25" s="197"/>
      <c r="N25" s="4913"/>
      <c r="O25" s="44"/>
      <c r="P25" s="44"/>
      <c r="Q25" s="44"/>
      <c r="R25" s="44"/>
      <c r="S25" s="44"/>
      <c r="T25" s="44"/>
      <c r="U25" s="4915"/>
      <c r="V25" s="44"/>
      <c r="W25" s="44"/>
      <c r="X25" s="44"/>
      <c r="Y25" s="122"/>
    </row>
    <row r="26" spans="1:25" s="28" customFormat="1" ht="73" thickTop="1" x14ac:dyDescent="0.3">
      <c r="A26" s="121" t="s">
        <v>1106</v>
      </c>
      <c r="B26" s="44"/>
      <c r="C26" s="2061" t="s">
        <v>1250</v>
      </c>
      <c r="D26" s="392" t="s">
        <v>13</v>
      </c>
      <c r="E26" s="361" t="b">
        <f>IF(D26="Compliant",TRUE,FALSE)</f>
        <v>1</v>
      </c>
      <c r="F26" s="361"/>
      <c r="G26" s="381" t="str">
        <f>IF(I26&lt;&gt;"", "Not Blank", "")</f>
        <v/>
      </c>
      <c r="H26" s="380"/>
      <c r="I26" s="189"/>
      <c r="J26" s="216" t="str">
        <f>IF(L26&lt;&gt;"", "Not Blank", "")</f>
        <v/>
      </c>
      <c r="K26" s="216"/>
      <c r="L26" s="44"/>
      <c r="M26" s="44"/>
      <c r="N26" s="4913"/>
      <c r="O26" s="44"/>
      <c r="P26" s="701" t="s">
        <v>3</v>
      </c>
      <c r="Q26" s="44"/>
      <c r="R26" s="44"/>
      <c r="S26" s="44"/>
      <c r="T26" s="44"/>
      <c r="U26" s="4915"/>
      <c r="V26" s="44"/>
      <c r="W26" s="44"/>
      <c r="X26" s="44"/>
      <c r="Y26" s="122"/>
    </row>
    <row r="27" spans="1:25" s="28" customFormat="1" ht="72.5" x14ac:dyDescent="0.3">
      <c r="A27" s="121" t="s">
        <v>1106</v>
      </c>
      <c r="B27" s="44"/>
      <c r="C27" s="1903" t="s">
        <v>1950</v>
      </c>
      <c r="D27" s="392"/>
      <c r="E27" s="361" t="b">
        <f>IF(D27="Compliant",TRUE,FALSE)</f>
        <v>0</v>
      </c>
      <c r="F27" s="361"/>
      <c r="G27" s="381" t="str">
        <f>IF(I27&lt;&gt;"", "Not Blank", "")</f>
        <v/>
      </c>
      <c r="H27" s="380"/>
      <c r="I27" s="189"/>
      <c r="J27" s="216" t="str">
        <f>IF(L27&lt;&gt;"", "Not Blank", "")</f>
        <v/>
      </c>
      <c r="K27" s="216"/>
      <c r="L27" s="44"/>
      <c r="M27" s="44"/>
      <c r="N27" s="4913"/>
      <c r="O27" s="44"/>
      <c r="P27" s="44"/>
      <c r="Q27" s="44"/>
      <c r="R27" s="44"/>
      <c r="S27" s="44"/>
      <c r="T27" s="44"/>
      <c r="U27" s="4915"/>
      <c r="V27" s="44"/>
      <c r="W27" s="44"/>
      <c r="X27" s="44"/>
      <c r="Y27" s="122"/>
    </row>
    <row r="28" spans="1:25" s="28" customFormat="1" ht="409.5" x14ac:dyDescent="0.3">
      <c r="A28" s="121">
        <v>7.5</v>
      </c>
      <c r="B28" s="44"/>
      <c r="C28" s="1903" t="s">
        <v>1114</v>
      </c>
      <c r="D28" s="392"/>
      <c r="E28" s="361" t="b">
        <f>IF(D28="Compliant",TRUE,FALSE)</f>
        <v>0</v>
      </c>
      <c r="F28" s="361"/>
      <c r="G28" s="381" t="str">
        <f>IF(I28&lt;&gt;"", "Not Blank", "")</f>
        <v/>
      </c>
      <c r="H28" s="380"/>
      <c r="I28" s="189"/>
      <c r="J28" s="216" t="str">
        <f>IF(L28&lt;&gt;"", "Not Blank", "")</f>
        <v/>
      </c>
      <c r="K28" s="216"/>
      <c r="L28" s="44"/>
      <c r="M28" s="44"/>
      <c r="N28" s="4913"/>
      <c r="O28" s="44"/>
      <c r="P28" s="44"/>
      <c r="Q28" s="44"/>
      <c r="R28" s="44"/>
      <c r="S28" s="44"/>
      <c r="T28" s="44"/>
      <c r="U28" s="4915"/>
      <c r="V28" s="44"/>
      <c r="W28" s="44"/>
      <c r="X28" s="44"/>
      <c r="Y28" s="122"/>
    </row>
    <row r="29" spans="1:25" s="28" customFormat="1" ht="55" customHeight="1" thickBot="1" x14ac:dyDescent="0.35">
      <c r="A29" s="262" t="s">
        <v>1103</v>
      </c>
      <c r="B29" s="124"/>
      <c r="C29" s="1975" t="s">
        <v>1251</v>
      </c>
      <c r="D29" s="394"/>
      <c r="E29" s="258" t="b">
        <f>IF(D29="Compliant",TRUE,FALSE)</f>
        <v>0</v>
      </c>
      <c r="F29" s="258"/>
      <c r="G29" s="451" t="str">
        <f>IF(I29&lt;&gt;"", "Not Blank", "")</f>
        <v/>
      </c>
      <c r="H29" s="404"/>
      <c r="I29" s="190"/>
      <c r="J29" s="218" t="str">
        <f>IF(L29&lt;&gt;"", "Not Blank", "")</f>
        <v/>
      </c>
      <c r="K29" s="218"/>
      <c r="L29" s="124"/>
      <c r="M29" s="124"/>
      <c r="N29" s="4914"/>
      <c r="O29" s="124"/>
      <c r="P29" s="124"/>
      <c r="Q29" s="124"/>
      <c r="R29" s="124"/>
      <c r="S29" s="124"/>
      <c r="T29" s="124"/>
      <c r="U29" s="4916"/>
      <c r="V29" s="124"/>
      <c r="W29" s="124"/>
      <c r="X29" s="124"/>
      <c r="Y29" s="125"/>
    </row>
    <row r="30" spans="1:25" s="28" customFormat="1" ht="19" customHeight="1" thickTop="1" thickBot="1" x14ac:dyDescent="0.35">
      <c r="A30" s="19"/>
      <c r="C30" s="149"/>
      <c r="E30" s="57"/>
      <c r="F30" s="57"/>
      <c r="G30" s="417"/>
      <c r="H30" s="17"/>
      <c r="I30" s="1"/>
      <c r="J30" s="217"/>
      <c r="K30" s="217"/>
      <c r="N30" s="214"/>
      <c r="U30" s="53"/>
    </row>
    <row r="31" spans="1:25" s="2" customFormat="1" ht="18.649999999999999" customHeight="1" thickTop="1" x14ac:dyDescent="0.3">
      <c r="A31" s="4911" t="s">
        <v>1138</v>
      </c>
      <c r="B31" s="4912"/>
      <c r="C31" s="4912"/>
      <c r="D31" s="4912"/>
      <c r="E31" s="4912"/>
      <c r="F31" s="4912"/>
      <c r="G31" s="4912"/>
      <c r="H31" s="4912"/>
      <c r="I31" s="4912"/>
      <c r="J31" s="4912"/>
      <c r="K31" s="4912"/>
      <c r="L31" s="4912"/>
      <c r="M31" s="4912"/>
      <c r="N31" s="4912"/>
      <c r="O31" s="537"/>
      <c r="P31" s="537"/>
      <c r="Q31" s="537"/>
      <c r="R31" s="537"/>
      <c r="S31" s="537"/>
      <c r="T31" s="537"/>
      <c r="U31" s="259"/>
      <c r="V31" s="537"/>
      <c r="W31" s="259"/>
      <c r="X31" s="259"/>
      <c r="Y31" s="260"/>
    </row>
    <row r="32" spans="1:25" x14ac:dyDescent="0.3">
      <c r="A32" s="153"/>
      <c r="B32" s="50"/>
      <c r="C32" s="50"/>
      <c r="D32" s="50"/>
      <c r="E32" s="50"/>
      <c r="F32" s="50"/>
      <c r="G32" s="50"/>
      <c r="H32" s="50"/>
      <c r="I32" s="50"/>
      <c r="J32" s="50"/>
      <c r="K32" s="50"/>
      <c r="L32" s="50"/>
      <c r="M32" s="50"/>
      <c r="N32" s="50"/>
      <c r="O32" s="50"/>
      <c r="P32" s="50"/>
      <c r="Q32" s="50"/>
      <c r="R32" s="50"/>
      <c r="S32" s="50"/>
      <c r="T32" s="50"/>
      <c r="U32" s="50"/>
      <c r="V32" s="50"/>
      <c r="W32" s="50"/>
      <c r="X32" s="50"/>
      <c r="Y32" s="154"/>
    </row>
    <row r="33" spans="1:27" s="28" customFormat="1" ht="43.5" x14ac:dyDescent="0.3">
      <c r="A33" s="121">
        <v>7</v>
      </c>
      <c r="B33" s="44" t="s">
        <v>432</v>
      </c>
      <c r="C33" s="1903" t="s">
        <v>924</v>
      </c>
      <c r="D33" s="44"/>
      <c r="E33" s="44" t="b">
        <f>IF(AND(E34=TRUE,E40=TRUE),TRUE,FALSE)</f>
        <v>0</v>
      </c>
      <c r="F33" s="44">
        <f>COUNTIF(E34:E50,TRUE)</f>
        <v>0</v>
      </c>
      <c r="G33" s="44" t="e">
        <f>COUNTIFS(E34,TRUE,G34,"Not Blank")+COUNTIFS(E35:E37,TRUE,G35:G37,"Not Blank")+COUNTIFS(E38:E39,TRUE,G38:G39,"Not Blank")+COUNTIFS(#REF!,TRUE,#REF!,"Not Blank")+ COUNTIFS(E41:E45,TRUE,G41:G45,"Not Blank")+COUNTIFS(E47:E50,TRUE,G47:G50,"Not Blank")</f>
        <v>#REF!</v>
      </c>
      <c r="H33" s="44" t="e">
        <f>COUNTIFS(E34,FALSE,G34,"Not Blank")+COUNTIFS(E35:E37,FALSE,G35:G37,"Not Blank")+COUNTIFS(E38:E39,FALSE,G38:G39,"Not Blank")+COUNTIFS(#REF!,FALSE,#REF!,"Not Blank")+ COUNTIFS(E41:E45,FALSE,G41:G45,"Not Blank")+COUNTIFS(E47:E50,FALSE,G47:G50,"Not Blank")</f>
        <v>#REF!</v>
      </c>
      <c r="I33" s="44" t="e">
        <f>IF(AND(E33=FALSE,G33=0,H33=0),"Nothing Enterred below Yet",IF(AND(E33=FALSE,G33&gt;0,H33=0),"Entry below has not been summarised",IF(AND(G33=0,H33&gt;0),"**Non-Valid Entry/ies below - Check Yellow Box/es",IF(AND(E33,TRUE,G33=20,H33=0),"Valid Entry made below",IF(AND(E33=TRUE,G33&lt;20,H33=0),"Valid Entry required below - Check amber box",IF(AND(E33=TRUE,G33&gt;20,H33=0),"**Too many Options used - check Red Boxes",IF(AND(G33&gt;0,H33&gt;0),"**Valid and Non-Valid Entries made below - Check Yellow Box/es")))))))</f>
        <v>#REF!</v>
      </c>
      <c r="J33" s="44">
        <f>COUNTIFS(E34:E50,TRUE,J34:J50,"Not Blank")</f>
        <v>0</v>
      </c>
      <c r="K33" s="44">
        <f>COUNTIFS(E34:E50,FALSE,J34:J50,"Not Blank")</f>
        <v>1</v>
      </c>
      <c r="L33" s="44" t="str">
        <f>IF(AND(E33=FALSE,J33=0,K33=0),"Nothing Enterred below Yet",IF(AND(E33=FALSE,J33&gt;0,K33=0),"Entry below has not been summarised",IF(AND(J33=0,K33&gt;0),"**Non-Valid Entry/ies below - Check Yellow Box/es",IF(AND(E33,TRUE,J33=20,K33=0),"Valid Entry made below",IF(AND(E33=TRUE,J33&lt;20,K33=0),"Valid Entry required below - Check amber box",IF(AND(E33=TRUE,J33&gt;20,K33=0),"**Too many Options used - check Red Boxes",IF(AND(J33&gt;0,K33&gt;0),"**Valid and Non-Valid Entries made below - Check Yellow Box/es")))))))</f>
        <v>**Non-Valid Entry/ies below - Check Yellow Box/es</v>
      </c>
      <c r="M33" s="44"/>
      <c r="N33" s="44"/>
      <c r="O33" s="44" t="e">
        <f>IF(AND(O34=TRUE,#REF!=TRUE,#REF!=TRUE,#REF!=TRUE,O40=TRUE,O41=TRUE,O42=TRUE,O43=TRUE,#REF!=TRUE,O44=TRUE,O45=TRUE,O46=TRUE),TRUE,FALSE)</f>
        <v>#REF!</v>
      </c>
      <c r="P33" s="44"/>
      <c r="Q33" s="44" t="e">
        <f>IF(AND(Q34=TRUE,#REF!=TRUE,#REF!=TRUE,#REF!=TRUE,Q40=TRUE,Q41=TRUE,Q42=TRUE,Q43=TRUE,#REF!=TRUE,Q44=TRUE,Q45=TRUE,Q46=TRUE),TRUE,FALSE)</f>
        <v>#REF!</v>
      </c>
      <c r="R33" s="44"/>
      <c r="S33" s="44"/>
      <c r="T33" s="44"/>
      <c r="U33" s="115"/>
      <c r="V33" s="44" t="e">
        <f>IF(AND(V34=TRUE,#REF!=TRUE,#REF!=TRUE,#REF!=TRUE,V40=TRUE,V41=TRUE,V42=TRUE,V43=TRUE,#REF!=TRUE,V44=TRUE,V45=TRUE,V46=TRUE),TRUE,FALSE)</f>
        <v>#REF!</v>
      </c>
      <c r="W33" s="44"/>
      <c r="X33" s="44"/>
      <c r="Y33" s="122"/>
    </row>
    <row r="34" spans="1:27" s="28" customFormat="1" ht="42.65" customHeight="1" thickBot="1" x14ac:dyDescent="0.35">
      <c r="A34" s="123">
        <v>7.1</v>
      </c>
      <c r="B34" s="124"/>
      <c r="C34" s="1919" t="s">
        <v>1255</v>
      </c>
      <c r="D34" s="124"/>
      <c r="E34" s="124" t="b">
        <f>IF(AND(E35=TRUE,E36=TRUE,E37=TRUE,E38=TRUE,E39=TRUE),TRUE,FALSE)</f>
        <v>0</v>
      </c>
      <c r="F34" s="124"/>
      <c r="G34" s="124" t="str">
        <f>IF(I34&lt;&gt;"", "Not Blank", "")</f>
        <v>Not Blank</v>
      </c>
      <c r="H34" s="124"/>
      <c r="I34" s="124">
        <v>1</v>
      </c>
      <c r="J34" s="124" t="str">
        <f>IF(L34&lt;&gt;"", "Not Blank", "")</f>
        <v>Not Blank</v>
      </c>
      <c r="K34" s="124"/>
      <c r="L34" s="124">
        <v>1</v>
      </c>
      <c r="M34" s="124"/>
      <c r="N34" s="258"/>
      <c r="O34" s="124" t="b">
        <v>0</v>
      </c>
      <c r="P34" s="124"/>
      <c r="Q34" s="124" t="b">
        <v>0</v>
      </c>
      <c r="R34" s="124"/>
      <c r="S34" s="124"/>
      <c r="T34" s="124"/>
      <c r="U34" s="117"/>
      <c r="V34" s="124" t="b">
        <v>0</v>
      </c>
      <c r="W34" s="124"/>
      <c r="X34" s="124"/>
      <c r="Y34" s="125"/>
    </row>
    <row r="35" spans="1:27" ht="13.5" thickTop="1" x14ac:dyDescent="0.3">
      <c r="A35" s="16"/>
      <c r="B35" s="16"/>
      <c r="W35"/>
    </row>
    <row r="36" spans="1:27" s="28" customFormat="1" ht="19" customHeight="1" thickBot="1" x14ac:dyDescent="0.35">
      <c r="A36" s="19"/>
      <c r="E36" s="57"/>
      <c r="F36" s="57"/>
      <c r="G36" s="417"/>
      <c r="H36" s="17"/>
      <c r="I36" s="1"/>
      <c r="J36" s="217"/>
      <c r="K36" s="217"/>
      <c r="N36" s="384"/>
      <c r="U36" s="53"/>
    </row>
    <row r="37" spans="1:27" s="2" customFormat="1" ht="18.649999999999999" customHeight="1" thickTop="1" x14ac:dyDescent="0.3">
      <c r="A37" s="4911" t="s">
        <v>1139</v>
      </c>
      <c r="B37" s="4912"/>
      <c r="C37" s="4912"/>
      <c r="D37" s="4912"/>
      <c r="E37" s="4912"/>
      <c r="F37" s="4912"/>
      <c r="G37" s="4912"/>
      <c r="H37" s="4912"/>
      <c r="I37" s="4912"/>
      <c r="J37" s="4912"/>
      <c r="K37" s="4912"/>
      <c r="L37" s="4912"/>
      <c r="M37" s="4912"/>
      <c r="N37" s="4912"/>
      <c r="O37" s="537"/>
      <c r="P37" s="537"/>
      <c r="Q37" s="537"/>
      <c r="R37" s="537"/>
      <c r="S37" s="537"/>
      <c r="T37" s="537"/>
      <c r="U37" s="259"/>
      <c r="V37" s="537"/>
      <c r="W37" s="259"/>
      <c r="X37" s="259"/>
      <c r="Y37" s="260"/>
    </row>
    <row r="38" spans="1:27" s="28" customFormat="1" ht="23.15" customHeight="1" x14ac:dyDescent="0.3">
      <c r="A38" s="263"/>
      <c r="B38" s="44"/>
      <c r="C38" s="197"/>
      <c r="D38" s="44"/>
      <c r="E38" s="361"/>
      <c r="F38" s="361"/>
      <c r="G38" s="381"/>
      <c r="H38" s="380"/>
      <c r="I38" s="44"/>
      <c r="J38" s="216"/>
      <c r="K38" s="216"/>
      <c r="L38" s="44"/>
      <c r="M38" s="44"/>
      <c r="N38" s="382"/>
      <c r="O38" s="44"/>
      <c r="P38" s="44"/>
      <c r="Q38" s="44"/>
      <c r="R38" s="44"/>
      <c r="S38" s="44"/>
      <c r="T38" s="44"/>
      <c r="U38" s="115"/>
      <c r="V38" s="44"/>
      <c r="W38" s="44"/>
      <c r="X38" s="44"/>
      <c r="Y38" s="122"/>
    </row>
    <row r="39" spans="1:27" s="28" customFormat="1" ht="72.5" x14ac:dyDescent="0.3">
      <c r="A39" s="121">
        <v>6</v>
      </c>
      <c r="B39" s="44" t="s">
        <v>734</v>
      </c>
      <c r="C39" s="44" t="s">
        <v>1257</v>
      </c>
      <c r="D39" s="44"/>
      <c r="E39" s="44" t="b">
        <f>IF(AND(E40=TRUE,E41=TRUE,E42=TRUE,E43=TRUE,E44=TRUE,E45=TRUE,E46=TRUE,E47=TRUE,E48=TRUE),TRUE,FALSE)</f>
        <v>0</v>
      </c>
      <c r="F39" s="44"/>
      <c r="G39" s="44">
        <f>COUNTIFS(E40:E48,TRUE,G40:G48,"Not Blank")</f>
        <v>0</v>
      </c>
      <c r="H39" s="44">
        <f>COUNTIFS(E40:E48,FALSE,G40:G48,"Not Blank")</f>
        <v>0</v>
      </c>
      <c r="I39" s="44"/>
      <c r="J39" s="44"/>
      <c r="K39" s="44"/>
      <c r="L39" s="44"/>
      <c r="M39" s="44"/>
      <c r="N39" s="152"/>
      <c r="O39" s="112"/>
      <c r="P39" s="112"/>
      <c r="Q39" s="112"/>
      <c r="R39" s="44"/>
      <c r="S39" s="44"/>
      <c r="T39" s="44"/>
      <c r="U39" s="539"/>
      <c r="V39" s="112"/>
      <c r="W39" s="44"/>
      <c r="X39" s="44"/>
      <c r="Y39" s="122"/>
    </row>
    <row r="40" spans="1:27" ht="13.5" thickBot="1" x14ac:dyDescent="0.35">
      <c r="A40" s="264"/>
      <c r="B40" s="223"/>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7" ht="13.5" thickTop="1" x14ac:dyDescent="0.3">
      <c r="A41" s="16"/>
      <c r="B41" s="16"/>
      <c r="W41"/>
    </row>
    <row r="42" spans="1:27" s="28" customFormat="1" ht="14.5" x14ac:dyDescent="0.3">
      <c r="U42" s="237"/>
    </row>
    <row r="43" spans="1:27" s="225" customFormat="1" ht="18.649999999999999" customHeight="1" x14ac:dyDescent="0.3">
      <c r="A43" s="4594" t="s">
        <v>1245</v>
      </c>
      <c r="B43" s="4595"/>
      <c r="C43" s="4595"/>
      <c r="D43" s="4595"/>
      <c r="E43" s="4595"/>
      <c r="F43" s="4595"/>
      <c r="G43" s="4595"/>
      <c r="H43" s="4595"/>
      <c r="I43" s="4595"/>
      <c r="J43" s="4595"/>
      <c r="K43" s="4595"/>
      <c r="L43" s="4595"/>
      <c r="M43" s="4595"/>
      <c r="N43" s="4595"/>
      <c r="O43" s="226"/>
      <c r="P43" s="226"/>
      <c r="Q43" s="226"/>
      <c r="R43" s="227"/>
      <c r="S43" s="228"/>
      <c r="T43" s="228"/>
      <c r="U43" s="474"/>
      <c r="V43" s="226"/>
      <c r="W43" s="227"/>
      <c r="X43" s="227"/>
      <c r="Y43" s="228"/>
    </row>
    <row r="44" spans="1:27" s="28" customFormat="1" ht="14.5" x14ac:dyDescent="0.3">
      <c r="A44" s="121"/>
      <c r="B44" s="44"/>
      <c r="C44" s="44"/>
      <c r="D44" s="44"/>
      <c r="E44" s="44"/>
      <c r="F44" s="44"/>
      <c r="G44" s="44"/>
      <c r="H44" s="44"/>
      <c r="I44" s="44"/>
      <c r="J44" s="44"/>
      <c r="K44" s="44"/>
      <c r="L44" s="44"/>
      <c r="M44" s="44"/>
      <c r="N44" s="44"/>
      <c r="O44" s="44"/>
      <c r="P44" s="44"/>
      <c r="Q44" s="44"/>
      <c r="R44" s="44"/>
      <c r="S44" s="44"/>
      <c r="T44" s="44"/>
      <c r="U44" s="475"/>
      <c r="V44" s="44"/>
      <c r="W44" s="44"/>
      <c r="X44" s="44"/>
      <c r="Y44" s="122"/>
    </row>
    <row r="45" spans="1:27" s="2" customFormat="1" ht="140.15" customHeight="1" x14ac:dyDescent="0.3">
      <c r="A45" s="254" t="s">
        <v>855</v>
      </c>
      <c r="B45" s="44" t="s">
        <v>459</v>
      </c>
      <c r="C45" s="44" t="s">
        <v>1256</v>
      </c>
      <c r="D45" s="44"/>
      <c r="E45" s="44" t="b">
        <f>IF(AND(E46=TRUE,E56=TRUE),TRUE,FALSE)</f>
        <v>0</v>
      </c>
      <c r="F45" s="44">
        <f>COUNTIF(E47:E54,TRUE)</f>
        <v>0</v>
      </c>
      <c r="G45" s="44">
        <f>COUNTIFS(E48:E54,TRUE,G48:G54,"Not Blank")</f>
        <v>0</v>
      </c>
      <c r="H45" s="44">
        <f>COUNTIFS(E48:E54,FALSE,G48:G54,"Not Blank")</f>
        <v>0</v>
      </c>
      <c r="I45" s="44" t="str">
        <f>IF(AND(E46=FALSE,E47=FALSE,F46=0,G47=0,H47=0,F54=0,H54=""),"Nothing Enterred below Yet",IF(AND(E45=TRUE,F45&gt;1,F54=1),"**Too many Options used - check Red Boxes",IF(F45&lt;&gt;G45,"Valid Entry required below - Check amber box",IF(AND(G45=0,H45&gt;0),"**Non-Valid Entry/ies below - Check Yellow Box/es",IF(OR(AND(E47,TRUE,E54=FALSE,F47=6,H47=0),AND(E47=FALSE,E54=TRUE,F47=0,I54&lt;&gt;"")),"Valid Entry made below",IF(OR(AND(G47&gt;0,H47&gt;0),H54=1),"**Valid and Non-Valid Entries made below - Check Yellow Box/es",IF(AND(F54=0,F47&lt;7),"More Entries required below")))))))</f>
        <v>Nothing Enterred below Yet</v>
      </c>
      <c r="J45" s="44">
        <f>COUNTIFS(E48:E54,TRUE,J48:J54,"Not Blank")</f>
        <v>0</v>
      </c>
      <c r="K45" s="44">
        <f>COUNTIFS(E48:E54,FALSE,J48:J54,"Not Blank")</f>
        <v>0</v>
      </c>
      <c r="L45" s="44" t="str">
        <f>IF(AND(E46=FALSE,E47=FALSE,F46=0,J47=0,K47=0,F54=0,K54=""),"Nothing Enterred below Yet", IF(AND(E45=TRUE,F45&gt;1,F54=1),"**Too many Options used - check Red Boxes",IF(F45&lt;&gt;J45,"Valid Entry required below - Check amber box", IF(AND(J45=0,K45&gt;0),"**Non-Valid Entry/ies below - Check Yellow Box/es",IF(OR(AND(E47,TRUE,E54=FALSE,F47=6,K47=0),AND(E47=FALSE,E54=TRUE,F47=0,L54&lt;&gt;"")),"Valid Entry made below",IF(OR(AND(J47&gt;0,K47&gt;0),K54=1),"**Valid and Non-Valid Entries made below - Check Yellow Box/es",IF(AND(F54=0,F47&lt;7),"More Entries required below","NA")))))))</f>
        <v>Nothing Enterred below Yet</v>
      </c>
      <c r="M45" s="44"/>
      <c r="N45" s="540"/>
      <c r="O45" s="427"/>
      <c r="P45" s="427"/>
      <c r="Q45" s="427"/>
      <c r="R45" s="157"/>
      <c r="S45" s="157"/>
      <c r="T45" s="50"/>
      <c r="U45" s="265"/>
      <c r="V45" s="427"/>
      <c r="W45" s="50"/>
      <c r="X45" s="50"/>
      <c r="Y45" s="154"/>
      <c r="Z45"/>
      <c r="AA45"/>
    </row>
    <row r="46" spans="1:27" ht="13.5" thickBot="1" x14ac:dyDescent="0.35">
      <c r="A46" s="264"/>
      <c r="B46" s="223"/>
      <c r="C46" s="155"/>
      <c r="D46" s="155"/>
      <c r="E46" s="155"/>
      <c r="F46" s="155"/>
      <c r="G46" s="155"/>
      <c r="H46" s="155"/>
      <c r="I46" s="155"/>
      <c r="J46" s="155"/>
      <c r="K46" s="155"/>
      <c r="L46" s="155"/>
      <c r="M46" s="155"/>
      <c r="N46" s="155"/>
      <c r="O46" s="155"/>
      <c r="P46" s="155"/>
      <c r="Q46" s="155"/>
      <c r="R46" s="155"/>
      <c r="S46" s="155"/>
      <c r="T46" s="155"/>
      <c r="U46" s="155"/>
      <c r="V46" s="155"/>
      <c r="W46" s="155"/>
      <c r="X46" s="155"/>
      <c r="Y46" s="156"/>
    </row>
    <row r="47" spans="1:27" ht="15" thickTop="1" x14ac:dyDescent="0.3">
      <c r="A47" s="16"/>
      <c r="B47" s="16"/>
      <c r="W47" s="66"/>
    </row>
    <row r="48" spans="1:27" ht="14.5" x14ac:dyDescent="0.3">
      <c r="A48" s="16"/>
      <c r="B48" s="16"/>
      <c r="W48" s="28"/>
    </row>
    <row r="49" spans="1:23" ht="14.5" x14ac:dyDescent="0.3">
      <c r="A49" s="16"/>
      <c r="B49" s="16"/>
      <c r="W49" s="28"/>
    </row>
    <row r="50" spans="1:23" ht="14.5" x14ac:dyDescent="0.3">
      <c r="A50" s="16"/>
      <c r="B50" s="16"/>
      <c r="W50" s="28"/>
    </row>
    <row r="51" spans="1:23" ht="14.5" x14ac:dyDescent="0.3">
      <c r="A51" s="16"/>
      <c r="B51" s="16"/>
      <c r="W51" s="28"/>
    </row>
    <row r="52" spans="1:23" ht="14.5" x14ac:dyDescent="0.3">
      <c r="A52" s="16"/>
      <c r="B52" s="16"/>
      <c r="W52" s="28"/>
    </row>
    <row r="53" spans="1:23" ht="14.5" x14ac:dyDescent="0.3">
      <c r="A53" s="16"/>
      <c r="B53" s="16"/>
      <c r="W53" s="28"/>
    </row>
    <row r="54" spans="1:23" ht="14.5" x14ac:dyDescent="0.3">
      <c r="A54" s="16"/>
      <c r="B54" s="16"/>
      <c r="W54" s="28"/>
    </row>
    <row r="55" spans="1:23" ht="14.5" x14ac:dyDescent="0.3">
      <c r="A55" s="16"/>
      <c r="B55" s="16"/>
      <c r="W55" s="28"/>
    </row>
    <row r="56" spans="1:23" ht="14.5" x14ac:dyDescent="0.3">
      <c r="A56" s="16"/>
      <c r="B56" s="16"/>
      <c r="W56" s="28"/>
    </row>
    <row r="57" spans="1:23" ht="14.5" x14ac:dyDescent="0.3">
      <c r="A57" s="16"/>
      <c r="B57" s="16"/>
      <c r="W57" s="28"/>
    </row>
    <row r="58" spans="1:23" ht="14.5" x14ac:dyDescent="0.3">
      <c r="W58" s="28"/>
    </row>
    <row r="59" spans="1:23" ht="14.5" x14ac:dyDescent="0.3">
      <c r="W59" s="28"/>
    </row>
    <row r="60" spans="1:23" ht="14.5" x14ac:dyDescent="0.3">
      <c r="W60" s="28"/>
    </row>
    <row r="61" spans="1:23" ht="14.5" x14ac:dyDescent="0.3">
      <c r="W61" s="28"/>
    </row>
    <row r="62" spans="1:23" ht="14.5" x14ac:dyDescent="0.3">
      <c r="W62" s="28"/>
    </row>
    <row r="63" spans="1:23" ht="14.5" x14ac:dyDescent="0.3">
      <c r="W63" s="28"/>
    </row>
    <row r="64" spans="1:23" ht="14.5" x14ac:dyDescent="0.3">
      <c r="W64" s="28"/>
    </row>
    <row r="65" spans="23:23" ht="14.5" x14ac:dyDescent="0.3">
      <c r="W65" s="28"/>
    </row>
    <row r="66" spans="23:23" ht="14.5" x14ac:dyDescent="0.3">
      <c r="W66" s="28"/>
    </row>
    <row r="67" spans="23:23" ht="14.5" x14ac:dyDescent="0.3">
      <c r="W67" s="28"/>
    </row>
    <row r="68" spans="23:23" ht="14.5" x14ac:dyDescent="0.3">
      <c r="W68" s="28"/>
    </row>
    <row r="69" spans="23:23" ht="14.5" x14ac:dyDescent="0.3">
      <c r="W69" s="28"/>
    </row>
    <row r="70" spans="23:23" ht="14.5" x14ac:dyDescent="0.3">
      <c r="W70" s="28"/>
    </row>
    <row r="71" spans="23:23" ht="14.5" x14ac:dyDescent="0.3">
      <c r="W71" s="204"/>
    </row>
    <row r="72" spans="23:23" ht="14.5" x14ac:dyDescent="0.3">
      <c r="W72" s="28"/>
    </row>
    <row r="73" spans="23:23" ht="14.5" x14ac:dyDescent="0.3">
      <c r="W73" s="28"/>
    </row>
    <row r="74" spans="23:23" ht="14.5" x14ac:dyDescent="0.3">
      <c r="W74" s="28"/>
    </row>
    <row r="75" spans="23:23" ht="14.5" x14ac:dyDescent="0.3">
      <c r="W75" s="28"/>
    </row>
    <row r="76" spans="23:23" ht="14.5" x14ac:dyDescent="0.3">
      <c r="W76" s="28"/>
    </row>
    <row r="77" spans="23:23" ht="14.5" x14ac:dyDescent="0.3">
      <c r="W77" s="28"/>
    </row>
    <row r="78" spans="23:23" ht="14.5" x14ac:dyDescent="0.3">
      <c r="W78" s="28"/>
    </row>
    <row r="79" spans="23:23" ht="14.5" x14ac:dyDescent="0.3">
      <c r="W79" s="28"/>
    </row>
    <row r="80" spans="23:23" ht="14.5" x14ac:dyDescent="0.3">
      <c r="W80" s="28"/>
    </row>
    <row r="81" spans="23:23" ht="14.5" x14ac:dyDescent="0.3">
      <c r="W81" s="28"/>
    </row>
    <row r="82" spans="23:23" ht="14.5" x14ac:dyDescent="0.3">
      <c r="W82" s="28"/>
    </row>
    <row r="83" spans="23:23" ht="14.5" x14ac:dyDescent="0.3">
      <c r="W83" s="28"/>
    </row>
    <row r="84" spans="23:23" ht="14.5" x14ac:dyDescent="0.3">
      <c r="W84" s="28"/>
    </row>
    <row r="86" spans="23:23" ht="14.5" x14ac:dyDescent="0.3">
      <c r="W86" s="28"/>
    </row>
    <row r="87" spans="23:23" x14ac:dyDescent="0.3">
      <c r="W87" s="242"/>
    </row>
    <row r="88" spans="23:23" ht="14.5" x14ac:dyDescent="0.3">
      <c r="W88" s="28"/>
    </row>
    <row r="89" spans="23:23" ht="14.5" x14ac:dyDescent="0.3">
      <c r="W89" s="204"/>
    </row>
    <row r="90" spans="23:23" ht="14.5" x14ac:dyDescent="0.3">
      <c r="W90" s="28"/>
    </row>
    <row r="91" spans="23:23" ht="14.5" x14ac:dyDescent="0.3">
      <c r="W91" s="28"/>
    </row>
    <row r="92" spans="23:23" ht="14.5" x14ac:dyDescent="0.3">
      <c r="W92" s="233"/>
    </row>
  </sheetData>
  <mergeCells count="20">
    <mergeCell ref="B1:D1"/>
    <mergeCell ref="B2:D2"/>
    <mergeCell ref="B3:D3"/>
    <mergeCell ref="B6:D6"/>
    <mergeCell ref="B7:D7"/>
    <mergeCell ref="A11:C11"/>
    <mergeCell ref="D11:N11"/>
    <mergeCell ref="A4:D4"/>
    <mergeCell ref="O11:T11"/>
    <mergeCell ref="A18:C18"/>
    <mergeCell ref="D18:N18"/>
    <mergeCell ref="A23:C23"/>
    <mergeCell ref="D23:N23"/>
    <mergeCell ref="A43:N43"/>
    <mergeCell ref="N25:N29"/>
    <mergeCell ref="U25:U29"/>
    <mergeCell ref="A31:C31"/>
    <mergeCell ref="D31:N31"/>
    <mergeCell ref="A37:C37"/>
    <mergeCell ref="D37:N37"/>
  </mergeCells>
  <conditionalFormatting sqref="Q36:Q38">
    <cfRule type="expression" dxfId="1672" priority="57">
      <formula>IF($E36,TRUE)</formula>
    </cfRule>
  </conditionalFormatting>
  <conditionalFormatting sqref="U36:U38">
    <cfRule type="containsText" dxfId="1671" priority="53" operator="containsText" text="Applicable">
      <formula>NOT(ISERROR(SEARCH("Applicable",U36)))</formula>
    </cfRule>
    <cfRule type="containsText" dxfId="1670" priority="54" operator="containsText" text="Functionally">
      <formula>NOT(ISERROR(SEARCH("Functionally",U36)))</formula>
    </cfRule>
    <cfRule type="containsText" dxfId="1669" priority="55" operator="containsText" text="Not Compliant">
      <formula>NOT(ISERROR(SEARCH("Not Compliant",U36)))</formula>
    </cfRule>
    <cfRule type="containsText" dxfId="1668" priority="56" operator="containsText" text="Compliant">
      <formula>NOT(ISERROR(SEARCH("Compliant",U36)))</formula>
    </cfRule>
  </conditionalFormatting>
  <conditionalFormatting sqref="P36:P39">
    <cfRule type="expression" dxfId="1667" priority="58">
      <formula>IF(#REF!,TRUE)</formula>
    </cfRule>
    <cfRule type="expression" dxfId="1666" priority="59">
      <formula>IF($E36,TRUE)</formula>
    </cfRule>
  </conditionalFormatting>
  <conditionalFormatting sqref="Q39">
    <cfRule type="expression" dxfId="1665" priority="52">
      <formula>IF($E39,TRUE)</formula>
    </cfRule>
  </conditionalFormatting>
  <conditionalFormatting sqref="U39">
    <cfRule type="containsText" dxfId="1664" priority="48" operator="containsText" text="Applicable">
      <formula>NOT(ISERROR(SEARCH("Applicable",U39)))</formula>
    </cfRule>
    <cfRule type="containsText" dxfId="1663" priority="49" operator="containsText" text="Functionally">
      <formula>NOT(ISERROR(SEARCH("Functionally",U39)))</formula>
    </cfRule>
    <cfRule type="containsText" dxfId="1662" priority="50" operator="containsText" text="Not Compliant">
      <formula>NOT(ISERROR(SEARCH("Not Compliant",U39)))</formula>
    </cfRule>
    <cfRule type="containsText" dxfId="1661" priority="51" operator="containsText" text="Compliant">
      <formula>NOT(ISERROR(SEARCH("Compliant",U39)))</formula>
    </cfRule>
  </conditionalFormatting>
  <conditionalFormatting sqref="N39">
    <cfRule type="containsText" dxfId="1660" priority="60" operator="containsText" text="Not Compliant">
      <formula>NOT(ISERROR(SEARCH("Not Compliant",N39)))</formula>
    </cfRule>
    <cfRule type="expression" dxfId="1659" priority="61">
      <formula>IF(AND($E39=TRUE,$I39="",$N39="Compliant"),TRUE,FALSE)</formula>
    </cfRule>
    <cfRule type="expression" dxfId="1658" priority="62">
      <formula>IF(AND($E39=TRUE,$I39&lt;&gt;"",$N39="Compliant"),TRUE,FALSE)</formula>
    </cfRule>
    <cfRule type="expression" dxfId="1657" priority="63">
      <formula>IF(AND($E39=FALSE,$N39&lt;&gt;""),TRUE,FALSE)</formula>
    </cfRule>
    <cfRule type="expression" dxfId="1656" priority="64">
      <formula>IF(AND($I39&lt;&gt;"",$N39&lt;&gt;""),TRUE,FALSE)</formula>
    </cfRule>
  </conditionalFormatting>
  <conditionalFormatting sqref="N36:N38">
    <cfRule type="containsText" dxfId="1655" priority="65" operator="containsText" text="Not Compliant">
      <formula>NOT(ISERROR(SEARCH("Not Compliant",N36)))</formula>
    </cfRule>
    <cfRule type="expression" dxfId="1654" priority="66">
      <formula>IF(AND($E36=TRUE,$I36="",$N36="Compliant"),TRUE,FALSE)</formula>
    </cfRule>
    <cfRule type="expression" dxfId="1653" priority="67">
      <formula>IF(AND($E36=TRUE,$I36&lt;&gt;"",$N36="Compliant"),TRUE,FALSE)</formula>
    </cfRule>
    <cfRule type="expression" dxfId="1652" priority="68">
      <formula>IF($N36&lt;&gt;"",TRUE,FALSE)</formula>
    </cfRule>
    <cfRule type="expression" dxfId="1651" priority="69">
      <formula>IF(AND($E36=FALSE,$N36&lt;&gt;""),TRUE,FALSE)</formula>
    </cfRule>
    <cfRule type="expression" dxfId="1650" priority="70">
      <formula>IF(AND($I36&lt;&gt;"",$N36&lt;&gt;""),TRUE,FALSE)</formula>
    </cfRule>
  </conditionalFormatting>
  <conditionalFormatting sqref="Q42">
    <cfRule type="expression" dxfId="1649" priority="39">
      <formula>IF($E42,TRUE)</formula>
    </cfRule>
  </conditionalFormatting>
  <conditionalFormatting sqref="U42">
    <cfRule type="containsText" dxfId="1648" priority="35" operator="containsText" text="Applicable">
      <formula>NOT(ISERROR(SEARCH("Applicable",U42)))</formula>
    </cfRule>
    <cfRule type="containsText" dxfId="1647" priority="36" operator="containsText" text="Functionally">
      <formula>NOT(ISERROR(SEARCH("Functionally",U42)))</formula>
    </cfRule>
    <cfRule type="containsText" dxfId="1646" priority="37" operator="containsText" text="Not Compliant">
      <formula>NOT(ISERROR(SEARCH("Not Compliant",U42)))</formula>
    </cfRule>
    <cfRule type="containsText" dxfId="1645" priority="38" operator="containsText" text="Compliant">
      <formula>NOT(ISERROR(SEARCH("Compliant",U42)))</formula>
    </cfRule>
  </conditionalFormatting>
  <conditionalFormatting sqref="P42">
    <cfRule type="expression" dxfId="1644" priority="40">
      <formula>IF(#REF!,TRUE)</formula>
    </cfRule>
    <cfRule type="expression" dxfId="1643" priority="41">
      <formula>IF($E42,TRUE)</formula>
    </cfRule>
  </conditionalFormatting>
  <conditionalFormatting sqref="N45">
    <cfRule type="beginsWith" dxfId="1642" priority="30" operator="beginsWith" text="Partly">
      <formula>LEFT(N45,LEN("Partly"))="Partly"</formula>
    </cfRule>
    <cfRule type="containsText" dxfId="1641" priority="31" operator="containsText" text="Missing">
      <formula>NOT(ISERROR(SEARCH("Missing",N45)))</formula>
    </cfRule>
    <cfRule type="beginsWith" dxfId="1640" priority="32" operator="beginsWith" text="Not">
      <formula>LEFT(N45,LEN("Not"))="Not"</formula>
    </cfRule>
    <cfRule type="beginsWith" dxfId="1639" priority="33" operator="beginsWith" text="Compliant">
      <formula>LEFT(N45,LEN("Compliant"))="Compliant"</formula>
    </cfRule>
    <cfRule type="containsText" dxfId="1638" priority="34" operator="containsText" text="Equivalent">
      <formula>NOT(ISERROR(SEARCH("Equivalent",N45)))</formula>
    </cfRule>
  </conditionalFormatting>
  <conditionalFormatting sqref="N42">
    <cfRule type="containsText" dxfId="1637" priority="42" operator="containsText" text="Not Compliant">
      <formula>NOT(ISERROR(SEARCH("Not Compliant",N42)))</formula>
    </cfRule>
    <cfRule type="expression" dxfId="1636" priority="43">
      <formula>IF(AND($E42=TRUE,$I42="",$N42="Compliant"),TRUE,FALSE)</formula>
    </cfRule>
    <cfRule type="expression" dxfId="1635" priority="44">
      <formula>IF(AND($E42=TRUE,$I42&lt;&gt;"",$N42="Compliant"),TRUE,FALSE)</formula>
    </cfRule>
    <cfRule type="expression" dxfId="1634" priority="45">
      <formula>IF($N42&lt;&gt;"",TRUE,FALSE)</formula>
    </cfRule>
    <cfRule type="expression" dxfId="1633" priority="46">
      <formula>IF(AND($E42=FALSE,$N42&lt;&gt;""),TRUE,FALSE)</formula>
    </cfRule>
    <cfRule type="expression" dxfId="1632" priority="47">
      <formula>IF(AND($I42&lt;&gt;"",$N42&lt;&gt;""),TRUE,FALSE)</formula>
    </cfRule>
  </conditionalFormatting>
  <conditionalFormatting sqref="B15">
    <cfRule type="expression" dxfId="1631" priority="29">
      <formula>IF($E15=TRUE,TRUE,FALSE)</formula>
    </cfRule>
  </conditionalFormatting>
  <conditionalFormatting sqref="B13">
    <cfRule type="expression" dxfId="1630" priority="28">
      <formula>IF($E13=TRUE,TRUE,FALSE)</formula>
    </cfRule>
  </conditionalFormatting>
  <conditionalFormatting sqref="B14">
    <cfRule type="expression" dxfId="1629" priority="27">
      <formula>IF($E14=TRUE,TRUE,FALSE)</formula>
    </cfRule>
  </conditionalFormatting>
  <conditionalFormatting sqref="B16">
    <cfRule type="expression" dxfId="1628" priority="26">
      <formula>IF($E16=TRUE,TRUE,FALSE)</formula>
    </cfRule>
  </conditionalFormatting>
  <conditionalFormatting sqref="D13:D16">
    <cfRule type="expression" dxfId="1627" priority="25">
      <formula>IF($E13,TRUE)</formula>
    </cfRule>
  </conditionalFormatting>
  <conditionalFormatting sqref="V36:V38">
    <cfRule type="expression" dxfId="1626" priority="24">
      <formula>IF($E36,TRUE)</formula>
    </cfRule>
  </conditionalFormatting>
  <conditionalFormatting sqref="V39">
    <cfRule type="expression" dxfId="1625" priority="23">
      <formula>IF($E39,TRUE)</formula>
    </cfRule>
  </conditionalFormatting>
  <conditionalFormatting sqref="V42">
    <cfRule type="expression" dxfId="1624" priority="22">
      <formula>IF($E42,TRUE)</formula>
    </cfRule>
  </conditionalFormatting>
  <conditionalFormatting sqref="O36:O38">
    <cfRule type="expression" dxfId="1623" priority="21">
      <formula>IF($E36,TRUE)</formula>
    </cfRule>
  </conditionalFormatting>
  <conditionalFormatting sqref="O39">
    <cfRule type="expression" dxfId="1622" priority="20">
      <formula>IF($E39,TRUE)</formula>
    </cfRule>
  </conditionalFormatting>
  <conditionalFormatting sqref="O42">
    <cfRule type="expression" dxfId="1621" priority="19">
      <formula>IF($E42,TRUE)</formula>
    </cfRule>
  </conditionalFormatting>
  <conditionalFormatting sqref="P26">
    <cfRule type="expression" dxfId="1620" priority="10">
      <formula>IF($Q26="Compliant",TRUE)</formula>
    </cfRule>
    <cfRule type="expression" dxfId="1619" priority="11">
      <formula>IF($Q26="FE with work-a-round",TRUE)</formula>
    </cfRule>
    <cfRule type="expression" dxfId="1618" priority="12">
      <formula>IF($Q26="Functionally Equivalent",TRUE)</formula>
    </cfRule>
    <cfRule type="expression" dxfId="1617" priority="13">
      <formula>IF($Q26="Likely to become compliant",TRUE)</formula>
    </cfRule>
    <cfRule type="expression" dxfId="1616" priority="14">
      <formula>IF($Q26="Partly Compliant",TRUE)</formula>
    </cfRule>
    <cfRule type="expression" dxfId="1615" priority="15">
      <formula>IF($Q26="Unknown/Missing",TRUE)</formula>
    </cfRule>
    <cfRule type="expression" dxfId="1614" priority="16">
      <formula>IF($Q26="Not Required/Applicable",TRUE)</formula>
    </cfRule>
    <cfRule type="expression" dxfId="1613" priority="17">
      <formula>IF($Q26="Not Compliant",TRUE)</formula>
    </cfRule>
    <cfRule type="expression" dxfId="1612" priority="18">
      <formula>IF($Q26=" ",TRUE)</formula>
    </cfRule>
  </conditionalFormatting>
  <conditionalFormatting sqref="P26">
    <cfRule type="expression" dxfId="1611" priority="1">
      <formula>IF($Q26="Compliant",TRUE)</formula>
    </cfRule>
    <cfRule type="expression" dxfId="1610" priority="2">
      <formula>IF($Q26="FE with work-a-round",TRUE)</formula>
    </cfRule>
    <cfRule type="expression" dxfId="1609" priority="3">
      <formula>IF($Q26="Functionally Equivalent",TRUE)</formula>
    </cfRule>
    <cfRule type="expression" dxfId="1608" priority="4">
      <formula>IF($Q26="Likely to become compliant",TRUE)</formula>
    </cfRule>
    <cfRule type="expression" dxfId="1607" priority="5">
      <formula>IF($Q26="Partly Compliant",TRUE)</formula>
    </cfRule>
    <cfRule type="expression" dxfId="1606" priority="6">
      <formula>IF($Q26="Unknown/Missing",TRUE)</formula>
    </cfRule>
    <cfRule type="expression" dxfId="1605" priority="7">
      <formula>IF($Q26="Not Required/Applicable",TRUE)</formula>
    </cfRule>
    <cfRule type="expression" dxfId="1604" priority="8">
      <formula>IF($Q26="Not Compliant",TRUE)</formula>
    </cfRule>
    <cfRule type="expression" dxfId="1603" priority="9">
      <formula>IF($Q26=" ",TRUE)</formula>
    </cfRule>
  </conditionalFormatting>
  <dataValidations count="1">
    <dataValidation type="list" allowBlank="1" showInputMessage="1" showErrorMessage="1" sqref="N25 N36 N45">
      <formula1>Initial_Compliance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Dropdowns!$C$16:$C$19</xm:f>
          </x14:formula1>
          <xm:sqref>U20 U24</xm:sqref>
        </x14:dataValidation>
        <x14:dataValidation type="list" allowBlank="1" showInputMessage="1" showErrorMessage="1">
          <x14:formula1>
            <xm:f>Dropdowns!$F$9:$F$12</xm:f>
          </x14:formula1>
          <xm:sqref>N20 N33 N38:N39 N44 N42</xm:sqref>
        </x14:dataValidation>
        <x14:dataValidation type="list" allowBlank="1" showInputMessage="1" showErrorMessage="1">
          <x14:formula1>
            <xm:f>Dropdowns!$C$11:$C$13</xm:f>
          </x14:formula1>
          <xm:sqref>N9 U15:U16 U9 N15:N16</xm:sqref>
        </x14:dataValidation>
        <x14:dataValidation type="list" allowBlank="1" showInputMessage="1" showErrorMessage="1">
          <x14:formula1>
            <xm:f>Dropdowns!$G$11:$G$16</xm:f>
          </x14:formula1>
          <xm:sqref>U13:U14 U17 U25 U33:U34 U36 U38:U39 U42 U44</xm:sqref>
        </x14:dataValidation>
        <x14:dataValidation type="list" allowBlank="1" showInputMessage="1" showErrorMessage="1">
          <x14:formula1>
            <xm:f>Dropdowns!$D$16:$D$23</xm:f>
          </x14:formula1>
          <xm:sqref>D26:D29</xm:sqref>
        </x14:dataValidation>
        <x14:dataValidation type="list" allowBlank="1" showInputMessage="1" showErrorMessage="1">
          <x14:formula1>
            <xm:f>Dropdowns!$F$9:$F$13</xm:f>
          </x14:formula1>
          <xm:sqref>N34</xm:sqref>
        </x14:dataValidation>
        <x14:dataValidation type="list" allowBlank="1" showInputMessage="1" showErrorMessage="1">
          <x14:formula1>
            <xm:f>Dropdowns!$E$11:$E$15</xm:f>
          </x14:formula1>
          <xm:sqref>P26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F95"/>
  <sheetViews>
    <sheetView zoomScale="75" zoomScaleNormal="75" workbookViewId="0">
      <pane xSplit="3" ySplit="5" topLeftCell="D6" activePane="bottomRight" state="frozen"/>
      <selection activeCell="T10" sqref="T10"/>
      <selection pane="topRight" activeCell="T10" sqref="T10"/>
      <selection pane="bottomLeft" activeCell="T10" sqref="T10"/>
      <selection pane="bottomRight" activeCell="I11" sqref="I11"/>
    </sheetView>
  </sheetViews>
  <sheetFormatPr defaultColWidth="9.296875" defaultRowHeight="15.5" x14ac:dyDescent="0.3"/>
  <cols>
    <col min="1" max="1" width="9.296875" style="1386" customWidth="1"/>
    <col min="2" max="3" width="43.796875" style="1386" customWidth="1"/>
    <col min="4" max="4" width="34.19921875" style="1386" customWidth="1"/>
    <col min="5" max="5" width="9.796875" style="1386" hidden="1" customWidth="1"/>
    <col min="6" max="6" width="9.296875" style="1386" hidden="1" customWidth="1"/>
    <col min="7" max="7" width="10.19921875" style="1386" hidden="1" customWidth="1"/>
    <col min="8" max="8" width="9.69921875" style="1386" hidden="1" customWidth="1"/>
    <col min="9" max="9" width="64.19921875" style="1386" customWidth="1"/>
    <col min="10" max="10" width="9.3984375" style="1386" hidden="1" customWidth="1"/>
    <col min="11" max="11" width="8.796875" style="1386" hidden="1" customWidth="1"/>
    <col min="12" max="12" width="33.296875" style="1386" customWidth="1"/>
    <col min="13" max="13" width="35.19921875" style="1386" customWidth="1"/>
    <col min="14" max="14" width="32.796875" style="2759" customWidth="1"/>
    <col min="15" max="15" width="13.796875" style="1386" hidden="1" customWidth="1"/>
    <col min="16" max="16" width="49.69921875" style="1386" customWidth="1"/>
    <col min="17" max="17" width="35.796875" style="1386" customWidth="1"/>
    <col min="18" max="18" width="9.296875" style="1386" hidden="1" customWidth="1"/>
    <col min="19" max="19" width="57.296875" style="1386" customWidth="1"/>
    <col min="20" max="20" width="38.3984375" style="1386" customWidth="1"/>
    <col min="21" max="21" width="40" style="1386" customWidth="1"/>
    <col min="22" max="22" width="33.3984375" style="2760" customWidth="1"/>
    <col min="23" max="23" width="10.19921875" style="1559" customWidth="1"/>
    <col min="24" max="24" width="51.69921875" style="1386" customWidth="1"/>
    <col min="25" max="25" width="30.69921875" style="1386" customWidth="1"/>
    <col min="26" max="26" width="27.296875" style="1386" customWidth="1"/>
    <col min="27" max="16384" width="9.296875" style="1386"/>
  </cols>
  <sheetData>
    <row r="1" spans="1:26" ht="75" customHeight="1" x14ac:dyDescent="0.3">
      <c r="A1" s="3993"/>
      <c r="B1" s="4460"/>
      <c r="C1" s="4460"/>
      <c r="D1" s="4460"/>
    </row>
    <row r="2" spans="1:26" ht="96.75" customHeight="1" x14ac:dyDescent="0.3">
      <c r="A2" s="3993"/>
      <c r="B2" s="4461" t="s">
        <v>2280</v>
      </c>
      <c r="C2" s="4462"/>
      <c r="D2" s="4462"/>
    </row>
    <row r="3" spans="1:26" x14ac:dyDescent="0.3">
      <c r="A3" s="3993"/>
      <c r="B3" s="4746"/>
      <c r="C3" s="4746"/>
      <c r="D3" s="4746"/>
    </row>
    <row r="4" spans="1:26" ht="42.75" customHeight="1" thickBot="1" x14ac:dyDescent="0.35">
      <c r="A4" s="4320"/>
      <c r="B4" s="4939" t="s">
        <v>1889</v>
      </c>
      <c r="C4" s="4940"/>
      <c r="D4" s="4940"/>
      <c r="E4" s="1527"/>
      <c r="F4" s="1739"/>
      <c r="G4" s="1739"/>
      <c r="H4" s="1739"/>
      <c r="I4" s="1739"/>
      <c r="J4" s="1739"/>
      <c r="K4" s="1739"/>
      <c r="L4" s="1739"/>
      <c r="M4" s="1739"/>
      <c r="N4" s="2761"/>
      <c r="O4" s="1739"/>
      <c r="P4" s="1739"/>
      <c r="Q4" s="1739"/>
      <c r="R4" s="1739"/>
      <c r="S4" s="1739"/>
      <c r="T4" s="1739"/>
      <c r="U4" s="1739"/>
      <c r="X4" s="1739"/>
      <c r="Y4" s="1739"/>
      <c r="Z4" s="1739"/>
    </row>
    <row r="5" spans="1:26" ht="48" customHeight="1" thickTop="1" thickBot="1" x14ac:dyDescent="0.35">
      <c r="A5" s="2560"/>
      <c r="B5" s="1103" t="s">
        <v>1872</v>
      </c>
      <c r="C5" s="1103" t="s">
        <v>1873</v>
      </c>
      <c r="D5" s="1103" t="s">
        <v>1236</v>
      </c>
      <c r="E5" s="1103"/>
      <c r="F5" s="1103"/>
      <c r="G5" s="1103"/>
      <c r="H5" s="1103"/>
      <c r="I5" s="1103" t="s">
        <v>458</v>
      </c>
      <c r="J5" s="1103"/>
      <c r="K5" s="1103"/>
      <c r="L5" s="1103" t="s">
        <v>408</v>
      </c>
      <c r="M5" s="1103" t="s">
        <v>466</v>
      </c>
      <c r="N5" s="2794" t="s">
        <v>465</v>
      </c>
      <c r="O5" s="1103"/>
      <c r="P5" s="1103" t="s">
        <v>1221</v>
      </c>
      <c r="Q5" s="1103" t="s">
        <v>1212</v>
      </c>
      <c r="R5" s="1103"/>
      <c r="S5" s="1103" t="s">
        <v>396</v>
      </c>
      <c r="T5" s="1103" t="s">
        <v>409</v>
      </c>
      <c r="U5" s="1103" t="s">
        <v>1211</v>
      </c>
      <c r="V5" s="2794" t="s">
        <v>1801</v>
      </c>
      <c r="W5" s="1914"/>
      <c r="X5" s="1103" t="s">
        <v>10</v>
      </c>
      <c r="Y5" s="1103" t="s">
        <v>11</v>
      </c>
      <c r="Z5" s="1103" t="s">
        <v>12</v>
      </c>
    </row>
    <row r="6" spans="1:26" ht="19" thickTop="1" x14ac:dyDescent="0.3">
      <c r="A6" s="3993"/>
      <c r="B6" s="4321" t="s">
        <v>900</v>
      </c>
      <c r="C6" s="4321"/>
      <c r="D6" s="4321"/>
      <c r="E6" s="3810"/>
      <c r="F6" s="3810"/>
      <c r="G6" s="3810"/>
      <c r="H6" s="3810"/>
      <c r="I6" s="3810"/>
      <c r="J6" s="3810"/>
      <c r="K6" s="3810"/>
      <c r="L6" s="3810"/>
      <c r="M6" s="3810"/>
      <c r="N6" s="4322"/>
      <c r="O6" s="2125"/>
      <c r="P6" s="2125"/>
      <c r="Q6" s="2125"/>
      <c r="R6" s="2125"/>
      <c r="S6" s="2125"/>
      <c r="T6" s="2125"/>
      <c r="U6" s="2125"/>
      <c r="V6" s="2762"/>
      <c r="W6" s="2763"/>
      <c r="X6" s="2125"/>
      <c r="Y6" s="2125"/>
      <c r="Z6" s="2125"/>
    </row>
    <row r="7" spans="1:26" ht="174" customHeight="1" x14ac:dyDescent="0.3">
      <c r="A7" s="4116" t="s">
        <v>150</v>
      </c>
      <c r="B7" s="4937" t="s">
        <v>2078</v>
      </c>
      <c r="C7" s="4938"/>
      <c r="D7" s="4938"/>
      <c r="E7" s="3993"/>
      <c r="F7" s="3993"/>
      <c r="G7" s="3993"/>
      <c r="H7" s="3993"/>
      <c r="I7" s="3993"/>
      <c r="J7" s="3993"/>
      <c r="K7" s="3993"/>
      <c r="L7" s="3993"/>
      <c r="M7" s="3993"/>
      <c r="N7" s="4323"/>
    </row>
    <row r="8" spans="1:26" s="3993" customFormat="1" ht="18.5" x14ac:dyDescent="0.3">
      <c r="B8" s="4324"/>
      <c r="C8" s="4324"/>
      <c r="D8" s="4324"/>
      <c r="N8" s="4323"/>
      <c r="V8" s="4326"/>
      <c r="W8" s="3652"/>
    </row>
    <row r="9" spans="1:26" s="3993" customFormat="1" ht="18.5" x14ac:dyDescent="0.3">
      <c r="A9" s="4636" t="s">
        <v>1263</v>
      </c>
      <c r="B9" s="4636"/>
      <c r="C9" s="4636"/>
      <c r="D9" s="4636"/>
      <c r="E9" s="4636"/>
      <c r="F9" s="4636"/>
      <c r="G9" s="4636"/>
      <c r="H9" s="4636"/>
      <c r="I9" s="4636"/>
      <c r="J9" s="4636"/>
      <c r="K9" s="4636"/>
      <c r="L9" s="4636"/>
      <c r="M9" s="4636"/>
      <c r="N9" s="4636"/>
      <c r="O9" s="3646"/>
      <c r="P9" s="4636"/>
      <c r="Q9" s="4636"/>
      <c r="R9" s="4636"/>
      <c r="S9" s="4636"/>
      <c r="T9" s="4636"/>
      <c r="U9" s="4636"/>
      <c r="V9" s="4327"/>
      <c r="W9" s="3805"/>
      <c r="X9" s="4636"/>
      <c r="Y9" s="4636"/>
      <c r="Z9" s="3810"/>
    </row>
    <row r="10" spans="1:26" s="3993" customFormat="1" ht="16" thickBot="1" x14ac:dyDescent="0.35">
      <c r="B10" s="4325"/>
      <c r="N10" s="4323"/>
      <c r="V10" s="4326"/>
      <c r="W10" s="3652"/>
    </row>
    <row r="11" spans="1:26" ht="44.5" thickTop="1" thickBot="1" x14ac:dyDescent="0.35">
      <c r="A11" s="57"/>
      <c r="B11" s="1933" t="s">
        <v>824</v>
      </c>
      <c r="C11" s="1809" t="s">
        <v>475</v>
      </c>
      <c r="D11" s="1925" t="s">
        <v>1233</v>
      </c>
      <c r="E11" s="138" t="b">
        <f>E18</f>
        <v>0</v>
      </c>
      <c r="F11" s="111"/>
      <c r="G11" s="2764"/>
      <c r="H11" s="2764"/>
      <c r="I11" s="2765"/>
      <c r="J11" s="2765"/>
      <c r="K11" s="2765"/>
      <c r="L11" s="2765"/>
      <c r="M11" s="2766"/>
      <c r="N11" s="4183" t="s">
        <v>1233</v>
      </c>
      <c r="O11" s="697" t="b">
        <f>O18</f>
        <v>0</v>
      </c>
      <c r="P11" s="2767"/>
      <c r="Q11" s="4183" t="s">
        <v>1233</v>
      </c>
      <c r="R11" s="138" t="b">
        <f>R18</f>
        <v>0</v>
      </c>
      <c r="S11" s="616"/>
      <c r="T11" s="616"/>
      <c r="U11" s="2768"/>
      <c r="V11" s="4329" t="s">
        <v>1233</v>
      </c>
      <c r="W11" s="697" t="b">
        <f>W18</f>
        <v>0</v>
      </c>
      <c r="X11" s="2769"/>
      <c r="Y11" s="2571"/>
      <c r="Z11" s="2572"/>
    </row>
    <row r="12" spans="1:26" ht="30" thickTop="1" thickBot="1" x14ac:dyDescent="0.35">
      <c r="A12" s="57"/>
      <c r="B12" s="1933" t="s">
        <v>825</v>
      </c>
      <c r="C12" s="1809" t="s">
        <v>474</v>
      </c>
      <c r="D12" s="1925" t="s">
        <v>1233</v>
      </c>
      <c r="E12" s="67" t="b">
        <f>E25</f>
        <v>0</v>
      </c>
      <c r="F12" s="44"/>
      <c r="G12" s="2587"/>
      <c r="H12" s="2587"/>
      <c r="I12" s="2765"/>
      <c r="J12" s="2765"/>
      <c r="K12" s="2765"/>
      <c r="L12" s="2765"/>
      <c r="M12" s="2766"/>
      <c r="N12" s="4184" t="s">
        <v>1233</v>
      </c>
      <c r="O12" s="205" t="b">
        <f>O25</f>
        <v>0</v>
      </c>
      <c r="P12" s="2770"/>
      <c r="Q12" s="4184" t="s">
        <v>1233</v>
      </c>
      <c r="R12" s="67" t="b">
        <f>R25</f>
        <v>0</v>
      </c>
      <c r="S12" s="361"/>
      <c r="T12" s="361"/>
      <c r="U12" s="419"/>
      <c r="V12" s="4330" t="s">
        <v>1233</v>
      </c>
      <c r="W12" s="205" t="b">
        <f>W25</f>
        <v>0</v>
      </c>
      <c r="X12" s="2771"/>
      <c r="Y12" s="2574"/>
      <c r="Z12" s="2575"/>
    </row>
    <row r="13" spans="1:26" ht="44.5" thickTop="1" thickBot="1" x14ac:dyDescent="0.35">
      <c r="A13" s="57"/>
      <c r="B13" s="1933" t="s">
        <v>826</v>
      </c>
      <c r="C13" s="1809" t="s">
        <v>822</v>
      </c>
      <c r="D13" s="1925" t="s">
        <v>1233</v>
      </c>
      <c r="E13" s="594" t="b">
        <f>E33</f>
        <v>0</v>
      </c>
      <c r="F13" s="361"/>
      <c r="G13" s="361"/>
      <c r="H13" s="361"/>
      <c r="I13" s="396"/>
      <c r="J13" s="396"/>
      <c r="K13" s="396"/>
      <c r="L13" s="396"/>
      <c r="M13" s="1002"/>
      <c r="N13" s="4184" t="s">
        <v>1233</v>
      </c>
      <c r="O13" s="205" t="b">
        <f>O33</f>
        <v>0</v>
      </c>
      <c r="P13" s="2772"/>
      <c r="Q13" s="4184" t="s">
        <v>1233</v>
      </c>
      <c r="R13" s="594" t="b">
        <f>R33</f>
        <v>0</v>
      </c>
      <c r="S13" s="361"/>
      <c r="T13" s="361"/>
      <c r="U13" s="419"/>
      <c r="V13" s="4330" t="s">
        <v>1233</v>
      </c>
      <c r="W13" s="205" t="b">
        <f>W33</f>
        <v>0</v>
      </c>
      <c r="X13" s="594"/>
      <c r="Y13" s="361"/>
      <c r="Z13" s="362"/>
    </row>
    <row r="14" spans="1:26" ht="30" thickTop="1" thickBot="1" x14ac:dyDescent="0.35">
      <c r="A14" s="57"/>
      <c r="B14" s="2204" t="s">
        <v>827</v>
      </c>
      <c r="C14" s="2147" t="s">
        <v>823</v>
      </c>
      <c r="D14" s="2205" t="s">
        <v>1233</v>
      </c>
      <c r="E14" s="595" t="b">
        <f>E89</f>
        <v>0</v>
      </c>
      <c r="F14" s="258"/>
      <c r="G14" s="258"/>
      <c r="H14" s="258"/>
      <c r="I14" s="408"/>
      <c r="J14" s="408"/>
      <c r="K14" s="408"/>
      <c r="L14" s="408"/>
      <c r="M14" s="2221"/>
      <c r="N14" s="4185" t="s">
        <v>1233</v>
      </c>
      <c r="O14" s="590" t="b">
        <f>O89</f>
        <v>0</v>
      </c>
      <c r="P14" s="2773"/>
      <c r="Q14" s="4185" t="s">
        <v>1233</v>
      </c>
      <c r="R14" s="595" t="b">
        <f>R89</f>
        <v>0</v>
      </c>
      <c r="S14" s="258"/>
      <c r="T14" s="258"/>
      <c r="U14" s="421"/>
      <c r="V14" s="4331" t="s">
        <v>1233</v>
      </c>
      <c r="W14" s="590" t="b">
        <f>W89</f>
        <v>0</v>
      </c>
      <c r="X14" s="595"/>
      <c r="Y14" s="258"/>
      <c r="Z14" s="363"/>
    </row>
    <row r="15" spans="1:26" s="3993" customFormat="1" ht="16" thickTop="1" x14ac:dyDescent="0.3">
      <c r="A15" s="3634"/>
      <c r="B15" s="3652"/>
      <c r="C15" s="3634"/>
      <c r="D15" s="3652"/>
      <c r="E15" s="3634"/>
      <c r="F15" s="3634"/>
      <c r="G15" s="3634"/>
      <c r="H15" s="3634"/>
      <c r="I15" s="3635"/>
      <c r="J15" s="3635"/>
      <c r="K15" s="3635"/>
      <c r="L15" s="3635"/>
      <c r="M15" s="3635"/>
      <c r="N15" s="3826"/>
      <c r="O15" s="3634"/>
      <c r="P15" s="3652"/>
      <c r="Q15" s="3652"/>
      <c r="R15" s="3635"/>
      <c r="S15" s="3635"/>
      <c r="T15" s="3635"/>
      <c r="U15" s="3635"/>
      <c r="V15" s="4328"/>
      <c r="W15" s="3634"/>
      <c r="X15" s="3635"/>
      <c r="Y15" s="3635"/>
      <c r="Z15" s="3635"/>
    </row>
    <row r="16" spans="1:26" s="3652" customFormat="1" ht="18.5" x14ac:dyDescent="0.3">
      <c r="A16" s="4636" t="s">
        <v>1135</v>
      </c>
      <c r="B16" s="4636"/>
      <c r="C16" s="4636"/>
      <c r="D16" s="4636"/>
      <c r="E16" s="4636"/>
      <c r="F16" s="4636"/>
      <c r="G16" s="4636"/>
      <c r="H16" s="4636"/>
      <c r="I16" s="4636"/>
      <c r="J16" s="4636"/>
      <c r="K16" s="4636"/>
      <c r="L16" s="4636"/>
      <c r="M16" s="4636"/>
      <c r="N16" s="4636"/>
      <c r="O16" s="3646"/>
      <c r="P16" s="3646"/>
      <c r="Q16" s="3646"/>
      <c r="R16" s="3646"/>
      <c r="S16" s="3646"/>
      <c r="T16" s="3646"/>
      <c r="U16" s="3646"/>
      <c r="V16" s="4327"/>
      <c r="W16" s="3805"/>
      <c r="X16" s="3646"/>
      <c r="Y16" s="3646"/>
      <c r="Z16" s="3646"/>
    </row>
    <row r="17" spans="1:26" s="4324" customFormat="1" ht="19" thickBot="1" x14ac:dyDescent="0.35">
      <c r="A17" s="3652"/>
      <c r="B17" s="3652"/>
      <c r="C17" s="3652"/>
      <c r="D17" s="3652"/>
      <c r="E17" s="3652"/>
      <c r="F17" s="3652"/>
      <c r="G17" s="3652"/>
      <c r="H17" s="3652"/>
      <c r="I17" s="3652"/>
      <c r="J17" s="3652"/>
      <c r="K17" s="3652"/>
      <c r="L17" s="3652"/>
      <c r="M17" s="3652"/>
      <c r="N17" s="3825"/>
      <c r="O17" s="3652"/>
      <c r="P17" s="3652"/>
      <c r="Q17" s="3652"/>
      <c r="R17" s="3652"/>
      <c r="S17" s="3652"/>
      <c r="T17" s="3652"/>
      <c r="U17" s="3652"/>
      <c r="V17" s="4326"/>
      <c r="W17" s="3652"/>
      <c r="X17" s="3652"/>
      <c r="Y17" s="3652"/>
      <c r="Z17" s="3652"/>
    </row>
    <row r="18" spans="1:26" s="1559" customFormat="1" ht="44.5" thickTop="1" thickBot="1" x14ac:dyDescent="0.35">
      <c r="A18" s="28" t="s">
        <v>204</v>
      </c>
      <c r="B18" s="2795" t="s">
        <v>1546</v>
      </c>
      <c r="C18" s="1734" t="s">
        <v>1547</v>
      </c>
      <c r="D18" s="1925" t="s">
        <v>565</v>
      </c>
      <c r="E18" s="2800" t="b">
        <f>IF(OR(E19=TRUE,E20=TRUE),TRUE,FALSE)</f>
        <v>0</v>
      </c>
      <c r="F18" s="2801">
        <f>COUNTIFS(E19:E20,"TRUE")</f>
        <v>0</v>
      </c>
      <c r="G18" s="2801">
        <f>COUNTIFS(E19:E20,TRUE,G19:G20,"Not Blank")</f>
        <v>0</v>
      </c>
      <c r="H18" s="2801">
        <f>COUNTIFS(E19:E20,FALSE,G19:G20,"Not Blank")</f>
        <v>0</v>
      </c>
      <c r="I18" s="2801" t="str">
        <f xml:space="preserve">
IF(F18&gt;1,"Too Many Entries - Check Red Lines",
IF(AND(E18=FALSE,G18=0,H18=0,E18=TRUE),"Nothing Required Below",
IF(G18&lt;F18,"Valid Entry required below - Check Amber Line/s",
IF(AND(E18=FALSE,G18=0,H18=0),"Nothing Entered below Yet",
IF(G18&lt;F18,"Valid Entry required below - Check Amber Line/s",
IF(AND(G18=0,H18&gt;0),"**Non-Valid Entry/ies below - Check Yellow Line/s",
IF(AND(G18&gt;0,H18&gt;0),"**Valid and Non-Valid Entries made below - Check Yellow Line/s",
IF(AND(E18=FALSE,F18&lt;1),"Not all requirements addressed below - Check Pink Line/s",
IF(AND(E18=FALSE,G18&lt;1,G18&gt;0,H18=0),"More entries to come",
IF(AND(E18,TRUE,G18=1,H18=0),"Valid Entries made below"
))))))))))</f>
        <v>Nothing Entered below Yet</v>
      </c>
      <c r="J18" s="1993">
        <f>COUNTIFS(E19:E20,TRUE,J19:J20,"Not Blank")</f>
        <v>0</v>
      </c>
      <c r="K18" s="1993">
        <f>COUNTIFS(E19:E20,FALSE,J19:J20,"Not Blank")</f>
        <v>0</v>
      </c>
      <c r="L18" s="2801" t="str">
        <f xml:space="preserve">
IF(J18&gt;1,"Too Many Entries - Check Red Lines",
IF(AND(E18=FALSE,J18=0,K18=0,E18=TRUE),"Nothing Required Below",
IF(J18&lt;F18,"Valid Entry required below - Check Amber Line/s",
IF(AND(E18=FALSE,J18=0,K18=0),"Nothing Entered below Yet",
IF(AND(J18=0,K18&gt;0),"**Non-Valid Entry/ies below - Check Yellow Line/s",
IF(AND(J18&gt;0,K18&gt;0),"**Valid and Non-Valid Entries made below - Check Yellow Line/s",
IF(AND(E18=FALSE,J18&lt;1),"Not all requirements addressed below - Check Pink Line/s",
IF(AND(E18=FALSE,J18&lt;1,J18&gt;0,K18=0),"More entries to come",
IF(AND(E18,TRUE,J18=1,K18=0),"Valid Entries made below"
)))))))))</f>
        <v>Nothing Entered below Yet</v>
      </c>
      <c r="M18" s="134"/>
      <c r="N18" s="4138" t="s">
        <v>565</v>
      </c>
      <c r="O18" s="704" t="b">
        <f>IF(OR(O19=TRUE,O20=TRUE),TRUE,FALSE)</f>
        <v>0</v>
      </c>
      <c r="P18" s="1554"/>
      <c r="Q18" s="4221" t="s">
        <v>565</v>
      </c>
      <c r="R18" s="2774" t="b">
        <f>IF(OR(R19=TRUE,R20=TRUE),TRUE,FALSE)</f>
        <v>0</v>
      </c>
      <c r="S18" s="186"/>
      <c r="T18" s="186"/>
      <c r="U18" s="459"/>
      <c r="V18" s="4332" t="s">
        <v>565</v>
      </c>
      <c r="W18" s="66" t="b">
        <f>IF(OR(W19=TRUE,W20=TRUE),TRUE,FALSE)</f>
        <v>0</v>
      </c>
      <c r="X18" s="338"/>
      <c r="Y18" s="186"/>
      <c r="Z18" s="306"/>
    </row>
    <row r="19" spans="1:26" s="1559" customFormat="1" ht="117.5" thickTop="1" x14ac:dyDescent="0.3">
      <c r="A19" s="1386" t="s">
        <v>386</v>
      </c>
      <c r="B19" s="2050"/>
      <c r="C19" s="2796" t="s">
        <v>384</v>
      </c>
      <c r="D19" s="2096" t="s">
        <v>3</v>
      </c>
      <c r="E19" s="41" t="b">
        <f>IF(D19="Compliant",TRUE,FALSE)</f>
        <v>0</v>
      </c>
      <c r="F19" s="42"/>
      <c r="G19" s="42"/>
      <c r="H19" s="42"/>
      <c r="I19" s="42"/>
      <c r="J19" s="44"/>
      <c r="K19" s="44"/>
      <c r="L19" s="42"/>
      <c r="M19" s="144"/>
      <c r="N19" s="4941" t="s">
        <v>3</v>
      </c>
      <c r="O19" s="728" t="b">
        <f>IF(OR(N19="Compliant",N19="FE with work-a-round",N19="Functionally Equivalent"),TRUE,FALSE)</f>
        <v>0</v>
      </c>
      <c r="P19" s="2775"/>
      <c r="Q19" s="2094" t="s">
        <v>3</v>
      </c>
      <c r="R19" s="121" t="b">
        <f>IF(OR(Q19="Compliant",Q19="FE with work-a-round",Q19="Functionally Equivalent"),TRUE,FALSE)</f>
        <v>0</v>
      </c>
      <c r="S19" s="471"/>
      <c r="T19" s="471"/>
      <c r="U19" s="1218"/>
      <c r="V19" s="4446" t="s">
        <v>3</v>
      </c>
      <c r="W19" s="28" t="b">
        <f>IF(OR(V19="Compliant",V19="FE with work-a-round",V19="Functionally Equivalent",V19="Not Required/Applicable"),TRUE,FALSE)</f>
        <v>0</v>
      </c>
      <c r="X19" s="2776"/>
      <c r="Y19" s="1431"/>
      <c r="Z19" s="1432"/>
    </row>
    <row r="20" spans="1:26" ht="156" x14ac:dyDescent="0.3">
      <c r="A20" s="1386" t="s">
        <v>387</v>
      </c>
      <c r="B20" s="2050"/>
      <c r="C20" s="2797" t="s">
        <v>385</v>
      </c>
      <c r="D20" s="699" t="s">
        <v>3</v>
      </c>
      <c r="E20" s="67" t="b">
        <f>IF(D20="Compliant",TRUE,FALSE)</f>
        <v>0</v>
      </c>
      <c r="F20" s="44"/>
      <c r="G20" s="44"/>
      <c r="H20" s="44"/>
      <c r="I20" s="392"/>
      <c r="J20" s="44"/>
      <c r="K20" s="44"/>
      <c r="L20" s="44"/>
      <c r="M20" s="68"/>
      <c r="N20" s="4942"/>
      <c r="O20" s="670"/>
      <c r="P20" s="2777"/>
      <c r="Q20" s="1046" t="s">
        <v>3</v>
      </c>
      <c r="R20" s="121" t="b">
        <f>IF(OR(Q20="Compliant",Q20="FE with work-a-round",Q20="Functionally Equivalent"),TRUE,FALSE)</f>
        <v>0</v>
      </c>
      <c r="S20" s="471"/>
      <c r="T20" s="471"/>
      <c r="U20" s="1218"/>
      <c r="V20" s="4447"/>
      <c r="W20" s="28" t="b">
        <f>IF(OR(V20="Compliant",V20="FE with work-a-round",V20="Functionally Equivalent",V20="Not Required/Applicable"),TRUE,FALSE)</f>
        <v>0</v>
      </c>
      <c r="X20" s="2776"/>
      <c r="Y20" s="1431"/>
      <c r="Z20" s="1432"/>
    </row>
    <row r="21" spans="1:26" ht="195.5" thickBot="1" x14ac:dyDescent="0.35">
      <c r="A21" s="1386" t="s">
        <v>388</v>
      </c>
      <c r="B21" s="2798"/>
      <c r="C21" s="2799" t="s">
        <v>1269</v>
      </c>
      <c r="D21" s="700" t="s">
        <v>3</v>
      </c>
      <c r="E21" s="161" t="b">
        <f>IF(D21="Compliant",TRUE,FALSE)</f>
        <v>0</v>
      </c>
      <c r="F21" s="124"/>
      <c r="G21" s="124"/>
      <c r="H21" s="124"/>
      <c r="I21" s="124"/>
      <c r="J21" s="124"/>
      <c r="K21" s="124"/>
      <c r="L21" s="124"/>
      <c r="M21" s="246"/>
      <c r="N21" s="4943"/>
      <c r="O21" s="727"/>
      <c r="P21" s="2778"/>
      <c r="Q21" s="2095" t="s">
        <v>3</v>
      </c>
      <c r="R21" s="123" t="b">
        <f>IF(OR(Q21="Compliant",Q21="FE with work-a-round",Q21="Functionally Equivalent"),TRUE,FALSE)</f>
        <v>0</v>
      </c>
      <c r="S21" s="1224"/>
      <c r="T21" s="1224"/>
      <c r="U21" s="1225"/>
      <c r="V21" s="4448"/>
      <c r="W21" s="36" t="b">
        <f>IF(OR(V21="Compliant",V21="FE with work-a-round",V21="Functionally Equivalent",V21="Not Required/Applicable"),TRUE,FALSE)</f>
        <v>0</v>
      </c>
      <c r="X21" s="2779"/>
      <c r="Y21" s="1435"/>
      <c r="Z21" s="1436"/>
    </row>
    <row r="22" spans="1:26" s="3993" customFormat="1" ht="16" thickTop="1" x14ac:dyDescent="0.3">
      <c r="A22" s="3636"/>
      <c r="C22" s="3636"/>
      <c r="D22" s="3636"/>
      <c r="E22" s="3636"/>
      <c r="F22" s="3636"/>
      <c r="G22" s="3652"/>
      <c r="H22" s="3652"/>
      <c r="I22" s="3652"/>
      <c r="J22" s="3634"/>
      <c r="K22" s="3634"/>
      <c r="L22" s="3634"/>
      <c r="M22" s="3634"/>
      <c r="N22" s="3826"/>
      <c r="O22" s="3634"/>
      <c r="P22" s="3634"/>
      <c r="Q22" s="3634"/>
      <c r="R22" s="3634"/>
      <c r="S22" s="3634"/>
      <c r="T22" s="3634"/>
      <c r="U22" s="3634"/>
      <c r="V22" s="4328"/>
      <c r="W22" s="3634"/>
      <c r="X22" s="3634"/>
      <c r="Y22" s="3634"/>
      <c r="Z22" s="3634"/>
    </row>
    <row r="23" spans="1:26" s="3634" customFormat="1" ht="18.5" x14ac:dyDescent="0.3">
      <c r="A23" s="4636" t="s">
        <v>1137</v>
      </c>
      <c r="B23" s="4636"/>
      <c r="C23" s="4636"/>
      <c r="D23" s="4636"/>
      <c r="E23" s="4636"/>
      <c r="F23" s="4636"/>
      <c r="G23" s="4636"/>
      <c r="H23" s="4636"/>
      <c r="I23" s="4636"/>
      <c r="J23" s="4636"/>
      <c r="K23" s="4636"/>
      <c r="L23" s="4636"/>
      <c r="M23" s="4636"/>
      <c r="N23" s="4636"/>
      <c r="O23" s="3646"/>
      <c r="P23" s="3806"/>
      <c r="Q23" s="3806"/>
      <c r="R23" s="3806"/>
      <c r="S23" s="3806"/>
      <c r="T23" s="3806"/>
      <c r="U23" s="3806"/>
      <c r="V23" s="4327"/>
      <c r="W23" s="3805"/>
      <c r="X23" s="3656"/>
      <c r="Y23" s="3656"/>
      <c r="Z23" s="3656"/>
    </row>
    <row r="24" spans="1:26" s="3993" customFormat="1" ht="16" thickBot="1" x14ac:dyDescent="0.35">
      <c r="A24" s="3636"/>
      <c r="B24" s="3636"/>
      <c r="C24" s="3634"/>
      <c r="D24" s="3634"/>
      <c r="E24" s="3636"/>
      <c r="F24" s="3636"/>
      <c r="G24" s="3636"/>
      <c r="H24" s="3636"/>
      <c r="I24" s="3634"/>
      <c r="J24" s="3634"/>
      <c r="K24" s="3634"/>
      <c r="L24" s="3634"/>
      <c r="M24" s="3634"/>
      <c r="N24" s="3821"/>
      <c r="O24" s="3636"/>
      <c r="P24" s="3639"/>
      <c r="Q24" s="3639"/>
      <c r="R24" s="3639"/>
      <c r="S24" s="3639"/>
      <c r="T24" s="3639"/>
      <c r="U24" s="3639"/>
      <c r="V24" s="4328"/>
      <c r="W24" s="3634"/>
      <c r="X24" s="3660"/>
      <c r="Y24" s="3660"/>
      <c r="Z24" s="3660"/>
    </row>
    <row r="25" spans="1:26" ht="30" thickTop="1" thickBot="1" x14ac:dyDescent="0.35">
      <c r="A25" s="28">
        <v>11</v>
      </c>
      <c r="B25" s="1509" t="s">
        <v>474</v>
      </c>
      <c r="C25" s="1709" t="s">
        <v>670</v>
      </c>
      <c r="D25" s="1925" t="s">
        <v>1195</v>
      </c>
      <c r="E25" s="1937" t="b">
        <f>IF(AND(E26=TRUE,E27=TRUE,E29=TRUE),TRUE,FALSE)</f>
        <v>0</v>
      </c>
      <c r="F25" s="1934">
        <f>COUNTIF(E26:E29,TRUE)</f>
        <v>0</v>
      </c>
      <c r="G25" s="1934">
        <f>COUNTIFS(E26:E29,TRUE,G26:G29,"Not Blank")</f>
        <v>0</v>
      </c>
      <c r="H25" s="1934">
        <f>COUNTIFS(E26:E29,FALSE,G26:G29,"Not Blank")</f>
        <v>0</v>
      </c>
      <c r="I25" s="149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Nothing Entered below Yet</v>
      </c>
      <c r="J25" s="1497">
        <f>COUNTIFS(E26:E29,TRUE,J26:J29,"Not Blank")</f>
        <v>0</v>
      </c>
      <c r="K25" s="1497">
        <f>COUNTIFS(E26:E29,FALSE,J26:J29,"Not Blank")</f>
        <v>0</v>
      </c>
      <c r="L25" s="1497" t="str">
        <f xml:space="preserve">
IF(J25&gt;4,"Too Many Entries - Check Red Lines",
IF(AND(E25=FALSE,J25=0,K25=0,E25=TRUE),"Nothing Required Below",
IF(J25&lt;F25,"Valid Entry required below - Check Amber Line/s",
IF(AND(E25=FALSE,J25=0,K25=0),"Nothing Entered below Yet",
IF(AND(J25=0,K25&gt;0),"**Non-Valid Entry/ies below - Check Yellow Line/s",
IF(AND(J25&gt;0,K25&gt;0),"**Valid and Non-Valid Entries made below - Check Yellow Line/s",
IF(AND(E25=FALSE,J25&lt;4),"Not all requirements addressed below - Check Pink Line/s",
IF(AND(E25=FALSE,J25&lt;4,J25&gt;0,K25=0),"More entries to come",
IF(AND(E25,TRUE,J25=4,K25=0),"Valid Entries made below"
)))))))))</f>
        <v>Nothing Entered below Yet</v>
      </c>
      <c r="M25" s="861"/>
      <c r="N25" s="4138" t="s">
        <v>565</v>
      </c>
      <c r="O25" s="704" t="b">
        <f>IF(OR(O26=TRUE,O27=TRUE),TRUE,FALSE)</f>
        <v>0</v>
      </c>
      <c r="P25" s="1778"/>
      <c r="Q25" s="4333" t="s">
        <v>565</v>
      </c>
      <c r="R25" s="138" t="b">
        <f>IF(AND(R26=TRUE,R27=TRUE,R29=TRUE),TRUE,FALSE)</f>
        <v>0</v>
      </c>
      <c r="S25" s="111"/>
      <c r="T25" s="111"/>
      <c r="U25" s="211"/>
      <c r="V25" s="4332" t="s">
        <v>565</v>
      </c>
      <c r="W25" s="66" t="b">
        <f>IF(OR(W26=TRUE,W27=TRUE),TRUE,FALSE)</f>
        <v>0</v>
      </c>
      <c r="X25" s="138"/>
      <c r="Y25" s="111"/>
      <c r="Z25" s="120"/>
    </row>
    <row r="26" spans="1:26" s="28" customFormat="1" ht="73" thickTop="1" x14ac:dyDescent="0.3">
      <c r="A26" s="28" t="s">
        <v>1106</v>
      </c>
      <c r="B26" s="1504"/>
      <c r="C26" s="2194" t="s">
        <v>1250</v>
      </c>
      <c r="D26" s="2096" t="s">
        <v>3</v>
      </c>
      <c r="E26" s="594" t="b">
        <f>IF(D26="Compliant",TRUE,FALSE)</f>
        <v>0</v>
      </c>
      <c r="F26" s="361"/>
      <c r="G26" s="2587" t="str">
        <f>IF(I26&lt;&gt;"", "Not Blank", "")</f>
        <v/>
      </c>
      <c r="H26" s="2587"/>
      <c r="I26" s="2705"/>
      <c r="J26" s="42" t="str">
        <f>IF(L26&lt;&gt;"", "Not Blank", "")</f>
        <v/>
      </c>
      <c r="K26" s="42"/>
      <c r="L26" s="42"/>
      <c r="M26" s="2222"/>
      <c r="N26" s="4870" t="s">
        <v>3</v>
      </c>
      <c r="O26" s="4899"/>
      <c r="P26" s="497"/>
      <c r="Q26" s="2090" t="s">
        <v>3</v>
      </c>
      <c r="R26" s="67" t="b">
        <f>IF(OR(Q26="Compliant",Q26="FE with work-a-round",Q26="Functionally Equivalent"),TRUE,FALSE)</f>
        <v>0</v>
      </c>
      <c r="S26" s="44"/>
      <c r="T26" s="44"/>
      <c r="U26" s="68"/>
      <c r="V26" s="4446" t="s">
        <v>3</v>
      </c>
      <c r="W26" s="4887" t="b">
        <f>IF(OR(V26="Compliant",V26="FE with work-a-round",V26="Functionally Equivalent",V26="Not Required/Applicable"),TRUE,FALSE)</f>
        <v>0</v>
      </c>
      <c r="X26" s="67"/>
      <c r="Y26" s="44"/>
      <c r="Z26" s="122"/>
    </row>
    <row r="27" spans="1:26" s="28" customFormat="1" ht="72.650000000000006" customHeight="1" x14ac:dyDescent="0.3">
      <c r="A27" s="28" t="s">
        <v>1106</v>
      </c>
      <c r="B27" s="1504"/>
      <c r="C27" s="1717" t="s">
        <v>1950</v>
      </c>
      <c r="D27" s="699" t="s">
        <v>3</v>
      </c>
      <c r="E27" s="594" t="b">
        <f>IF(D27="Compliant",TRUE,FALSE)</f>
        <v>0</v>
      </c>
      <c r="F27" s="361"/>
      <c r="G27" s="2587" t="str">
        <f>IF(I27&lt;&gt;"", "Not Blank", "")</f>
        <v/>
      </c>
      <c r="H27" s="2587"/>
      <c r="I27" s="2780"/>
      <c r="J27" s="44" t="str">
        <f>IF(L27&lt;&gt;"", "Not Blank", "")</f>
        <v/>
      </c>
      <c r="K27" s="44"/>
      <c r="L27" s="44"/>
      <c r="M27" s="68"/>
      <c r="N27" s="4871"/>
      <c r="O27" s="4887"/>
      <c r="P27" s="205"/>
      <c r="Q27" s="2091" t="s">
        <v>3</v>
      </c>
      <c r="R27" s="67" t="b">
        <f>IF(OR(Q27="Compliant",Q27="FE with work-a-round",Q27="Functionally Equivalent"),TRUE,FALSE)</f>
        <v>0</v>
      </c>
      <c r="S27" s="44"/>
      <c r="T27" s="44"/>
      <c r="U27" s="68"/>
      <c r="V27" s="4447"/>
      <c r="W27" s="4887" t="b">
        <f>IF(OR(V27="Compliant",V27="FE with work-a-round",V27="Functionally Equivalent",V27="Not Required/Applicable"),TRUE,FALSE)</f>
        <v>0</v>
      </c>
      <c r="X27" s="67"/>
      <c r="Y27" s="44"/>
      <c r="Z27" s="122"/>
    </row>
    <row r="28" spans="1:26" s="28" customFormat="1" ht="409.5" x14ac:dyDescent="0.3">
      <c r="A28" s="28">
        <v>7.5</v>
      </c>
      <c r="B28" s="1504"/>
      <c r="C28" s="1717" t="s">
        <v>1949</v>
      </c>
      <c r="D28" s="699" t="s">
        <v>3</v>
      </c>
      <c r="E28" s="594" t="b">
        <f>IF(D28="Compliant",TRUE,FALSE)</f>
        <v>0</v>
      </c>
      <c r="F28" s="361"/>
      <c r="G28" s="2587" t="str">
        <f>IF(I28&lt;&gt;"", "Not Blank", "")</f>
        <v/>
      </c>
      <c r="H28" s="2587"/>
      <c r="I28" s="2780"/>
      <c r="J28" s="44" t="str">
        <f>IF(L28&lt;&gt;"", "Not Blank", "")</f>
        <v/>
      </c>
      <c r="K28" s="44"/>
      <c r="L28" s="44"/>
      <c r="M28" s="68"/>
      <c r="N28" s="4871"/>
      <c r="O28" s="4887"/>
      <c r="P28" s="205"/>
      <c r="Q28" s="2091" t="s">
        <v>3</v>
      </c>
      <c r="R28" s="67" t="b">
        <f>IF(OR(Q28="Compliant",Q28="FE with work-a-round",Q28="Functionally Equivalent"),TRUE,FALSE)</f>
        <v>0</v>
      </c>
      <c r="S28" s="44"/>
      <c r="T28" s="44"/>
      <c r="U28" s="68"/>
      <c r="V28" s="4447"/>
      <c r="W28" s="4887" t="b">
        <f>IF(OR(V28="Compliant",V28="FE with work-a-round",V28="Functionally Equivalent",V28="Not Required/Applicable"),TRUE,FALSE)</f>
        <v>0</v>
      </c>
      <c r="X28" s="67"/>
      <c r="Y28" s="44"/>
      <c r="Z28" s="122"/>
    </row>
    <row r="29" spans="1:26" s="28" customFormat="1" ht="58.5" thickBot="1" x14ac:dyDescent="0.35">
      <c r="A29" s="1386" t="s">
        <v>1103</v>
      </c>
      <c r="B29" s="1505"/>
      <c r="C29" s="2802" t="s">
        <v>1251</v>
      </c>
      <c r="D29" s="700" t="s">
        <v>3</v>
      </c>
      <c r="E29" s="595" t="b">
        <f>IF(D29="Compliant",TRUE,FALSE)</f>
        <v>0</v>
      </c>
      <c r="F29" s="258"/>
      <c r="G29" s="2588" t="str">
        <f>IF(I29&lt;&gt;"", "Not Blank", "")</f>
        <v/>
      </c>
      <c r="H29" s="2588"/>
      <c r="I29" s="2781"/>
      <c r="J29" s="124" t="str">
        <f>IF(L29&lt;&gt;"", "Not Blank", "")</f>
        <v/>
      </c>
      <c r="K29" s="124"/>
      <c r="L29" s="124"/>
      <c r="M29" s="246"/>
      <c r="N29" s="4873"/>
      <c r="O29" s="4888"/>
      <c r="P29" s="590"/>
      <c r="Q29" s="2092" t="s">
        <v>3</v>
      </c>
      <c r="R29" s="161" t="b">
        <f>IF(OR(Q29="Compliant",Q29="FE with work-a-round",Q29="Functionally Equivalent"),TRUE,FALSE)</f>
        <v>0</v>
      </c>
      <c r="S29" s="124"/>
      <c r="T29" s="124"/>
      <c r="U29" s="246"/>
      <c r="V29" s="4448"/>
      <c r="W29" s="4888" t="b">
        <f>IF(OR(V29="Compliant",V29="FE with work-a-round",V29="Functionally Equivalent",V29="Not Required/Applicable"),TRUE,FALSE)</f>
        <v>0</v>
      </c>
      <c r="X29" s="161"/>
      <c r="Y29" s="124"/>
      <c r="Z29" s="125"/>
    </row>
    <row r="30" spans="1:26" s="3634" customFormat="1" ht="16" thickTop="1" x14ac:dyDescent="0.3">
      <c r="A30" s="3993"/>
      <c r="C30" s="3652"/>
      <c r="E30" s="3636"/>
      <c r="F30" s="3636"/>
      <c r="G30" s="3993"/>
      <c r="H30" s="3993"/>
      <c r="I30" s="3993"/>
      <c r="N30" s="3826"/>
      <c r="V30" s="4328"/>
    </row>
    <row r="31" spans="1:26" s="3634" customFormat="1" ht="18.5" x14ac:dyDescent="0.3">
      <c r="A31" s="4636" t="s">
        <v>1138</v>
      </c>
      <c r="B31" s="4636"/>
      <c r="C31" s="4636"/>
      <c r="D31" s="4636"/>
      <c r="E31" s="4636"/>
      <c r="F31" s="4636"/>
      <c r="G31" s="4636"/>
      <c r="H31" s="4636"/>
      <c r="I31" s="4636"/>
      <c r="J31" s="4636"/>
      <c r="K31" s="4636"/>
      <c r="L31" s="4636"/>
      <c r="M31" s="4636"/>
      <c r="N31" s="4636"/>
      <c r="O31" s="3646"/>
      <c r="P31" s="3806"/>
      <c r="Q31" s="3806"/>
      <c r="R31" s="3806"/>
      <c r="S31" s="3806"/>
      <c r="T31" s="3806"/>
      <c r="U31" s="3806"/>
      <c r="V31" s="4327"/>
      <c r="W31" s="3805"/>
      <c r="X31" s="3656"/>
      <c r="Y31" s="3656"/>
      <c r="Z31" s="3656"/>
    </row>
    <row r="32" spans="1:26" s="3993" customFormat="1" ht="16" thickBot="1" x14ac:dyDescent="0.35">
      <c r="N32" s="4323"/>
      <c r="V32" s="4326"/>
      <c r="W32" s="3652"/>
    </row>
    <row r="33" spans="1:26" ht="32" thickTop="1" thickBot="1" x14ac:dyDescent="0.35">
      <c r="A33" s="2782">
        <v>6</v>
      </c>
      <c r="B33" s="1509" t="s">
        <v>1564</v>
      </c>
      <c r="C33" s="2097" t="s">
        <v>1782</v>
      </c>
      <c r="D33" s="2098" t="s">
        <v>565</v>
      </c>
      <c r="E33" s="2099" t="b">
        <f>IF(AND(TRUE,E71,E34,TRUE),TRUE,FALSE)</f>
        <v>0</v>
      </c>
      <c r="F33" s="1927">
        <f>SUM(F34,F71)</f>
        <v>0</v>
      </c>
      <c r="G33" s="1927">
        <f>SUM(G34,G71)</f>
        <v>0</v>
      </c>
      <c r="H33" s="1927">
        <f>SUM(H34,H71)</f>
        <v>0</v>
      </c>
      <c r="I33" s="1927" t="str">
        <f xml:space="preserve">
IF(F33&gt;37,"Too Many Entries - Check Red Lines",
IF(AND(E33=FALSE,G33=0,H33=0,E33=TRUE),"Nothing Required Below",
IF(G33&lt;F33,"Valid Entry required below - Check Amber Line/s",
IF(AND(E33=FALSE,G33=0,H33=0),"Nothing Entered below Yet",
IF(G33&lt;F33,"Valid Entry required below - Check Amber Line/s",
IF(AND(G33=0,H33&gt;0),"**Non-Valid Entry/ies below - Check Yellow Line/s",
IF(AND(G33&gt;0,H33&gt;0),"**Valid and Non-Valid Entries made below - Check Yellow Line/s",
IF(AND(E33=FALSE,F33&lt;37),"Not all requirements addressed below - Check Pink Line/s",
IF(AND(E33=FALSE,G33&lt;37,G33&gt;0,H33=0),"More entries to come",
IF(AND(E33,TRUE,G33=37,H33=0),"Valid Entries made below"
))))))))))</f>
        <v>Nothing Entered below Yet</v>
      </c>
      <c r="J33" s="1927">
        <f>COUNTIFS(E34:E41,TRUE,J34:J41,"Not Blank")</f>
        <v>0</v>
      </c>
      <c r="K33" s="1927">
        <f>COUNTIFS(E34:E41,FALSE,J34:J41,"Not Blank")</f>
        <v>0</v>
      </c>
      <c r="L33" s="1927" t="str">
        <f xml:space="preserve">
IF(J33&gt;37,"Too Many Entries - Check Red Lines",
IF(AND(E33=FALSE,J33=0,K33=0,E33=TRUE),"Nothing Required Below",
IF(J33&lt;F33,"Valid Entry required below - Check Amber Line/s",
IF(AND(E33=FALSE,J33=0,K33=0),"Nothing Entered below Yet",
IF(AND(J33=0,K33&gt;0),"**Non-Valid Entry/ies below - Check Yellow Line/s",
IF(AND(J33&gt;0,K33&gt;0),"**Valid and Non-Valid Entries made below - Check Yellow Line/s",
IF(AND(E33=FALSE,J33&lt;37),"Not all requirements addressed below - Check Pink Line/s",
IF(AND(E33=FALSE,J33&lt;37,J33&gt;0,K33=0),"More entries to come",
IF(AND(E33,TRUE,J33=37,K33=0),"Valid Entries made below"
)))))))))</f>
        <v>Nothing Entered below Yet</v>
      </c>
      <c r="M33" s="2783"/>
      <c r="N33" s="4200" t="s">
        <v>565</v>
      </c>
      <c r="O33" s="704" t="b">
        <f>IF(AND(O34=TRUE,O38=TRUE,O42=TRUE,O46=TRUE,O49=TRUE,O52=TRUE,O56=TRUE,O59=TRUE,O65=TRUE,O71=TRUE,O78=TRUE,O82=TRUE,O85=TRUE),TRUE,FALSE)</f>
        <v>0</v>
      </c>
      <c r="P33" s="697"/>
      <c r="Q33" s="4333" t="s">
        <v>565</v>
      </c>
      <c r="R33" s="138" t="b">
        <f>IF(AND(TRUE,R71,R34,TRUE),TRUE,FALSE)</f>
        <v>0</v>
      </c>
      <c r="S33" s="111"/>
      <c r="T33" s="111"/>
      <c r="U33" s="211"/>
      <c r="V33" s="4332" t="s">
        <v>565</v>
      </c>
      <c r="W33" s="66" t="b">
        <f>IF(AND(W34=TRUE,W38=TRUE,W42=TRUE,W46=TRUE,W49=TRUE,W52=TRUE,W56=TRUE,W59=TRUE,W65=TRUE,W71=TRUE,W78=TRUE,W82=TRUE,W85=TRUE),TRUE,FALSE)</f>
        <v>0</v>
      </c>
      <c r="X33" s="2784"/>
      <c r="Y33" s="2785"/>
      <c r="Z33" s="2786"/>
    </row>
    <row r="34" spans="1:26" s="2787" customFormat="1" ht="29.5" thickTop="1" x14ac:dyDescent="0.3">
      <c r="A34" s="28">
        <v>6.1</v>
      </c>
      <c r="B34" s="1910" t="s">
        <v>1365</v>
      </c>
      <c r="C34" s="2175" t="s">
        <v>1287</v>
      </c>
      <c r="D34" s="2149" t="s">
        <v>565</v>
      </c>
      <c r="E34" s="1929" t="b">
        <f>IF(AND(E35=TRUE,E36=TRUE,E37=TRUE,E38=TRUE,E42=TRUE,E46=TRUE,E49=TRUE,E52=TRUE,E56=TRUE,E59=TRUE,E65=TRUE,E78=TRUE,E82=TRUE,E85=TRUE),TRUE,FALSE)</f>
        <v>0</v>
      </c>
      <c r="F34" s="1514">
        <f>COUNTIF(E35:E37,TRUE)+COUNTIF(E39:E41,TRUE)+COUNTIF(E43:E45,TRUE)+COUNTIF(E47:E48,TRUE)+COUNTIF(E50:E51,TRUE)+COUNTIF(E53:E55,TRUE)+COUNTIF(E57:E58,TRUE)+COUNTIF(E60:E64,TRUE)+COUNTIF(E66:E70,TRUE)+COUNTIF(E79:E81,TRUE)+COUNTIF(E83:E85,TRUE)</f>
        <v>0</v>
      </c>
      <c r="G34" s="1514">
        <f>COUNTIFS(E35:E70,TRUE,G35:G70,"Not Blank")+COUNTIFS(E79:E84,TRUE,G79:G84,"Not Blank")+G85</f>
        <v>0</v>
      </c>
      <c r="H34" s="1514">
        <f>COUNTIFS(E35:E70,FALSE,G35:G70,"Not Blank")+COUNTIFS(E79:E84,FALSE,G79:G84,"Not Blank")+H85</f>
        <v>0</v>
      </c>
      <c r="I34" s="2155" t="str">
        <f xml:space="preserve">
IF(F34&gt;3,"Too Many Entries - Check Red Lines",
IF(AND(E34=FALSE,G34=0,H34=0,E34=TRUE),"Nothing Required Below",
IF(G34&lt;F34,"Valid Entry required below - Check Amber Line/s",
IF(AND(E34=FALSE,G34=0,H34=0),"Nothing Entered below Yet",
IF(G34&lt;F34,"Valid Entry required below - Check Amber Line/s",
IF(AND(G34=0,H34&gt;0),"**Non-Valid Entry/ies below - Check Yellow Line/s",
IF(AND(G34&gt;0,H34&gt;0),"**Valid and Non-Valid Entries made below - Check Yellow Line/s",
IF(AND(E34=FALSE,F34&lt;3),"Not all requirements addressed below - Check Pink Line/s",
IF(AND(E34=FALSE,G34&lt;3,G34&gt;0,H34=0),"More entries to come",
IF(AND(E34,TRUE,G34=3,H34=0),"Valid Entries made below"
))))))))))</f>
        <v>Nothing Entered below Yet</v>
      </c>
      <c r="J34" s="2155">
        <f>COUNTIFS(E35:E70,TRUE,J35:J70,"Not Blank")+COUNTIFS(E79:E84,TRUE,J79:J84,"Not Blank")+J85</f>
        <v>0</v>
      </c>
      <c r="K34" s="2155">
        <f>COUNTIFS(E35:E70,FALSE,J35:J70,"Not Blank")+COUNTIFS(E79:E84,FALSE,J79:J84,"Not Blank")+K85</f>
        <v>0</v>
      </c>
      <c r="L34" s="2155" t="str">
        <f xml:space="preserve">
IF(J34&gt;3,"Too Many Entries - Check Red Lines",
IF(AND(E34=FALSE,J34=0,K34=0,E34=TRUE),"Nothing Required Below",
IF(J34&lt;F34,"Valid Entry required below - Check Amber Line/s",
IF(AND(E34=FALSE,J34=0,K34=0),"Nothing Entered below Yet",
IF(AND(J34=0,K34&gt;0),"**Non-Valid Entry/ies below - Check Yellow Line/s",
IF(AND(J34&gt;0,K34&gt;0),"**Valid and Non-Valid Entries made below - Check Yellow Line/s",
IF(AND(E34=FALSE,J34&lt;3),"Not all requirements addressed below - Check Pink Line/s",
IF(AND(E34=FALSE,J34&lt;3,J34&gt;0,K34=0),"More entries to come",
IF(AND(E34,TRUE,J34=3,K34=0),"Valid Entries made below"
)))))))))</f>
        <v>Nothing Entered below Yet</v>
      </c>
      <c r="M34" s="2176"/>
      <c r="N34" s="4932" t="s">
        <v>3</v>
      </c>
      <c r="O34" s="4934" t="b">
        <f>IF(OR(N34="Compliant",N34="FE with work-a-round",N34="Functionally Equivalent"),TRUE,FALSE)</f>
        <v>0</v>
      </c>
      <c r="P34" s="2224"/>
      <c r="Q34" s="4221" t="s">
        <v>565</v>
      </c>
      <c r="R34" s="138" t="b">
        <f>IF(AND(R35=TRUE,R36=TRUE,R37=TRUE,R38=TRUE,R42=TRUE,R46=TRUE,R49=TRUE,R52=TRUE,R56=TRUE,R59=TRUE,R65=TRUE,R78=TRUE,R82=TRUE,R85=TRUE),TRUE,FALSE)</f>
        <v>0</v>
      </c>
      <c r="S34" s="111"/>
      <c r="T34" s="111"/>
      <c r="U34" s="211"/>
      <c r="V34" s="4446"/>
      <c r="W34" s="4886" t="b">
        <f t="shared" ref="W34:W70" si="0">IF(OR(V34="Compliant",V34="FE with work-a-round",V34="Functionally Equivalent",V34="Not Required/Applicable"),TRUE,FALSE)</f>
        <v>0</v>
      </c>
      <c r="X34" s="138"/>
      <c r="Y34" s="111"/>
      <c r="Z34" s="120"/>
    </row>
    <row r="35" spans="1:26" s="28" customFormat="1" ht="43.5" x14ac:dyDescent="0.3">
      <c r="A35" s="28" t="s">
        <v>1288</v>
      </c>
      <c r="B35" s="1504"/>
      <c r="C35" s="1806" t="s">
        <v>1291</v>
      </c>
      <c r="D35" s="1826" t="s">
        <v>3</v>
      </c>
      <c r="E35" s="67" t="b">
        <f>IF(D35="Compliant",TRUE,FALSE)</f>
        <v>0</v>
      </c>
      <c r="F35" s="44"/>
      <c r="G35" s="44" t="str">
        <f>IF(I35&lt;&gt;"", "Not Blank", "")</f>
        <v/>
      </c>
      <c r="H35" s="44"/>
      <c r="I35" s="2223"/>
      <c r="J35" s="42" t="str">
        <f>IF(L35&lt;&gt;"", "Not Blank", "")</f>
        <v/>
      </c>
      <c r="K35" s="42"/>
      <c r="L35" s="42"/>
      <c r="M35" s="144"/>
      <c r="N35" s="4933"/>
      <c r="O35" s="4935"/>
      <c r="P35" s="497"/>
      <c r="Q35" s="2219" t="s">
        <v>3</v>
      </c>
      <c r="R35" s="67" t="b">
        <f>IF(OR(Q35="Compliant",Q35="FE with work-a-round",Q35="Functionally Equivalent"),TRUE,FALSE)</f>
        <v>0</v>
      </c>
      <c r="S35" s="44"/>
      <c r="T35" s="44"/>
      <c r="U35" s="68"/>
      <c r="V35" s="4447"/>
      <c r="W35" s="4887" t="b">
        <f t="shared" si="0"/>
        <v>0</v>
      </c>
      <c r="X35" s="67"/>
      <c r="Y35" s="44"/>
      <c r="Z35" s="122"/>
    </row>
    <row r="36" spans="1:26" s="28" customFormat="1" ht="87" x14ac:dyDescent="0.3">
      <c r="A36" s="28" t="s">
        <v>1289</v>
      </c>
      <c r="B36" s="1504"/>
      <c r="C36" s="1717" t="s">
        <v>1292</v>
      </c>
      <c r="D36" s="690" t="s">
        <v>3</v>
      </c>
      <c r="E36" s="67" t="b">
        <f>IF(D36="Compliant",TRUE,FALSE)</f>
        <v>0</v>
      </c>
      <c r="F36" s="44"/>
      <c r="G36" s="44" t="str">
        <f>IF(I36&lt;&gt;"", "Not Blank", "")</f>
        <v/>
      </c>
      <c r="H36" s="44"/>
      <c r="I36" s="2113"/>
      <c r="J36" s="44" t="str">
        <f>IF(L36&lt;&gt;"", "Not Blank", "")</f>
        <v/>
      </c>
      <c r="K36" s="44"/>
      <c r="L36" s="44"/>
      <c r="M36" s="68"/>
      <c r="N36" s="4933"/>
      <c r="O36" s="4935"/>
      <c r="P36" s="205"/>
      <c r="Q36" s="699" t="s">
        <v>3</v>
      </c>
      <c r="R36" s="67" t="b">
        <f>IF(OR(Q36="Compliant",Q36="FE with work-a-round",Q36="Functionally Equivalent"),TRUE,FALSE)</f>
        <v>0</v>
      </c>
      <c r="S36" s="44"/>
      <c r="T36" s="44"/>
      <c r="U36" s="68"/>
      <c r="V36" s="4447"/>
      <c r="W36" s="4887" t="b">
        <f t="shared" si="0"/>
        <v>0</v>
      </c>
      <c r="X36" s="67"/>
      <c r="Y36" s="44"/>
      <c r="Z36" s="122"/>
    </row>
    <row r="37" spans="1:26" s="28" customFormat="1" ht="102" thickBot="1" x14ac:dyDescent="0.35">
      <c r="A37" s="28" t="s">
        <v>1290</v>
      </c>
      <c r="B37" s="1504"/>
      <c r="C37" s="1807" t="s">
        <v>1293</v>
      </c>
      <c r="D37" s="692" t="s">
        <v>3</v>
      </c>
      <c r="E37" s="78" t="b">
        <f>IF(D37="Compliant",TRUE,FALSE)</f>
        <v>0</v>
      </c>
      <c r="F37" s="79"/>
      <c r="G37" s="79" t="str">
        <f>IF(I37&lt;&gt;"", "Not Blank", "")</f>
        <v/>
      </c>
      <c r="H37" s="79"/>
      <c r="I37" s="2114"/>
      <c r="J37" s="79" t="str">
        <f>IF(L37&lt;&gt;"", "Not Blank", "")</f>
        <v/>
      </c>
      <c r="K37" s="79"/>
      <c r="L37" s="79"/>
      <c r="M37" s="143"/>
      <c r="N37" s="4933"/>
      <c r="O37" s="4936"/>
      <c r="P37" s="206"/>
      <c r="Q37" s="700"/>
      <c r="R37" s="78" t="b">
        <f>IF(OR(Q37="Compliant",Q37="FE with work-a-round",Q37="Functionally Equivalent"),TRUE,FALSE)</f>
        <v>0</v>
      </c>
      <c r="S37" s="79"/>
      <c r="T37" s="79"/>
      <c r="U37" s="143"/>
      <c r="V37" s="4448"/>
      <c r="W37" s="4888" t="b">
        <f t="shared" si="0"/>
        <v>0</v>
      </c>
      <c r="X37" s="78"/>
      <c r="Y37" s="79"/>
      <c r="Z37" s="127"/>
    </row>
    <row r="38" spans="1:26" s="28" customFormat="1" ht="44.5" thickTop="1" thickBot="1" x14ac:dyDescent="0.35">
      <c r="A38" s="28" t="s">
        <v>1295</v>
      </c>
      <c r="B38" s="1910" t="s">
        <v>1556</v>
      </c>
      <c r="C38" s="2148" t="s">
        <v>1294</v>
      </c>
      <c r="D38" s="2149" t="s">
        <v>565</v>
      </c>
      <c r="E38" s="1929" t="b">
        <f>IF(AND(E39=TRUE,E40=TRUE,E41=TRUE),TRUE,FALSE)</f>
        <v>0</v>
      </c>
      <c r="F38" s="1514">
        <f>COUNTIFS(E39:E41,TRUE)</f>
        <v>0</v>
      </c>
      <c r="G38" s="1514">
        <f>COUNTIFS(E39:E41,TRUE,G39:G41,"Not Blank")</f>
        <v>0</v>
      </c>
      <c r="H38" s="1514">
        <f>COUNTIFS(E39:E41,FALSE,G39:G41,"Not Blank")</f>
        <v>0</v>
      </c>
      <c r="I38" s="2155" t="str">
        <f xml:space="preserve">
IF(F38&gt;3,"Too Many Entries - Check Red Lines",
IF(AND(E38=FALSE,G38=0,H38=0,E38=TRUE),"Nothing Required Below",
IF(G38&lt;F38,"Valid Entry required below - Check Amber Line/s",
IF(AND(E38=FALSE,G38=0,H38=0),"Nothing Entered below Yet",
IF(G38&lt;F38,"Valid Entry required below - Check Amber Line/s",
IF(AND(G38=0,H38&gt;0),"**Non-Valid Entry/ies below - Check Yellow Line/s",
IF(AND(G38&gt;0,H38&gt;0),"**Valid and Non-Valid Entries made below - Check Yellow Line/s",
IF(AND(E38=FALSE,F38&lt;3),"Not all requirements addressed below - Check Pink Line/s",
IF(AND(E38=FALSE,G38&lt;3,G38&gt;0,H38=0),"More entries to come",
IF(AND(E38,TRUE,G38=3,H38=0),"Valid Entries made below"
))))))))))</f>
        <v>Nothing Entered below Yet</v>
      </c>
      <c r="J38" s="2155">
        <f>COUNTIFS(E39:E41,TRUE,J39:J41,"Not Blank")</f>
        <v>0</v>
      </c>
      <c r="K38" s="2155">
        <f>COUNTIFS(E39:E41,FALSE,J39:J41,"Not Blank")</f>
        <v>0</v>
      </c>
      <c r="L38" s="2155" t="str">
        <f xml:space="preserve">
IF(J38&gt;3,"Too Many Entries - Check Red Lines",
IF(AND(E38=FALSE,J38=0,K38=0,E38=TRUE),"Nothing Required Below",
IF(J38&lt;F38,"Valid Entry required below - Check Amber Line/s",
IF(AND(E38=FALSE,J38=0,K38=0),"Nothing Entered below Yet",
IF(AND(J38=0,K38&gt;0),"**Non-Valid Entry/ies below - Check Yellow Line/s",
IF(AND(J38&gt;0,K38&gt;0),"**Valid and Non-Valid Entries made below - Check Yellow Line/s",
IF(AND(E38=FALSE,J38&lt;3),"Not all requirements addressed below - Check Pink Line/s",
IF(AND(E38=FALSE,J38&lt;3,J38&gt;0,K38=0),"More entries to come",
IF(AND(E38,TRUE,J38=3,K38=0),"Valid Entries made below"
)))))))))</f>
        <v>Nothing Entered below Yet</v>
      </c>
      <c r="M38" s="2176"/>
      <c r="N38" s="4923" t="s">
        <v>3</v>
      </c>
      <c r="O38" s="4929" t="b">
        <f>IF(OR(N38="Compliant",N38="FE with work-a-round",N38="Functionally Equivalent"),TRUE,FALSE)</f>
        <v>0</v>
      </c>
      <c r="P38" s="66"/>
      <c r="Q38" s="4333" t="s">
        <v>565</v>
      </c>
      <c r="R38" s="138" t="b">
        <f>IF(AND(R39=TRUE,R40=TRUE,R41=TRUE),TRUE,FALSE)</f>
        <v>0</v>
      </c>
      <c r="S38" s="111"/>
      <c r="T38" s="111"/>
      <c r="U38" s="211"/>
      <c r="V38" s="4446"/>
      <c r="W38" s="4886" t="b">
        <f t="shared" si="0"/>
        <v>0</v>
      </c>
      <c r="X38" s="138"/>
      <c r="Y38" s="111"/>
      <c r="Z38" s="120"/>
    </row>
    <row r="39" spans="1:26" s="28" customFormat="1" ht="87.5" thickTop="1" x14ac:dyDescent="0.3">
      <c r="A39" s="28" t="s">
        <v>1303</v>
      </c>
      <c r="B39" s="1504"/>
      <c r="C39" s="1806" t="s">
        <v>1967</v>
      </c>
      <c r="D39" s="1826" t="s">
        <v>3</v>
      </c>
      <c r="E39" s="67" t="b">
        <f>IF(D39="Compliant",TRUE,FALSE)</f>
        <v>0</v>
      </c>
      <c r="F39" s="44"/>
      <c r="G39" s="44" t="str">
        <f>IF(I39&lt;&gt;"", "Not Blank", "")</f>
        <v/>
      </c>
      <c r="H39" s="44"/>
      <c r="I39" s="42"/>
      <c r="J39" s="42" t="str">
        <f>IF(L39&lt;&gt;"", "Not Blank", "")</f>
        <v/>
      </c>
      <c r="K39" s="42"/>
      <c r="L39" s="42"/>
      <c r="M39" s="144"/>
      <c r="N39" s="4924"/>
      <c r="O39" s="4930"/>
      <c r="P39" s="2225"/>
      <c r="Q39" s="2090" t="s">
        <v>3</v>
      </c>
      <c r="R39" s="67" t="b">
        <f>IF(OR(Q39="Compliant",Q39="FE with work-a-round",Q39="Functionally Equivalent"),TRUE,FALSE)</f>
        <v>0</v>
      </c>
      <c r="S39" s="44"/>
      <c r="T39" s="44"/>
      <c r="U39" s="68"/>
      <c r="V39" s="4447"/>
      <c r="W39" s="4887" t="b">
        <f t="shared" si="0"/>
        <v>0</v>
      </c>
      <c r="X39" s="67"/>
      <c r="Y39" s="44"/>
      <c r="Z39" s="122"/>
    </row>
    <row r="40" spans="1:26" s="28" customFormat="1" ht="58" x14ac:dyDescent="0.3">
      <c r="A40" s="28" t="s">
        <v>1304</v>
      </c>
      <c r="B40" s="1504"/>
      <c r="C40" s="1717" t="s">
        <v>1342</v>
      </c>
      <c r="D40" s="690" t="s">
        <v>3</v>
      </c>
      <c r="E40" s="67" t="b">
        <f t="shared" ref="E40:E64" si="1">IF(D40="Compliant",TRUE,FALSE)</f>
        <v>0</v>
      </c>
      <c r="F40" s="44"/>
      <c r="G40" s="44" t="str">
        <f>IF(I40&lt;&gt;"", "Not Blank", "")</f>
        <v/>
      </c>
      <c r="H40" s="44"/>
      <c r="I40" s="2113"/>
      <c r="J40" s="44"/>
      <c r="K40" s="44"/>
      <c r="L40" s="44"/>
      <c r="M40" s="68"/>
      <c r="N40" s="4924"/>
      <c r="O40" s="4930"/>
      <c r="P40" s="205"/>
      <c r="Q40" s="2091" t="s">
        <v>3</v>
      </c>
      <c r="R40" s="67" t="b">
        <f>IF(OR(Q40="Compliant",Q40="FE with work-a-round",Q40="Functionally Equivalent"),TRUE,FALSE)</f>
        <v>0</v>
      </c>
      <c r="S40" s="44"/>
      <c r="T40" s="44"/>
      <c r="U40" s="68"/>
      <c r="V40" s="4447"/>
      <c r="W40" s="4887" t="b">
        <f t="shared" si="0"/>
        <v>0</v>
      </c>
      <c r="X40" s="67"/>
      <c r="Y40" s="44"/>
      <c r="Z40" s="122"/>
    </row>
    <row r="41" spans="1:26" s="28" customFormat="1" ht="29.5" thickBot="1" x14ac:dyDescent="0.35">
      <c r="A41" s="28" t="s">
        <v>1305</v>
      </c>
      <c r="B41" s="1504"/>
      <c r="C41" s="1807" t="s">
        <v>1966</v>
      </c>
      <c r="D41" s="692" t="s">
        <v>3</v>
      </c>
      <c r="E41" s="78" t="b">
        <f t="shared" si="1"/>
        <v>0</v>
      </c>
      <c r="F41" s="79"/>
      <c r="G41" s="79" t="str">
        <f>IF(I41&lt;&gt;"", "Not Blank", "")</f>
        <v/>
      </c>
      <c r="H41" s="79"/>
      <c r="I41" s="2114"/>
      <c r="J41" s="79"/>
      <c r="K41" s="79"/>
      <c r="L41" s="79"/>
      <c r="M41" s="2128"/>
      <c r="N41" s="4924"/>
      <c r="O41" s="4931"/>
      <c r="P41" s="206"/>
      <c r="Q41" s="2092" t="s">
        <v>3</v>
      </c>
      <c r="R41" s="78" t="b">
        <f>IF(OR(Q41="Compliant",Q41="FE with work-a-round",Q41="Functionally Equivalent"),TRUE,FALSE)</f>
        <v>0</v>
      </c>
      <c r="S41" s="79"/>
      <c r="T41" s="79"/>
      <c r="U41" s="143"/>
      <c r="V41" s="4448"/>
      <c r="W41" s="4888" t="b">
        <f t="shared" si="0"/>
        <v>0</v>
      </c>
      <c r="X41" s="78"/>
      <c r="Y41" s="79"/>
      <c r="Z41" s="127"/>
    </row>
    <row r="42" spans="1:26" s="28" customFormat="1" ht="30" thickTop="1" thickBot="1" x14ac:dyDescent="0.35">
      <c r="A42" s="28" t="s">
        <v>356</v>
      </c>
      <c r="B42" s="1910" t="s">
        <v>1555</v>
      </c>
      <c r="C42" s="2148" t="s">
        <v>1299</v>
      </c>
      <c r="D42" s="2149" t="s">
        <v>565</v>
      </c>
      <c r="E42" s="1929" t="b">
        <f>IF(AND(E45=TRUE,OR(E43=TRUE,E44=TRUE)),TRUE,FALSE)</f>
        <v>0</v>
      </c>
      <c r="F42" s="1514">
        <f>COUNTIFS(E43:E45,TRUE)</f>
        <v>0</v>
      </c>
      <c r="G42" s="1514">
        <f>COUNTIFS(E43:E45,TRUE,G43:G45,"Not Blank")</f>
        <v>0</v>
      </c>
      <c r="H42" s="1514">
        <f>COUNTIFS(E43:E45,FALSE,G43:G45,"Not Blank")</f>
        <v>0</v>
      </c>
      <c r="I42" s="2155" t="str">
        <f xml:space="preserve">
IF(F42&gt;3,"Too Many Entries - Check Red Lines",
IF(AND(E42=FALSE,G42=0,H42=0,E42=TRUE),"Nothing Required Below",
IF(G42&lt;F42,"Valid Entry required below - Check Amber Line/s",
IF(AND(E42=FALSE,G42=0,H42=0),"Nothing Entered below Yet",
IF(G42&lt;F42,"Valid Entry required below - Check Amber Line/s",
IF(AND(G42=0,H42&gt;0),"**Non-Valid Entry/ies below - Check Yellow Line/s",
IF(AND(G42&gt;0,H42&gt;0),"**Valid and Non-Valid Entries made below - Check Yellow Line/s",
IF(AND(E42=FALSE,F42&lt;3),"Not all requirements addressed below - Check Pink Line/s",
IF(AND(E42=FALSE,G42&lt;3,G42&gt;0,H42=0),"More entries to come",
IF(AND(E42,TRUE,G42=3,H42=0),"Valid Entries made below"
))))))))))</f>
        <v>Nothing Entered below Yet</v>
      </c>
      <c r="J42" s="2155">
        <f>COUNTIFS(E43:E45,TRUE,J43:J45,"Not Blank")</f>
        <v>0</v>
      </c>
      <c r="K42" s="2155">
        <f>COUNTIFS(E43:E45,FALSE,J43:J45,"Not Blank")</f>
        <v>0</v>
      </c>
      <c r="L42" s="2155" t="str">
        <f xml:space="preserve">
IF(J42&gt;3,"Too Many Entries - Check Red Lines",
IF(AND(E42=FALSE,J42=0,K42=0,E42=TRUE),"Nothing Required Below",
IF(J42&lt;F42,"Valid Entry required below - Check Amber Line/s",
IF(AND(E42=FALSE,J42=0,K42=0),"Nothing Entered below Yet",
IF(AND(J42=0,K42&gt;0),"**Non-Valid Entry/ies below - Check Yellow Line/s",
IF(AND(J42&gt;0,K42&gt;0),"**Valid and Non-Valid Entries made below - Check Yellow Line/s",
IF(AND(E42=FALSE,J42&lt;3),"Not all requirements addressed below - Check Pink Line/s",
IF(AND(E42=FALSE,J42&lt;3,J42&gt;0,K42=0),"More entries to come",
IF(AND(E42,TRUE,J42=3,K42=0),"Valid Entries made below"
)))))))))</f>
        <v>Nothing Entered below Yet</v>
      </c>
      <c r="M42" s="2176"/>
      <c r="N42" s="4923" t="s">
        <v>3</v>
      </c>
      <c r="O42" s="4929" t="b">
        <f>IF(OR(N42="Compliant",N42="FE with work-a-round",N42="Functionally Equivalent"),TRUE,FALSE)</f>
        <v>0</v>
      </c>
      <c r="P42" s="66"/>
      <c r="Q42" s="4333" t="s">
        <v>565</v>
      </c>
      <c r="R42" s="138" t="b">
        <f>IF(AND(R43=TRUE,R44=TRUE,R45=TRUE),TRUE,FALSE)</f>
        <v>0</v>
      </c>
      <c r="S42" s="111"/>
      <c r="T42" s="111"/>
      <c r="U42" s="211"/>
      <c r="V42" s="4446"/>
      <c r="W42" s="4886" t="b">
        <f t="shared" si="0"/>
        <v>0</v>
      </c>
      <c r="X42" s="138"/>
      <c r="Y42" s="111"/>
      <c r="Z42" s="120"/>
    </row>
    <row r="43" spans="1:26" s="28" customFormat="1" ht="29.5" thickTop="1" x14ac:dyDescent="0.3">
      <c r="A43" s="28" t="s">
        <v>1306</v>
      </c>
      <c r="B43" s="1504"/>
      <c r="C43" s="2803" t="s">
        <v>1296</v>
      </c>
      <c r="D43" s="1826" t="s">
        <v>3</v>
      </c>
      <c r="E43" s="67" t="b">
        <f t="shared" si="1"/>
        <v>0</v>
      </c>
      <c r="F43" s="44"/>
      <c r="G43" s="44" t="str">
        <f>IF(I43&lt;&gt;"", "Not Blank", "")</f>
        <v/>
      </c>
      <c r="H43" s="44"/>
      <c r="I43" s="2223"/>
      <c r="J43" s="42" t="str">
        <f>IF(L43&lt;&gt;"", "Not Blank", "")</f>
        <v/>
      </c>
      <c r="K43" s="42"/>
      <c r="L43" s="42"/>
      <c r="M43" s="144"/>
      <c r="N43" s="4924"/>
      <c r="O43" s="4930"/>
      <c r="P43" s="2225"/>
      <c r="Q43" s="2090" t="s">
        <v>3</v>
      </c>
      <c r="R43" s="67" t="b">
        <f>IF(OR(Q43="Compliant",Q43="FE with work-a-round",Q43="Functionally Equivalent"),TRUE,FALSE)</f>
        <v>0</v>
      </c>
      <c r="S43" s="44"/>
      <c r="T43" s="44"/>
      <c r="U43" s="68"/>
      <c r="V43" s="4447"/>
      <c r="W43" s="4887" t="b">
        <f t="shared" si="0"/>
        <v>0</v>
      </c>
      <c r="X43" s="67"/>
      <c r="Y43" s="44"/>
      <c r="Z43" s="122"/>
    </row>
    <row r="44" spans="1:26" s="28" customFormat="1" ht="43.5" x14ac:dyDescent="0.3">
      <c r="A44" s="28" t="s">
        <v>1307</v>
      </c>
      <c r="B44" s="1504"/>
      <c r="C44" s="2804" t="s">
        <v>1297</v>
      </c>
      <c r="D44" s="690" t="s">
        <v>3</v>
      </c>
      <c r="E44" s="67" t="b">
        <f t="shared" si="1"/>
        <v>0</v>
      </c>
      <c r="F44" s="44"/>
      <c r="G44" s="44" t="str">
        <f>IF(I44&lt;&gt;"", "Not Blank", "")</f>
        <v/>
      </c>
      <c r="H44" s="44"/>
      <c r="I44" s="2113"/>
      <c r="J44" s="44" t="str">
        <f>IF(L44&lt;&gt;"", "Not Blank", "")</f>
        <v/>
      </c>
      <c r="K44" s="44"/>
      <c r="L44" s="44"/>
      <c r="M44" s="68"/>
      <c r="N44" s="4924"/>
      <c r="O44" s="4930"/>
      <c r="P44" s="205"/>
      <c r="Q44" s="2091" t="s">
        <v>3</v>
      </c>
      <c r="R44" s="67" t="b">
        <f>IF(OR(Q44="Compliant",Q44="FE with work-a-round",Q44="Functionally Equivalent"),TRUE,FALSE)</f>
        <v>0</v>
      </c>
      <c r="S44" s="44"/>
      <c r="T44" s="44"/>
      <c r="U44" s="68"/>
      <c r="V44" s="4447"/>
      <c r="W44" s="4887" t="b">
        <f t="shared" si="0"/>
        <v>0</v>
      </c>
      <c r="X44" s="67"/>
      <c r="Y44" s="44"/>
      <c r="Z44" s="122"/>
    </row>
    <row r="45" spans="1:26" s="28" customFormat="1" ht="102" thickBot="1" x14ac:dyDescent="0.35">
      <c r="A45" s="28" t="s">
        <v>1308</v>
      </c>
      <c r="B45" s="1504"/>
      <c r="C45" s="1807" t="s">
        <v>1298</v>
      </c>
      <c r="D45" s="692" t="s">
        <v>3</v>
      </c>
      <c r="E45" s="78" t="b">
        <f t="shared" si="1"/>
        <v>0</v>
      </c>
      <c r="F45" s="79"/>
      <c r="G45" s="79" t="str">
        <f>IF(I45&lt;&gt;"", "Not Blank", "")</f>
        <v/>
      </c>
      <c r="H45" s="79"/>
      <c r="I45" s="2114"/>
      <c r="J45" s="79" t="str">
        <f>IF(L45&lt;&gt;"", "Not Blank", "")</f>
        <v/>
      </c>
      <c r="K45" s="79"/>
      <c r="L45" s="79"/>
      <c r="M45" s="143"/>
      <c r="N45" s="4924"/>
      <c r="O45" s="4931"/>
      <c r="P45" s="206"/>
      <c r="Q45" s="2092" t="s">
        <v>3</v>
      </c>
      <c r="R45" s="78" t="b">
        <f>IF(OR(Q45="Compliant",Q45="FE with work-a-round",Q45="Functionally Equivalent"),TRUE,FALSE)</f>
        <v>0</v>
      </c>
      <c r="S45" s="79"/>
      <c r="T45" s="79"/>
      <c r="U45" s="143"/>
      <c r="V45" s="4448"/>
      <c r="W45" s="4888" t="b">
        <f t="shared" si="0"/>
        <v>0</v>
      </c>
      <c r="X45" s="78"/>
      <c r="Y45" s="79"/>
      <c r="Z45" s="127"/>
    </row>
    <row r="46" spans="1:26" s="28" customFormat="1" ht="30" thickTop="1" thickBot="1" x14ac:dyDescent="0.35">
      <c r="A46" s="28" t="s">
        <v>342</v>
      </c>
      <c r="B46" s="1910" t="s">
        <v>1554</v>
      </c>
      <c r="C46" s="2148" t="s">
        <v>1300</v>
      </c>
      <c r="D46" s="2149" t="s">
        <v>565</v>
      </c>
      <c r="E46" s="1929" t="b">
        <f>IF(AND(E47=TRUE,E48=TRUE),TRUE,FALSE)</f>
        <v>0</v>
      </c>
      <c r="F46" s="1514">
        <f>COUNTIF(E47:E48,TRUE)</f>
        <v>0</v>
      </c>
      <c r="G46" s="1514">
        <f>COUNTIFS(E47:E48,TRUE,G47:G48,"Not Blank")</f>
        <v>0</v>
      </c>
      <c r="H46" s="1514">
        <f>COUNTIFS(E47:E48,FALSE,G47:G48,"Not Blank")</f>
        <v>0</v>
      </c>
      <c r="I46" s="2155" t="str">
        <f xml:space="preserve">
IF(F46&gt;2,"Too Many Entries - Check Red Lines",
IF(AND(E46=FALSE,G46=0,H46=0,E46=TRUE),"Nothing Required Below",
IF(G46&lt;F46,"Valid Entry required below - Check Amber Line/s",
IF(AND(E46=FALSE,G46=0,H46=0),"Nothing Entered below Yet",
IF(G46&lt;F46,"Valid Entry required below - Check Amber Line/s",
IF(AND(G46=0,H46&gt;0),"**Non-Valid Entry/ies below - Check Yellow Line/s",
IF(AND(G46&gt;0,H46&gt;0),"**Valid and Non-Valid Entries made below - Check Yellow Line/s",
IF(AND(E46=FALSE,F46&lt;2),"Not all requirements addressed below - Check Pink Line/s",
IF(AND(E46=FALSE,G46&lt;2,G46&gt;0,H46=0),"More entries to come",
IF(AND(E46,TRUE,G46=2,H46=0),"Valid Entries made below"
))))))))))</f>
        <v>Nothing Entered below Yet</v>
      </c>
      <c r="J46" s="2155">
        <f>COUNTIFS(E47:E48,TRUE,J47:J48,"Not Blank")</f>
        <v>0</v>
      </c>
      <c r="K46" s="2155">
        <f>COUNTIFS(E47:E48,FALSE,J47:J48,"Not Blank")</f>
        <v>0</v>
      </c>
      <c r="L46" s="2155" t="str">
        <f xml:space="preserve">
IF(J46&gt;2,"Too Many Entries - Check Red Lines",
IF(AND(E46=FALSE,J46=0,K46=0,E46=TRUE),"Nothing Required Below",
IF(J46&lt;F46,"Valid Entry required below - Check Amber Line/s",
IF(AND(E46=FALSE,J46=0,K46=0),"Nothing Entered below Yet",
IF(AND(J46=0,K46&gt;0),"**Non-Valid Entry/ies below - Check Yellow Line/s",
IF(AND(J46&gt;0,K46&gt;0),"**Valid and Non-Valid Entries made below - Check Yellow Line/s",
IF(AND(E46=FALSE,J46&lt;2),"Not all requirements addressed below - Check Pink Line/s",
IF(AND(E46=FALSE,J46&lt;2,J46&gt;0,K46=0),"More entries to come",
IF(AND(E46,TRUE,J46=2,K46=0),"Valid Entries made below"
)))))))))</f>
        <v>Nothing Entered below Yet</v>
      </c>
      <c r="M46" s="2176"/>
      <c r="N46" s="4923" t="s">
        <v>3</v>
      </c>
      <c r="O46" s="4929" t="b">
        <f>IF(OR(N46="Compliant",N46="FE with work-a-round",N46="Functionally Equivalent"),TRUE,FALSE)</f>
        <v>0</v>
      </c>
      <c r="P46" s="66"/>
      <c r="Q46" s="4334" t="s">
        <v>565</v>
      </c>
      <c r="R46" s="138" t="b">
        <f>IF(AND(R47=TRUE,R48=TRUE),TRUE,FALSE)</f>
        <v>0</v>
      </c>
      <c r="S46" s="111"/>
      <c r="T46" s="111"/>
      <c r="U46" s="211"/>
      <c r="V46" s="4446" t="s">
        <v>3</v>
      </c>
      <c r="W46" s="4886" t="b">
        <f t="shared" si="0"/>
        <v>0</v>
      </c>
      <c r="X46" s="138"/>
      <c r="Y46" s="111"/>
      <c r="Z46" s="120"/>
    </row>
    <row r="47" spans="1:26" s="28" customFormat="1" ht="29.5" thickTop="1" x14ac:dyDescent="0.3">
      <c r="A47" s="28" t="s">
        <v>1309</v>
      </c>
      <c r="B47" s="1504"/>
      <c r="C47" s="2803" t="s">
        <v>1302</v>
      </c>
      <c r="D47" s="1826" t="s">
        <v>3</v>
      </c>
      <c r="E47" s="67" t="b">
        <f t="shared" si="1"/>
        <v>0</v>
      </c>
      <c r="F47" s="44"/>
      <c r="G47" s="44" t="str">
        <f>IF(I47&lt;&gt;"", "Not Blank", "")</f>
        <v/>
      </c>
      <c r="H47" s="44"/>
      <c r="I47" s="2223"/>
      <c r="J47" s="42" t="str">
        <f>IF(L47&lt;&gt;"", "Not Blank", "")</f>
        <v/>
      </c>
      <c r="K47" s="42"/>
      <c r="L47" s="42"/>
      <c r="M47" s="144"/>
      <c r="N47" s="4924"/>
      <c r="O47" s="4930"/>
      <c r="P47" s="2225"/>
      <c r="Q47" s="2090" t="s">
        <v>3</v>
      </c>
      <c r="R47" s="67" t="b">
        <f>IF(OR(Q47="Compliant",Q47="FE with work-a-round",Q47="Functionally Equivalent"),TRUE,FALSE)</f>
        <v>0</v>
      </c>
      <c r="S47" s="44"/>
      <c r="T47" s="44"/>
      <c r="U47" s="68"/>
      <c r="V47" s="4447"/>
      <c r="W47" s="4887" t="b">
        <f t="shared" si="0"/>
        <v>0</v>
      </c>
      <c r="X47" s="67"/>
      <c r="Y47" s="44"/>
      <c r="Z47" s="122"/>
    </row>
    <row r="48" spans="1:26" s="28" customFormat="1" ht="73" thickBot="1" x14ac:dyDescent="0.35">
      <c r="A48" s="28" t="s">
        <v>1310</v>
      </c>
      <c r="B48" s="1504"/>
      <c r="C48" s="2805" t="s">
        <v>1301</v>
      </c>
      <c r="D48" s="692" t="s">
        <v>3</v>
      </c>
      <c r="E48" s="78" t="b">
        <f t="shared" si="1"/>
        <v>0</v>
      </c>
      <c r="F48" s="79"/>
      <c r="G48" s="79" t="str">
        <f>IF(I48&lt;&gt;"", "Not Blank", "")</f>
        <v/>
      </c>
      <c r="H48" s="79"/>
      <c r="I48" s="2113"/>
      <c r="J48" s="79" t="str">
        <f>IF(L48&lt;&gt;"", "Not Blank", "")</f>
        <v/>
      </c>
      <c r="K48" s="79"/>
      <c r="L48" s="79"/>
      <c r="M48" s="143"/>
      <c r="N48" s="4924"/>
      <c r="O48" s="4931"/>
      <c r="P48" s="206"/>
      <c r="Q48" s="2093" t="s">
        <v>3</v>
      </c>
      <c r="R48" s="78" t="b">
        <f>IF(OR(Q48="Compliant",Q48="FE with work-a-round",Q48="Functionally Equivalent"),TRUE,FALSE)</f>
        <v>0</v>
      </c>
      <c r="S48" s="79"/>
      <c r="T48" s="79"/>
      <c r="U48" s="143"/>
      <c r="V48" s="4448"/>
      <c r="W48" s="4888" t="b">
        <f t="shared" si="0"/>
        <v>0</v>
      </c>
      <c r="X48" s="78"/>
      <c r="Y48" s="79"/>
      <c r="Z48" s="127"/>
    </row>
    <row r="49" spans="1:26" s="28" customFormat="1" ht="117" thickTop="1" thickBot="1" x14ac:dyDescent="0.35">
      <c r="A49" s="28" t="s">
        <v>1093</v>
      </c>
      <c r="B49" s="1910" t="s">
        <v>1553</v>
      </c>
      <c r="C49" s="2148" t="s">
        <v>1311</v>
      </c>
      <c r="D49" s="2149" t="s">
        <v>565</v>
      </c>
      <c r="E49" s="1929" t="b">
        <f>IF(OR(E50=TRUE,E51=TRUE),TRUE,FALSE)</f>
        <v>0</v>
      </c>
      <c r="F49" s="1514">
        <f>COUNTIF(E50:E51,TRUE)</f>
        <v>0</v>
      </c>
      <c r="G49" s="1514">
        <f>COUNTIFS(E50:E51,TRUE,G50:G51,"Not Blank")</f>
        <v>0</v>
      </c>
      <c r="H49" s="1514">
        <f>COUNTIFS(E50:E51,FALSE,G50:G51,"Not Blank")</f>
        <v>0</v>
      </c>
      <c r="I49" s="2155" t="str">
        <f xml:space="preserve">
IF(F49&gt;2,"Too Many Entries - Check Red Lines",
IF(AND(E49=FALSE,G49=0,H49=0,E49=TRUE),"Nothing Required Below",
IF(G49&lt;F49,"Valid Entry required below - Check Amber Line/s",
IF(AND(E49=FALSE,G49=0,H49=0),"Nothing Entered below Yet",
IF(G49&lt;F49,"Valid Entry required below - Check Amber Line/s",
IF(AND(G49=0,H49&gt;0),"**Non-Valid Entry/ies below - Check Yellow Line/s",
IF(AND(G49&gt;0,H49&gt;0),"**Valid and Non-Valid Entries made below - Check Yellow Line/s",
IF(AND(E49=FALSE,F49&lt;2),"Not all requirements addressed below - Check Pink Line/s",
IF(AND(E49=FALSE,G49&lt;2,G49&gt;0,H49=0),"More entries to come",
IF(AND(E49,TRUE,G49=2,H49=0),"Valid Entries made below"
))))))))))</f>
        <v>Nothing Entered below Yet</v>
      </c>
      <c r="J49" s="2155">
        <f>COUNTIFS(E50:E51,TRUE,J50:J51,"Not Blank")</f>
        <v>0</v>
      </c>
      <c r="K49" s="2155">
        <f>COUNTIFS(E50:E51,FALSE,J50:J51,"Not Blank")</f>
        <v>0</v>
      </c>
      <c r="L49" s="2155" t="str">
        <f xml:space="preserve">
IF(J49&gt;2,"Too Many Entries - Check Red Lines",
IF(AND(E49=FALSE,J49=0,K49=0,E49=TRUE),"Nothing Required Below",
IF(J49&lt;F49,"Valid Entry required below - Check Amber Line/s",
IF(AND(E49=FALSE,J49=0,K49=0),"Nothing Entered below Yet",
IF(AND(J49=0,K49&gt;0),"**Non-Valid Entry/ies below - Check Yellow Line/s",
IF(AND(J49&gt;0,K49&gt;0),"**Valid and Non-Valid Entries made below - Check Yellow Line/s",
IF(AND(E49=FALSE,J49&lt;2),"Not all requirements addressed below - Check Pink Line/s",
IF(AND(E49=FALSE,J49&lt;2,J49&gt;0,K49=0),"More entries to come",
IF(AND(E49,TRUE,J49=2,K49=0),"Valid Entries made below"
)))))))))</f>
        <v>Nothing Entered below Yet</v>
      </c>
      <c r="M49" s="861"/>
      <c r="N49" s="4923" t="s">
        <v>3</v>
      </c>
      <c r="O49" s="4929" t="b">
        <f>IF(OR(N49="Compliant",N49="FE with work-a-round",N49="Functionally Equivalent"),TRUE,FALSE)</f>
        <v>0</v>
      </c>
      <c r="P49" s="66"/>
      <c r="Q49" s="4333" t="s">
        <v>565</v>
      </c>
      <c r="R49" s="138" t="b">
        <f>IF(AND(R50=TRUE,R51=TRUE),TRUE,FALSE)</f>
        <v>0</v>
      </c>
      <c r="S49" s="111"/>
      <c r="T49" s="111"/>
      <c r="U49" s="211"/>
      <c r="V49" s="4446" t="s">
        <v>3</v>
      </c>
      <c r="W49" s="4886" t="b">
        <f t="shared" si="0"/>
        <v>0</v>
      </c>
      <c r="X49" s="138"/>
      <c r="Y49" s="111"/>
      <c r="Z49" s="120"/>
    </row>
    <row r="50" spans="1:26" s="28" customFormat="1" ht="29.5" thickTop="1" x14ac:dyDescent="0.3">
      <c r="A50" s="28" t="s">
        <v>1312</v>
      </c>
      <c r="B50" s="1504"/>
      <c r="C50" s="1806" t="s">
        <v>1314</v>
      </c>
      <c r="D50" s="1826" t="s">
        <v>3</v>
      </c>
      <c r="E50" s="67" t="b">
        <f t="shared" si="1"/>
        <v>0</v>
      </c>
      <c r="F50" s="44"/>
      <c r="G50" s="44" t="str">
        <f>IF(I50&lt;&gt;"", "Not Blank", "")</f>
        <v/>
      </c>
      <c r="H50" s="44"/>
      <c r="I50" s="42"/>
      <c r="J50" s="42" t="str">
        <f>IF(L50&lt;&gt;"", "Not Blank", "")</f>
        <v/>
      </c>
      <c r="K50" s="42"/>
      <c r="L50" s="42"/>
      <c r="M50" s="2177"/>
      <c r="N50" s="4924"/>
      <c r="O50" s="4930"/>
      <c r="P50" s="2225"/>
      <c r="Q50" s="2090" t="s">
        <v>3</v>
      </c>
      <c r="R50" s="67" t="b">
        <f>IF(OR(Q50="Compliant",Q50="FE with work-a-round",Q50="Functionally Equivalent"),TRUE,FALSE)</f>
        <v>0</v>
      </c>
      <c r="S50" s="44"/>
      <c r="T50" s="44"/>
      <c r="U50" s="68"/>
      <c r="V50" s="4447"/>
      <c r="W50" s="4887" t="b">
        <f t="shared" si="0"/>
        <v>0</v>
      </c>
      <c r="X50" s="67"/>
      <c r="Y50" s="44"/>
      <c r="Z50" s="122"/>
    </row>
    <row r="51" spans="1:26" s="28" customFormat="1" ht="29.5" thickBot="1" x14ac:dyDescent="0.35">
      <c r="A51" s="28" t="s">
        <v>1313</v>
      </c>
      <c r="B51" s="1504"/>
      <c r="C51" s="1807" t="s">
        <v>1315</v>
      </c>
      <c r="D51" s="692" t="s">
        <v>3</v>
      </c>
      <c r="E51" s="78" t="b">
        <f t="shared" si="1"/>
        <v>0</v>
      </c>
      <c r="F51" s="79"/>
      <c r="G51" s="79" t="str">
        <f>IF(I51&lt;&gt;"", "Not Blank", "")</f>
        <v/>
      </c>
      <c r="H51" s="79"/>
      <c r="I51" s="2113"/>
      <c r="J51" s="79" t="str">
        <f>IF(L51&lt;&gt;"", "Not Blank", "")</f>
        <v/>
      </c>
      <c r="K51" s="79"/>
      <c r="L51" s="79"/>
      <c r="M51" s="143"/>
      <c r="N51" s="4925"/>
      <c r="O51" s="4931"/>
      <c r="P51" s="206"/>
      <c r="Q51" s="2093" t="s">
        <v>3</v>
      </c>
      <c r="R51" s="78" t="b">
        <f>IF(OR(Q51="Compliant",Q51="FE with work-a-round",Q51="Functionally Equivalent"),TRUE,FALSE)</f>
        <v>0</v>
      </c>
      <c r="S51" s="79"/>
      <c r="T51" s="79"/>
      <c r="U51" s="143"/>
      <c r="V51" s="4448"/>
      <c r="W51" s="4888" t="b">
        <f t="shared" si="0"/>
        <v>0</v>
      </c>
      <c r="X51" s="78"/>
      <c r="Y51" s="79"/>
      <c r="Z51" s="127"/>
    </row>
    <row r="52" spans="1:26" s="28" customFormat="1" ht="131.5" thickTop="1" thickBot="1" x14ac:dyDescent="0.35">
      <c r="A52" s="28" t="s">
        <v>1094</v>
      </c>
      <c r="B52" s="1910" t="s">
        <v>1552</v>
      </c>
      <c r="C52" s="2806" t="s">
        <v>1316</v>
      </c>
      <c r="D52" s="2149" t="s">
        <v>565</v>
      </c>
      <c r="E52" s="1929" t="b">
        <f>IF(OR(E53=TRUE,E54=TRUE,E55=TRUE),TRUE,FALSE)</f>
        <v>0</v>
      </c>
      <c r="F52" s="1514">
        <f>COUNTIF(E53:E55,TRUE)</f>
        <v>0</v>
      </c>
      <c r="G52" s="1514">
        <f>COUNTIFS(E53:E55,TRUE,G53:G55,"Not Blank")</f>
        <v>0</v>
      </c>
      <c r="H52" s="1514">
        <f>COUNTIFS(E53:E55,FALSE,G53:G55,"Not Blank")</f>
        <v>0</v>
      </c>
      <c r="I52" s="2155" t="str">
        <f xml:space="preserve">
IF(F52&gt;3,"Too Many Entries - Check Red Lines",
IF(AND(E52=FALSE,G52=0,H52=0,E52=TRUE),"Nothing Required Below",
IF(G52&lt;F52,"Valid Entry required below - Check Amber Line/s",
IF(AND(E52=FALSE,G52=0,H52=0),"Nothing Entered below Yet",
IF(G52&lt;F52,"Valid Entry required below - Check Amber Line/s",
IF(AND(G52=0,H52&gt;0),"**Non-Valid Entry/ies below - Check Yellow Line/s",
IF(AND(G52&gt;0,H52&gt;0),"**Valid and Non-Valid Entries made below - Check Yellow Line/s",
IF(AND(E52=FALSE,F52&lt;3),"Not all requirements addressed below - Check Pink Line/s",
IF(AND(E52=FALSE,G52&lt;3,G52&gt;0,H52=0),"More entries to come",
IF(AND(E52,TRUE,G52=3,H52=0),"Valid Entries made below"
))))))))))</f>
        <v>Nothing Entered below Yet</v>
      </c>
      <c r="J52" s="2155">
        <f>COUNTIFS(E53:E55,TRUE,J53:J55,"Not Blank")</f>
        <v>0</v>
      </c>
      <c r="K52" s="2155">
        <f>COUNTIFS(E53:E55,FALSE,J53:J55,"Not Blank")</f>
        <v>0</v>
      </c>
      <c r="L52" s="2155" t="str">
        <f xml:space="preserve">
IF(J52&gt;3,"Too Many Entries - Check Red Lines",
IF(AND(E52=FALSE,J52=0,K52=0,E52=TRUE),"Nothing Required Below",
IF(J52&lt;F52,"Valid Entry required below - Check Amber Line/s",
IF(AND(E52=FALSE,J52=0,K52=0),"Nothing Entered below Yet",
IF(AND(J52=0,K52&gt;0),"**Non-Valid Entry/ies below - Check Yellow Line/s",
IF(AND(J52&gt;0,K52&gt;0),"**Valid and Non-Valid Entries made below - Check Yellow Line/s",
IF(AND(E52=FALSE,J52&lt;3),"Not all requirements addressed below - Check Pink Line/s",
IF(AND(E52=FALSE,J52&lt;3,J52&gt;0,K52=0),"More entries to come",
IF(AND(E52,TRUE,J52=3,K52=0),"Valid Entries made below"
)))))))))</f>
        <v>Nothing Entered below Yet</v>
      </c>
      <c r="M52" s="2176"/>
      <c r="N52" s="4923" t="s">
        <v>3</v>
      </c>
      <c r="O52" s="4929" t="b">
        <f>IF(OR(N52="Compliant",N52="FE with work-a-round",N52="Functionally Equivalent"),TRUE,FALSE)</f>
        <v>0</v>
      </c>
      <c r="P52" s="2224"/>
      <c r="Q52" s="4333" t="s">
        <v>565</v>
      </c>
      <c r="R52" s="138" t="b">
        <f>IF(AND(R53=TRUE,R54=TRUE,R55=TRUE),TRUE,FALSE)</f>
        <v>0</v>
      </c>
      <c r="S52" s="111"/>
      <c r="T52" s="111"/>
      <c r="U52" s="211"/>
      <c r="V52" s="4446"/>
      <c r="W52" s="4886" t="b">
        <f t="shared" si="0"/>
        <v>0</v>
      </c>
      <c r="X52" s="138"/>
      <c r="Y52" s="111"/>
      <c r="Z52" s="120"/>
    </row>
    <row r="53" spans="1:26" s="28" customFormat="1" ht="29.5" thickTop="1" x14ac:dyDescent="0.3">
      <c r="A53" s="28" t="s">
        <v>1317</v>
      </c>
      <c r="B53" s="1504"/>
      <c r="C53" s="1806" t="s">
        <v>1730</v>
      </c>
      <c r="D53" s="1826" t="s">
        <v>3</v>
      </c>
      <c r="E53" s="67" t="b">
        <f t="shared" si="1"/>
        <v>0</v>
      </c>
      <c r="F53" s="44"/>
      <c r="G53" s="44" t="str">
        <f>IF(I53&lt;&gt;"", "Not Blank", "")</f>
        <v/>
      </c>
      <c r="H53" s="44"/>
      <c r="I53" s="2223"/>
      <c r="J53" s="42" t="str">
        <f>IF(L53&lt;&gt;"", "Not Blank", "")</f>
        <v/>
      </c>
      <c r="K53" s="42"/>
      <c r="L53" s="42"/>
      <c r="M53" s="144"/>
      <c r="N53" s="4924"/>
      <c r="O53" s="4930"/>
      <c r="P53" s="497"/>
      <c r="Q53" s="2090" t="s">
        <v>3</v>
      </c>
      <c r="R53" s="67" t="b">
        <f>IF(OR(Q53="Compliant",Q53="FE with work-a-round",Q53="Functionally Equivalent"),TRUE,FALSE)</f>
        <v>0</v>
      </c>
      <c r="S53" s="44"/>
      <c r="T53" s="44"/>
      <c r="U53" s="68"/>
      <c r="V53" s="4447"/>
      <c r="W53" s="4887" t="b">
        <f t="shared" si="0"/>
        <v>0</v>
      </c>
      <c r="X53" s="67"/>
      <c r="Y53" s="44"/>
      <c r="Z53" s="122"/>
    </row>
    <row r="54" spans="1:26" s="28" customFormat="1" ht="29" x14ac:dyDescent="0.3">
      <c r="A54" s="28" t="s">
        <v>1318</v>
      </c>
      <c r="B54" s="1504"/>
      <c r="C54" s="1717" t="s">
        <v>1731</v>
      </c>
      <c r="D54" s="690" t="s">
        <v>3</v>
      </c>
      <c r="E54" s="67" t="b">
        <f t="shared" si="1"/>
        <v>0</v>
      </c>
      <c r="F54" s="44"/>
      <c r="G54" s="44" t="str">
        <f>IF(I54&lt;&gt;"", "Not Blank", "")</f>
        <v/>
      </c>
      <c r="H54" s="44"/>
      <c r="I54" s="44"/>
      <c r="J54" s="44" t="str">
        <f>IF(L54&lt;&gt;"", "Not Blank", "")</f>
        <v/>
      </c>
      <c r="K54" s="44"/>
      <c r="L54" s="44"/>
      <c r="M54" s="68"/>
      <c r="N54" s="4924"/>
      <c r="O54" s="4930"/>
      <c r="P54" s="205"/>
      <c r="Q54" s="2091" t="s">
        <v>3</v>
      </c>
      <c r="R54" s="67" t="b">
        <f>IF(OR(Q54="Compliant",Q54="FE with work-a-round",Q54="Functionally Equivalent"),TRUE,FALSE)</f>
        <v>0</v>
      </c>
      <c r="S54" s="44"/>
      <c r="T54" s="44"/>
      <c r="U54" s="68"/>
      <c r="V54" s="4447"/>
      <c r="W54" s="4887" t="b">
        <f t="shared" si="0"/>
        <v>0</v>
      </c>
      <c r="X54" s="67"/>
      <c r="Y54" s="44"/>
      <c r="Z54" s="122"/>
    </row>
    <row r="55" spans="1:26" s="28" customFormat="1" ht="29.5" thickBot="1" x14ac:dyDescent="0.35">
      <c r="A55" s="28" t="s">
        <v>1319</v>
      </c>
      <c r="B55" s="1504"/>
      <c r="C55" s="1807" t="s">
        <v>1732</v>
      </c>
      <c r="D55" s="692"/>
      <c r="E55" s="78" t="b">
        <f t="shared" si="1"/>
        <v>0</v>
      </c>
      <c r="F55" s="79"/>
      <c r="G55" s="79" t="str">
        <f>IF(I55&lt;&gt;"", "Not Blank", "")</f>
        <v/>
      </c>
      <c r="H55" s="79"/>
      <c r="I55" s="79"/>
      <c r="J55" s="79" t="str">
        <f>IF(L55&lt;&gt;"", "Not Blank", "")</f>
        <v/>
      </c>
      <c r="K55" s="79"/>
      <c r="L55" s="79"/>
      <c r="M55" s="143"/>
      <c r="N55" s="4924"/>
      <c r="O55" s="4931"/>
      <c r="P55" s="206"/>
      <c r="Q55" s="2093" t="s">
        <v>3</v>
      </c>
      <c r="R55" s="78" t="b">
        <f>IF(OR(Q55="Compliant",Q55="FE with work-a-round",Q55="Functionally Equivalent"),TRUE,FALSE)</f>
        <v>0</v>
      </c>
      <c r="S55" s="79"/>
      <c r="T55" s="79"/>
      <c r="U55" s="143"/>
      <c r="V55" s="4448"/>
      <c r="W55" s="4888" t="b">
        <f t="shared" si="0"/>
        <v>0</v>
      </c>
      <c r="X55" s="78"/>
      <c r="Y55" s="79"/>
      <c r="Z55" s="127"/>
    </row>
    <row r="56" spans="1:26" s="28" customFormat="1" ht="30" thickTop="1" thickBot="1" x14ac:dyDescent="0.35">
      <c r="A56" s="28">
        <v>6.4</v>
      </c>
      <c r="B56" s="1910" t="s">
        <v>1551</v>
      </c>
      <c r="C56" s="2148" t="s">
        <v>1735</v>
      </c>
      <c r="D56" s="2149" t="s">
        <v>565</v>
      </c>
      <c r="E56" s="1929" t="b">
        <f>IF(AND(E57=TRUE,E58=TRUE),TRUE,FALSE)</f>
        <v>0</v>
      </c>
      <c r="F56" s="1514">
        <f>COUNTIF(E57:E58,TRUE)</f>
        <v>0</v>
      </c>
      <c r="G56" s="1514">
        <f>COUNTIFS(E57:E58,TRUE,G57:G58,"Not Blank")</f>
        <v>0</v>
      </c>
      <c r="H56" s="1514">
        <f>COUNTIFS(E57:E58,FALSE,G57:G58,"Not Blank")</f>
        <v>0</v>
      </c>
      <c r="I56" s="2155" t="str">
        <f xml:space="preserve">
IF(F56&gt;2,"Too Many Entries - Check Red Lines",
IF(AND(E56=FALSE,G56=0,H56=0,E56=TRUE),"Nothing Required Below",
IF(G56&lt;F56,"Valid Entry required below - Check Amber Line/s",
IF(AND(E56=FALSE,G56=0,H56=0),"Nothing Entered below Yet",
IF(G56&lt;F56,"Valid Entry required below - Check Amber Line/s",
IF(AND(G56=0,H56&gt;0),"**Non-Valid Entry/ies below - Check Yellow Line/s",
IF(AND(G56&gt;0,H56&gt;0),"**Valid and Non-Valid Entries made below - Check Yellow Line/s",
IF(AND(E56=FALSE,F56&lt;2),"Not all requirements addressed below - Check Pink Line/s",
IF(AND(E56=FALSE,G56&lt;2,G56&gt;0,H56=0),"More entries to come",
IF(AND(E56,TRUE,G56=2,H56=0),"Valid Entries made below"
))))))))))</f>
        <v>Nothing Entered below Yet</v>
      </c>
      <c r="J56" s="2155">
        <f>COUNTIFS(E57:E58,TRUE,J57:J58,"Not Blank")</f>
        <v>0</v>
      </c>
      <c r="K56" s="2155">
        <f>COUNTIFS(E57:E58,FALSE,J57:J58,"Not Blank")</f>
        <v>0</v>
      </c>
      <c r="L56" s="2155" t="str">
        <f xml:space="preserve">
IF(J56&gt;2,"Too Many Entries - Check Red Lines",
IF(AND(E56=FALSE,J56=0,K56=0,E56=TRUE),"Nothing Required Below",
IF(J56&lt;F56,"Valid Entry required below - Check Amber Line/s",
IF(AND(E56=FALSE,J56=0,K56=0),"Nothing Entered below Yet",
IF(AND(J56=0,K56&gt;0),"**Non-Valid Entry/ies below - Check Yellow Line/s",
IF(AND(J56&gt;0,K56&gt;0),"**Valid and Non-Valid Entries made below - Check Yellow Line/s",
IF(AND(E56=FALSE,J56&lt;2),"Not all requirements addressed below - Check Pink Line/s",
IF(AND(E56=FALSE,J56&lt;2,J56&gt;0,K56=0),"More entries to come",
IF(AND(E56,TRUE,J56=2,K56=0),"Valid Entries made below"
)))))))))</f>
        <v>Nothing Entered below Yet</v>
      </c>
      <c r="M56" s="2176"/>
      <c r="N56" s="4923" t="s">
        <v>3</v>
      </c>
      <c r="O56" s="4929" t="b">
        <f>IF(OR(N56="Compliant",N56="FE with work-a-round",N56="Functionally Equivalent"),TRUE,FALSE)</f>
        <v>0</v>
      </c>
      <c r="P56" s="66"/>
      <c r="Q56" s="4333" t="s">
        <v>565</v>
      </c>
      <c r="R56" s="138" t="b">
        <f>IF(AND(R57=TRUE,R58=TRUE),TRUE,FALSE)</f>
        <v>0</v>
      </c>
      <c r="S56" s="111"/>
      <c r="T56" s="111"/>
      <c r="U56" s="211"/>
      <c r="V56" s="4446" t="s">
        <v>3</v>
      </c>
      <c r="W56" s="4886" t="b">
        <f t="shared" si="0"/>
        <v>0</v>
      </c>
      <c r="X56" s="138"/>
      <c r="Y56" s="111"/>
      <c r="Z56" s="120"/>
    </row>
    <row r="57" spans="1:26" s="28" customFormat="1" ht="73" thickTop="1" x14ac:dyDescent="0.3">
      <c r="A57" s="28" t="s">
        <v>1320</v>
      </c>
      <c r="B57" s="1504"/>
      <c r="C57" s="1806" t="s">
        <v>1321</v>
      </c>
      <c r="D57" s="1826" t="s">
        <v>3</v>
      </c>
      <c r="E57" s="67" t="b">
        <f t="shared" si="1"/>
        <v>0</v>
      </c>
      <c r="F57" s="44"/>
      <c r="G57" s="44" t="str">
        <f>IF(I57&lt;&gt;"", "Not Blank", "")</f>
        <v/>
      </c>
      <c r="H57" s="44"/>
      <c r="I57" s="2223"/>
      <c r="J57" s="42" t="str">
        <f>IF(L57&lt;&gt;"", "Not Blank", "")</f>
        <v/>
      </c>
      <c r="K57" s="42"/>
      <c r="L57" s="42"/>
      <c r="M57" s="144"/>
      <c r="N57" s="4924"/>
      <c r="O57" s="4930"/>
      <c r="P57" s="2225"/>
      <c r="Q57" s="2090" t="s">
        <v>3</v>
      </c>
      <c r="R57" s="67" t="b">
        <f>IF(OR(Q57="Compliant",Q57="FE with work-a-round",Q57="Functionally Equivalent"),TRUE,FALSE)</f>
        <v>0</v>
      </c>
      <c r="S57" s="44"/>
      <c r="T57" s="44"/>
      <c r="U57" s="68"/>
      <c r="V57" s="4447"/>
      <c r="W57" s="4887" t="b">
        <f t="shared" si="0"/>
        <v>0</v>
      </c>
      <c r="X57" s="67"/>
      <c r="Y57" s="44"/>
      <c r="Z57" s="122"/>
    </row>
    <row r="58" spans="1:26" s="28" customFormat="1" ht="377.5" thickBot="1" x14ac:dyDescent="0.35">
      <c r="A58" s="28" t="s">
        <v>1322</v>
      </c>
      <c r="B58" s="1504"/>
      <c r="C58" s="1800" t="s">
        <v>1323</v>
      </c>
      <c r="D58" s="691" t="s">
        <v>3</v>
      </c>
      <c r="E58" s="161" t="b">
        <f t="shared" si="1"/>
        <v>0</v>
      </c>
      <c r="F58" s="124"/>
      <c r="G58" s="124" t="str">
        <f>IF(I58&lt;&gt;"", "Not Blank", "")</f>
        <v/>
      </c>
      <c r="H58" s="124"/>
      <c r="I58" s="124"/>
      <c r="J58" s="124" t="str">
        <f>IF(L58&lt;&gt;"", "Not Blank", "")</f>
        <v/>
      </c>
      <c r="K58" s="124"/>
      <c r="L58" s="124"/>
      <c r="M58" s="246"/>
      <c r="N58" s="4925"/>
      <c r="O58" s="4931"/>
      <c r="P58" s="590"/>
      <c r="Q58" s="2093" t="s">
        <v>3</v>
      </c>
      <c r="R58" s="161" t="b">
        <f>IF(OR(Q58="Compliant",Q58="FE with work-a-round",Q58="Functionally Equivalent"),TRUE,FALSE)</f>
        <v>0</v>
      </c>
      <c r="S58" s="124"/>
      <c r="T58" s="124"/>
      <c r="U58" s="246"/>
      <c r="V58" s="4448"/>
      <c r="W58" s="4888" t="b">
        <f t="shared" si="0"/>
        <v>0</v>
      </c>
      <c r="X58" s="161"/>
      <c r="Y58" s="124"/>
      <c r="Z58" s="125"/>
    </row>
    <row r="59" spans="1:26" s="28" customFormat="1" ht="44.5" thickTop="1" thickBot="1" x14ac:dyDescent="0.35">
      <c r="A59" s="28" t="s">
        <v>1324</v>
      </c>
      <c r="B59" s="1910" t="s">
        <v>1550</v>
      </c>
      <c r="C59" s="2806" t="s">
        <v>1343</v>
      </c>
      <c r="D59" s="2149" t="s">
        <v>565</v>
      </c>
      <c r="E59" s="1929" t="b">
        <f>IF(AND(E60=TRUE,E61=TRUE,E62=TRUE,E63=TRUE,E64=TRUE),TRUE,FALSE)</f>
        <v>0</v>
      </c>
      <c r="F59" s="1514">
        <f>COUNTIF(E60:E64,TRUE)</f>
        <v>0</v>
      </c>
      <c r="G59" s="1514">
        <f>COUNTIFS(E60:E64,TRUE,G60:G64,"Not Blank")</f>
        <v>0</v>
      </c>
      <c r="H59" s="1514">
        <f>COUNTIFS(E60:E64,FALSE,G60:G64,"Not Blank")</f>
        <v>0</v>
      </c>
      <c r="I59" s="2155" t="str">
        <f xml:space="preserve">
IF(F59&gt;5,"Too Many Entries - Check Red Lines",
IF(AND(E59=FALSE,G59=0,H59=0,E59=TRUE),"Nothing Required Below",
IF(G59&lt;F59,"Valid Entry required below - Check Amber Line/s",
IF(AND(E59=FALSE,G59=0,H59=0),"Nothing Entered below Yet",
IF(G59&lt;F59,"Valid Entry required below - Check Amber Line/s",
IF(AND(G59=0,H59&gt;0),"**Non-Valid Entry/ies below - Check Yellow Line/s",
IF(AND(G59&gt;0,H59&gt;0),"**Valid and Non-Valid Entries made below - Check Yellow Line/s",
IF(AND(E59=FALSE,F59&lt;5),"Not all requirements addressed below - Check Pink Line/s",
IF(AND(E59=FALSE,G59&lt;5,G59&gt;0,H59=0),"More entries to come",
IF(AND(E59,TRUE,G59=5,H59=0),"Valid Entries made below"
))))))))))</f>
        <v>Nothing Entered below Yet</v>
      </c>
      <c r="J59" s="2155">
        <f>COUNTIFS(E60:E64,TRUE,J60:J64,"Not Blank")</f>
        <v>0</v>
      </c>
      <c r="K59" s="2155">
        <f>COUNTIFS(E60:E64,FALSE,J60:J64,"Not Blank")</f>
        <v>0</v>
      </c>
      <c r="L59" s="2155" t="str">
        <f xml:space="preserve">
IF(J59&gt;5,"Too Many Entries - Check Red Lines",
IF(AND(E59=FALSE,J59=0,K59=0,E59=TRUE),"Nothing Required Below",
IF(J59&lt;F59,"Valid Entry required below - Check Amber Line/s",
IF(AND(E59=FALSE,J59=0,K59=0),"Nothing Entered below Yet",
IF(AND(J59=0,K59&gt;0),"**Non-Valid Entry/ies below - Check Yellow Line/s",
IF(AND(J59&gt;0,K59&gt;0),"**Valid and Non-Valid Entries made below - Check Yellow Line/s",
IF(AND(E59=FALSE,J59&lt;5),"Not all requirements addressed below - Check Pink Line/s",
IF(AND(E59=FALSE,J59&lt;5,J59&gt;0,K59=0),"More entries to come",
IF(AND(E59,TRUE,J59=5,K59=0),"Valid Entries made below"
)))))))))</f>
        <v>Nothing Entered below Yet</v>
      </c>
      <c r="M59" s="2176"/>
      <c r="N59" s="4923"/>
      <c r="O59" s="4929" t="b">
        <f>IF(OR(N59="Compliant",N59="FE with work-a-round",N59="Functionally Equivalent"),TRUE,FALSE)</f>
        <v>0</v>
      </c>
      <c r="P59" s="66"/>
      <c r="Q59" s="593" t="s">
        <v>565</v>
      </c>
      <c r="R59" s="138" t="b">
        <f>IF(AND(R60=TRUE,R61=TRUE,R62=TRUE,R63=TRUE,R64=TRUE),TRUE,FALSE)</f>
        <v>0</v>
      </c>
      <c r="S59" s="111"/>
      <c r="T59" s="111"/>
      <c r="U59" s="211"/>
      <c r="V59" s="4446"/>
      <c r="W59" s="4886" t="b">
        <f t="shared" si="0"/>
        <v>0</v>
      </c>
      <c r="X59" s="138"/>
      <c r="Y59" s="111"/>
      <c r="Z59" s="120"/>
    </row>
    <row r="60" spans="1:26" s="28" customFormat="1" ht="29.5" thickTop="1" x14ac:dyDescent="0.3">
      <c r="A60" s="28" t="s">
        <v>1325</v>
      </c>
      <c r="B60" s="1504"/>
      <c r="C60" s="1806" t="s">
        <v>1560</v>
      </c>
      <c r="D60" s="1826" t="s">
        <v>3</v>
      </c>
      <c r="E60" s="67" t="b">
        <f t="shared" si="1"/>
        <v>0</v>
      </c>
      <c r="F60" s="44"/>
      <c r="G60" s="44" t="str">
        <f>IF(I60&lt;&gt;"", "Not Blank", "")</f>
        <v/>
      </c>
      <c r="H60" s="44"/>
      <c r="I60" s="42"/>
      <c r="J60" s="42" t="str">
        <f>IF(L60&lt;&gt;"", "Not Blank", "")</f>
        <v/>
      </c>
      <c r="K60" s="42"/>
      <c r="L60" s="42"/>
      <c r="M60" s="144"/>
      <c r="N60" s="4924"/>
      <c r="O60" s="4930"/>
      <c r="P60" s="2225"/>
      <c r="Q60" s="2090"/>
      <c r="R60" s="67" t="b">
        <f>IF(OR(Q60="Compliant",Q60="FE with work-a-round",Q60="Functionally Equivalent"),TRUE,FALSE)</f>
        <v>0</v>
      </c>
      <c r="S60" s="44"/>
      <c r="T60" s="44"/>
      <c r="U60" s="68"/>
      <c r="V60" s="4447"/>
      <c r="W60" s="4887" t="b">
        <f t="shared" si="0"/>
        <v>0</v>
      </c>
      <c r="X60" s="67"/>
      <c r="Y60" s="44"/>
      <c r="Z60" s="122"/>
    </row>
    <row r="61" spans="1:26" s="28" customFormat="1" ht="43.5" x14ac:dyDescent="0.3">
      <c r="A61" s="28" t="s">
        <v>1326</v>
      </c>
      <c r="B61" s="1504"/>
      <c r="C61" s="1717" t="s">
        <v>1561</v>
      </c>
      <c r="D61" s="690" t="s">
        <v>3</v>
      </c>
      <c r="E61" s="67" t="b">
        <f t="shared" si="1"/>
        <v>0</v>
      </c>
      <c r="F61" s="44"/>
      <c r="G61" s="44" t="str">
        <f>IF(I61&lt;&gt;"", "Not Blank", "")</f>
        <v/>
      </c>
      <c r="H61" s="44"/>
      <c r="I61" s="2113"/>
      <c r="J61" s="44" t="str">
        <f>IF(L61&lt;&gt;"", "Not Blank", "")</f>
        <v/>
      </c>
      <c r="K61" s="44"/>
      <c r="L61" s="44"/>
      <c r="M61" s="68"/>
      <c r="N61" s="4924"/>
      <c r="O61" s="4930"/>
      <c r="P61" s="205"/>
      <c r="Q61" s="2091"/>
      <c r="R61" s="67" t="b">
        <f>IF(OR(Q61="Compliant",Q61="FE with work-a-round",Q61="Functionally Equivalent"),TRUE,FALSE)</f>
        <v>0</v>
      </c>
      <c r="S61" s="44"/>
      <c r="T61" s="44"/>
      <c r="U61" s="68"/>
      <c r="V61" s="4447"/>
      <c r="W61" s="4887" t="b">
        <f t="shared" si="0"/>
        <v>0</v>
      </c>
      <c r="X61" s="67"/>
      <c r="Y61" s="44"/>
      <c r="Z61" s="122"/>
    </row>
    <row r="62" spans="1:26" s="28" customFormat="1" ht="43.5" x14ac:dyDescent="0.3">
      <c r="A62" s="28" t="s">
        <v>1327</v>
      </c>
      <c r="B62" s="1504"/>
      <c r="C62" s="1717" t="s">
        <v>2040</v>
      </c>
      <c r="D62" s="690" t="s">
        <v>3</v>
      </c>
      <c r="E62" s="67" t="b">
        <f t="shared" si="1"/>
        <v>0</v>
      </c>
      <c r="F62" s="44"/>
      <c r="G62" s="44" t="str">
        <f>IF(I62&lt;&gt;"", "Not Blank", "")</f>
        <v/>
      </c>
      <c r="H62" s="44"/>
      <c r="I62" s="44"/>
      <c r="J62" s="44" t="str">
        <f>IF(L62&lt;&gt;"", "Not Blank", "")</f>
        <v/>
      </c>
      <c r="K62" s="44"/>
      <c r="L62" s="44"/>
      <c r="M62" s="68"/>
      <c r="N62" s="4924"/>
      <c r="O62" s="4930"/>
      <c r="P62" s="205"/>
      <c r="Q62" s="2091"/>
      <c r="R62" s="67" t="b">
        <f>IF(OR(Q62="Compliant",Q62="FE with work-a-round",Q62="Functionally Equivalent"),TRUE,FALSE)</f>
        <v>0</v>
      </c>
      <c r="S62" s="44"/>
      <c r="T62" s="44"/>
      <c r="U62" s="68"/>
      <c r="V62" s="4447"/>
      <c r="W62" s="4887" t="b">
        <f t="shared" si="0"/>
        <v>0</v>
      </c>
      <c r="X62" s="67"/>
      <c r="Y62" s="44"/>
      <c r="Z62" s="122"/>
    </row>
    <row r="63" spans="1:26" s="28" customFormat="1" ht="43.5" x14ac:dyDescent="0.3">
      <c r="B63" s="1504"/>
      <c r="C63" s="2807" t="s">
        <v>1328</v>
      </c>
      <c r="D63" s="690" t="s">
        <v>3</v>
      </c>
      <c r="E63" s="67" t="b">
        <f t="shared" si="1"/>
        <v>0</v>
      </c>
      <c r="F63" s="44"/>
      <c r="G63" s="44" t="str">
        <f>IF(I63&lt;&gt;"", "Not Blank", "")</f>
        <v/>
      </c>
      <c r="H63" s="44"/>
      <c r="I63" s="44"/>
      <c r="J63" s="44" t="str">
        <f>IF(L63&lt;&gt;"", "Not Blank", "")</f>
        <v/>
      </c>
      <c r="K63" s="44"/>
      <c r="L63" s="44"/>
      <c r="M63" s="68"/>
      <c r="N63" s="4924"/>
      <c r="O63" s="4930"/>
      <c r="P63" s="205"/>
      <c r="Q63" s="2091"/>
      <c r="R63" s="67" t="b">
        <f>IF(OR(Q63="Compliant",Q63="FE with work-a-round",Q63="Functionally Equivalent"),TRUE,FALSE)</f>
        <v>0</v>
      </c>
      <c r="S63" s="44"/>
      <c r="T63" s="44"/>
      <c r="U63" s="68"/>
      <c r="V63" s="4447"/>
      <c r="W63" s="4887" t="b">
        <f t="shared" si="0"/>
        <v>0</v>
      </c>
      <c r="X63" s="67"/>
      <c r="Y63" s="44"/>
      <c r="Z63" s="122"/>
    </row>
    <row r="64" spans="1:26" s="28" customFormat="1" ht="29.5" thickBot="1" x14ac:dyDescent="0.35">
      <c r="A64" s="28" t="s">
        <v>1329</v>
      </c>
      <c r="B64" s="1504"/>
      <c r="C64" s="2802" t="s">
        <v>1330</v>
      </c>
      <c r="D64" s="691" t="s">
        <v>3</v>
      </c>
      <c r="E64" s="161" t="b">
        <f t="shared" si="1"/>
        <v>0</v>
      </c>
      <c r="F64" s="124"/>
      <c r="G64" s="124" t="str">
        <f>IF(I64&lt;&gt;"", "Not Blank", "")</f>
        <v/>
      </c>
      <c r="H64" s="124"/>
      <c r="I64" s="124"/>
      <c r="J64" s="124" t="str">
        <f>IF(L64&lt;&gt;"", "Not Blank", "")</f>
        <v/>
      </c>
      <c r="K64" s="124"/>
      <c r="L64" s="44"/>
      <c r="M64" s="246"/>
      <c r="N64" s="4925"/>
      <c r="O64" s="4931"/>
      <c r="P64" s="590"/>
      <c r="Q64" s="2092"/>
      <c r="R64" s="161" t="b">
        <f>IF(OR(Q64="Compliant",Q64="FE with work-a-round",Q64="Functionally Equivalent"),TRUE,FALSE)</f>
        <v>0</v>
      </c>
      <c r="S64" s="124"/>
      <c r="T64" s="124"/>
      <c r="U64" s="246"/>
      <c r="V64" s="4448"/>
      <c r="W64" s="4888" t="b">
        <f t="shared" si="0"/>
        <v>0</v>
      </c>
      <c r="X64" s="161"/>
      <c r="Y64" s="124"/>
      <c r="Z64" s="125"/>
    </row>
    <row r="65" spans="1:26" s="28" customFormat="1" ht="30" thickTop="1" thickBot="1" x14ac:dyDescent="0.35">
      <c r="A65" s="28">
        <v>6.5</v>
      </c>
      <c r="B65" s="1910" t="s">
        <v>1562</v>
      </c>
      <c r="C65" s="1708" t="s">
        <v>1332</v>
      </c>
      <c r="D65" s="2149" t="s">
        <v>565</v>
      </c>
      <c r="E65" s="2226" t="b">
        <f>IF(AND(E70=TRUE)*OR(AND(E66=TRUE,E67=TRUE),E68=TRUE,E69=TRUE),TRUE,FALSE)</f>
        <v>0</v>
      </c>
      <c r="F65" s="2155">
        <f>COUNTIF(E66:E70,TRUE)</f>
        <v>0</v>
      </c>
      <c r="G65" s="2155">
        <f>COUNTIFS(E66:E70,TRUE,G66:G70,"Not Blank")</f>
        <v>0</v>
      </c>
      <c r="H65" s="2155">
        <f>COUNTIFS(E66:E70,FALSE,G66:G70,"Not Blank")</f>
        <v>0</v>
      </c>
      <c r="I65" s="2155" t="str">
        <f xml:space="preserve">
IF(F65&gt;4,"Too Many Entries - Check Red Lines",
IF(AND(E66=FALSE,G65=0,H65=0,E66=TRUE),"Nothing Required Below",
IF(G65&lt;F65,"Valid Entry required below - Check Amber Line/s",
IF(AND(E66=FALSE,G65=0,H65=0),"Nothing Entered below Yet",
IF(G65&lt;F65,"Valid Entry required below - Check Amber Line/s",
IF(AND(G65=0,H65&gt;0),"**Non-Valid Entry/ies below - Check Yellow Line/s",
IF(AND(G65&gt;0,H65&gt;0),"**Valid and Non-Valid Entries made below - Check Yellow Line/s",
IF(AND(E66=FALSE,F65&lt;4),"Not all requirements addressed below - Check Pink Line/s",
IF(AND(E66=FALSE,G65&lt;4,G65&gt;0,H65=0),"More entries to come",
IF(AND(E66,TRUE,G65=4,H65=0),"Valid Entries made below"
))))))))))</f>
        <v>Nothing Entered below Yet</v>
      </c>
      <c r="J65" s="1514">
        <f>COUNTIFS(E66:E70,TRUE,J66:J70,"Not Blank")</f>
        <v>0</v>
      </c>
      <c r="K65" s="1514">
        <f>COUNTIFS(E66:E70,FALSE,J66:J70,"Not Blank")</f>
        <v>0</v>
      </c>
      <c r="L65" s="2155" t="str">
        <f xml:space="preserve">
IF(J65&gt;4,"Too Many Entries - Check Red Lines",
IF(AND(E66=FALSE,J65=0,K65=0,E66=TRUE),"Nothing Required Below",
IF(J65&lt;F65,"Valid Entry required below - Check Amber Line/s",
IF(AND(E66=FALSE,J65=0,K65=0),"Nothing Entered below Yet",
IF(AND(J65=0,K65&gt;0),"**Non-Valid Entry/ies below - Check Yellow Line/s",
IF(AND(J65&gt;0,K65&gt;0),"**Valid and Non-Valid Entries made below - Check Yellow Line/s",
IF(AND(E66=FALSE,J65&lt;4),"Not all requirements addressed below - Check Pink Line/s",
IF(AND(E66=FALSE,J65&lt;4,J65&gt;0,K65=0),"More entries to come",
IF(AND(E66,TRUE,J65=4,K65=0),"Valid Entries made below"
)))))))))</f>
        <v>Nothing Entered below Yet</v>
      </c>
      <c r="M65" s="2176"/>
      <c r="N65" s="4923" t="s">
        <v>3</v>
      </c>
      <c r="O65" s="4929" t="b">
        <f>IF(OR(N65="Compliant",N65="FE with work-a-round",N65="Functionally Equivalent"),TRUE,FALSE)</f>
        <v>0</v>
      </c>
      <c r="P65" s="66"/>
      <c r="Q65" s="4333" t="s">
        <v>565</v>
      </c>
      <c r="R65" s="138" t="b">
        <f>IF(AND(R66=TRUE,R67=TRUE,OR(R68=TRUE,R69=TRUE),R70=TRUE),TRUE,FALSE)</f>
        <v>0</v>
      </c>
      <c r="S65" s="111"/>
      <c r="T65" s="111"/>
      <c r="U65" s="211"/>
      <c r="V65" s="4446"/>
      <c r="W65" s="4886" t="b">
        <f t="shared" si="0"/>
        <v>0</v>
      </c>
      <c r="X65" s="138"/>
      <c r="Y65" s="111"/>
      <c r="Z65" s="120"/>
    </row>
    <row r="66" spans="1:26" s="28" customFormat="1" ht="58.5" thickTop="1" x14ac:dyDescent="0.3">
      <c r="A66" s="28" t="s">
        <v>1331</v>
      </c>
      <c r="B66" s="263"/>
      <c r="C66" s="2804" t="s">
        <v>1334</v>
      </c>
      <c r="D66" s="1826" t="s">
        <v>3</v>
      </c>
      <c r="E66" s="41" t="b">
        <f>IF(D66="Compliant",TRUE,FALSE)</f>
        <v>0</v>
      </c>
      <c r="F66" s="42"/>
      <c r="G66" s="42" t="str">
        <f>IF(I66&lt;&gt;"", "Not Blank", "")</f>
        <v/>
      </c>
      <c r="H66" s="42"/>
      <c r="I66" s="42"/>
      <c r="J66" s="44"/>
      <c r="K66" s="44"/>
      <c r="L66" s="42"/>
      <c r="M66" s="144"/>
      <c r="N66" s="4924"/>
      <c r="O66" s="4930"/>
      <c r="P66" s="2225"/>
      <c r="Q66" s="2090"/>
      <c r="R66" s="67" t="b">
        <f>IF(OR(Q66="Compliant",Q66="FE with work-a-round",Q66="Functionally Equivalent"),TRUE,FALSE)</f>
        <v>0</v>
      </c>
      <c r="S66" s="44"/>
      <c r="T66" s="44"/>
      <c r="U66" s="68"/>
      <c r="V66" s="4447"/>
      <c r="W66" s="4887" t="b">
        <f t="shared" si="0"/>
        <v>0</v>
      </c>
      <c r="X66" s="67"/>
      <c r="Y66" s="44"/>
      <c r="Z66" s="122"/>
    </row>
    <row r="67" spans="1:26" s="28" customFormat="1" ht="87" x14ac:dyDescent="0.3">
      <c r="A67" s="28" t="s">
        <v>1333</v>
      </c>
      <c r="B67" s="263"/>
      <c r="C67" s="1717" t="s">
        <v>1335</v>
      </c>
      <c r="D67" s="690" t="s">
        <v>3</v>
      </c>
      <c r="E67" s="67" t="b">
        <f>IF(D67="Compliant",TRUE,FALSE)</f>
        <v>0</v>
      </c>
      <c r="F67" s="44"/>
      <c r="G67" s="44" t="str">
        <f>IF(I67&lt;&gt;"", "Not Blank", "")</f>
        <v/>
      </c>
      <c r="H67" s="44"/>
      <c r="I67" s="44"/>
      <c r="J67" s="44"/>
      <c r="K67" s="44"/>
      <c r="L67" s="44"/>
      <c r="M67" s="68"/>
      <c r="N67" s="4924"/>
      <c r="O67" s="4930"/>
      <c r="P67" s="205"/>
      <c r="Q67" s="2091"/>
      <c r="R67" s="67" t="b">
        <f>IF(OR(Q67="Compliant",Q67="FE with work-a-round",Q67="Functionally Equivalent"),TRUE,FALSE)</f>
        <v>0</v>
      </c>
      <c r="S67" s="44"/>
      <c r="T67" s="44"/>
      <c r="U67" s="68"/>
      <c r="V67" s="4447"/>
      <c r="W67" s="4887" t="b">
        <f t="shared" si="0"/>
        <v>0</v>
      </c>
      <c r="X67" s="67"/>
      <c r="Y67" s="44"/>
      <c r="Z67" s="122"/>
    </row>
    <row r="68" spans="1:26" s="28" customFormat="1" ht="72.5" x14ac:dyDescent="0.3">
      <c r="A68" s="28" t="s">
        <v>1336</v>
      </c>
      <c r="B68" s="1504"/>
      <c r="C68" s="2804" t="s">
        <v>1339</v>
      </c>
      <c r="D68" s="690" t="s">
        <v>3</v>
      </c>
      <c r="E68" s="67" t="b">
        <f>IF(D68="Compliant",TRUE,FALSE)</f>
        <v>0</v>
      </c>
      <c r="F68" s="44"/>
      <c r="G68" s="44" t="str">
        <f>IF(I68&lt;&gt;"", "Not Blank", "")</f>
        <v/>
      </c>
      <c r="H68" s="44"/>
      <c r="I68" s="44"/>
      <c r="J68" s="44"/>
      <c r="K68" s="44"/>
      <c r="L68" s="44"/>
      <c r="M68" s="68"/>
      <c r="N68" s="4924"/>
      <c r="O68" s="4930"/>
      <c r="P68" s="205"/>
      <c r="Q68" s="121"/>
      <c r="R68" s="67" t="b">
        <f>IF(OR(Q68="Compliant",Q68="FE with work-a-round",Q68="Functionally Equivalent"),TRUE,FALSE)</f>
        <v>0</v>
      </c>
      <c r="S68" s="44"/>
      <c r="T68" s="44"/>
      <c r="U68" s="68"/>
      <c r="V68" s="4447"/>
      <c r="W68" s="4887" t="b">
        <f t="shared" si="0"/>
        <v>0</v>
      </c>
      <c r="X68" s="67"/>
      <c r="Y68" s="44"/>
      <c r="Z68" s="122"/>
    </row>
    <row r="69" spans="1:26" s="28" customFormat="1" ht="87" x14ac:dyDescent="0.3">
      <c r="A69" s="28" t="s">
        <v>1337</v>
      </c>
      <c r="B69" s="263"/>
      <c r="C69" s="2804" t="s">
        <v>1340</v>
      </c>
      <c r="D69" s="690" t="s">
        <v>3</v>
      </c>
      <c r="E69" s="67" t="b">
        <f>IF(D69="Compliant",TRUE,FALSE)</f>
        <v>0</v>
      </c>
      <c r="F69" s="44"/>
      <c r="G69" s="44" t="str">
        <f>IF(I69&lt;&gt;"", "Not Blank", "")</f>
        <v/>
      </c>
      <c r="H69" s="44"/>
      <c r="I69" s="44"/>
      <c r="J69" s="44"/>
      <c r="K69" s="44"/>
      <c r="L69" s="44"/>
      <c r="M69" s="68"/>
      <c r="N69" s="4924"/>
      <c r="O69" s="4930"/>
      <c r="P69" s="205"/>
      <c r="Q69" s="121"/>
      <c r="R69" s="67" t="b">
        <f>IF(OR(Q69="Compliant",Q69="FE with work-a-round",Q69="Functionally Equivalent"),TRUE,FALSE)</f>
        <v>0</v>
      </c>
      <c r="S69" s="44"/>
      <c r="T69" s="44"/>
      <c r="U69" s="68"/>
      <c r="V69" s="4447"/>
      <c r="W69" s="4887" t="b">
        <f t="shared" si="0"/>
        <v>0</v>
      </c>
      <c r="X69" s="67"/>
      <c r="Y69" s="44"/>
      <c r="Z69" s="122"/>
    </row>
    <row r="70" spans="1:26" s="28" customFormat="1" ht="116.5" thickBot="1" x14ac:dyDescent="0.35">
      <c r="A70" s="28" t="s">
        <v>1338</v>
      </c>
      <c r="B70" s="1504"/>
      <c r="C70" s="2802" t="s">
        <v>1341</v>
      </c>
      <c r="D70" s="691" t="s">
        <v>3</v>
      </c>
      <c r="E70" s="161" t="b">
        <f>IF(D70="Compliant",TRUE,FALSE)</f>
        <v>0</v>
      </c>
      <c r="F70" s="124"/>
      <c r="G70" s="124" t="str">
        <f>IF(I70&lt;&gt;"", "Not Blank", "")</f>
        <v/>
      </c>
      <c r="H70" s="124"/>
      <c r="I70" s="2115"/>
      <c r="J70" s="124"/>
      <c r="K70" s="124"/>
      <c r="L70" s="124"/>
      <c r="M70" s="246"/>
      <c r="N70" s="4925"/>
      <c r="O70" s="4931"/>
      <c r="P70" s="590"/>
      <c r="Q70" s="2092"/>
      <c r="R70" s="161" t="b">
        <f>IF(OR(Q70="Compliant",Q70="FE with work-a-round",Q70="Functionally Equivalent"),TRUE,FALSE)</f>
        <v>0</v>
      </c>
      <c r="S70" s="124"/>
      <c r="T70" s="124"/>
      <c r="U70" s="246"/>
      <c r="V70" s="4448"/>
      <c r="W70" s="4888" t="b">
        <f t="shared" si="0"/>
        <v>0</v>
      </c>
      <c r="X70" s="161"/>
      <c r="Y70" s="124"/>
      <c r="Z70" s="125"/>
    </row>
    <row r="71" spans="1:26" s="28" customFormat="1" ht="30" thickTop="1" thickBot="1" x14ac:dyDescent="0.35">
      <c r="A71" s="204">
        <v>7.1</v>
      </c>
      <c r="B71" s="1910" t="s">
        <v>1563</v>
      </c>
      <c r="C71" s="1709" t="s">
        <v>1344</v>
      </c>
      <c r="D71" s="1923" t="s">
        <v>565</v>
      </c>
      <c r="E71" s="2100" t="b">
        <f>IF(AND(E72=TRUE,E75=TRUE),TRUE,FALSE)</f>
        <v>0</v>
      </c>
      <c r="F71" s="1642">
        <f>SUM(F72,F75)</f>
        <v>0</v>
      </c>
      <c r="G71" s="1642">
        <f>SUM(G72,G75)</f>
        <v>0</v>
      </c>
      <c r="H71" s="1642">
        <f>SUM(H72,H75)</f>
        <v>0</v>
      </c>
      <c r="I71" s="1642" t="str">
        <f xml:space="preserve">
IF(F71&gt;2,"Too Many Entries - Check Red Lines",
IF(AND(E71=FALSE,G71=0,H71=0,E71=TRUE),"Nothing Required Below",
IF(G71&lt;F71,"Valid Entry required below - Check Amber Line/s",
IF(AND(E71=FALSE,G71=0,H71=0),"Nothing Entered below Yet",
IF(G71&lt;F71,"Valid Entry required below - Check Amber Line/s",
IF(AND(G71=0,H71&gt;0),"**Non-Valid Entry/ies below - Check Yellow Line/s",
IF(AND(G71&gt;0,H71&gt;0),"**Valid and Non-Valid Entries made below - Check Yellow Line/s",
IF(AND(E71=FALSE,F71&lt;2),"Not all requirements addressed below - Check Pink Line/s",
IF(AND(E71=FALSE,G71&lt;2,G71&gt;0,H71=0),"More entries to come",
IF(AND(E71,TRUE,G71=2,H71=0),"Valid Entries made below"
))))))))))</f>
        <v>Nothing Entered below Yet</v>
      </c>
      <c r="J71" s="1642">
        <f>SUM(J72,J75)</f>
        <v>0</v>
      </c>
      <c r="K71" s="1642">
        <f>SUM(K72,K75)</f>
        <v>0</v>
      </c>
      <c r="L71" s="1642" t="str">
        <f xml:space="preserve">
IF(J71&gt;2,"Too Many Entries - Check Red Lines",
IF(AND(E71=FALSE,J71=0,K71=0,E71=TRUE),"Nothing Required Below",
IF(J71&lt;F71,"Valid Entry required below - Check Amber Line/s",
IF(AND(E71=FALSE,J71=0,K71=0),"Nothing Entered below Yet",
IF(AND(J71=0,K71&gt;0),"**Non-Valid Entry/ies below - Check Yellow Line/s",
IF(AND(J71&gt;0,K71&gt;0),"**Valid and Non-Valid Entries made below - Check Yellow Line/s",
IF(AND(E71=FALSE,J71&lt;2),"Not all requirements addressed below - Check Pink Line/s",
IF(AND(E71=FALSE,J71&lt;2,J71&gt;0,K71=0),"More entries to come",
IF(AND(E71,TRUE,J71=2,K71=0),"Valid Entries made below"
)))))))))</f>
        <v>Nothing Entered below Yet</v>
      </c>
      <c r="M71" s="640"/>
      <c r="N71" s="4333" t="s">
        <v>565</v>
      </c>
      <c r="O71" s="703" t="b">
        <f>IF(AND(O72=TRUE,O75=TRUE),TRUE,FALSE)</f>
        <v>0</v>
      </c>
      <c r="P71" s="703"/>
      <c r="Q71" s="4333" t="s">
        <v>565</v>
      </c>
      <c r="R71" s="138" t="b">
        <f>IF(AND(R72=TRUE,R75=TRUE),TRUE,FALSE)</f>
        <v>0</v>
      </c>
      <c r="S71" s="336"/>
      <c r="T71" s="336"/>
      <c r="U71" s="640"/>
      <c r="V71" s="4332" t="s">
        <v>565</v>
      </c>
      <c r="W71" s="35" t="b">
        <f>IF(AND(W72=TRUE,W75=TRUE),TRUE,FALSE)</f>
        <v>0</v>
      </c>
      <c r="X71" s="464"/>
      <c r="Y71" s="336"/>
      <c r="Z71" s="337"/>
    </row>
    <row r="72" spans="1:26" s="204" customFormat="1" ht="30" thickTop="1" thickBot="1" x14ac:dyDescent="0.35">
      <c r="A72" s="28"/>
      <c r="B72" s="1910" t="s">
        <v>1855</v>
      </c>
      <c r="C72" s="1734" t="s">
        <v>1548</v>
      </c>
      <c r="D72" s="2010" t="s">
        <v>565</v>
      </c>
      <c r="E72" s="1929" t="b">
        <f>IF(AND(E73=TRUE,E74=TRUE),TRUE,FALSE)</f>
        <v>0</v>
      </c>
      <c r="F72" s="1514">
        <f>COUNTIF(E73:E74,TRUE)</f>
        <v>0</v>
      </c>
      <c r="G72" s="1514">
        <f>COUNTIFS(E73:E74,TRUE,G73:G74,"Not Blank")</f>
        <v>0</v>
      </c>
      <c r="H72" s="1514">
        <f>COUNTIFS(E73:E74,FALSE,G73:G74,"Not Blank")</f>
        <v>0</v>
      </c>
      <c r="I72" s="2155" t="str">
        <f xml:space="preserve">
IF(F72&gt;2,"Too Many Entries - Check Red Lines",
IF(AND(E72=FALSE,G72=0,H72=0,E72=TRUE),"Nothing Required Below",
IF(G72&lt;F72,"Valid Entry required below - Check Amber Line/s",
IF(AND(E72=FALSE,G72=0,H72=0),"Nothing Entered below Yet",
IF(G72&lt;F72,"Valid Entry required below - Check Amber Line/s",
IF(AND(G72=0,H72&gt;0),"**Non-Valid Entry/ies below - Check Yellow Line/s",
IF(AND(G72&gt;0,H72&gt;0),"**Valid and Non-Valid Entries made below - Check Yellow Line/s",
IF(AND(E72=FALSE,F72&lt;2),"Not all requirements addressed below - Check Pink Line/s",
IF(AND(E72=FALSE,G72&lt;2,G72&gt;0,H72=0),"More entries to come",
IF(AND(E72,TRUE,G72=2,H72=0),"Valid Entries made below"
))))))))))</f>
        <v>Nothing Entered below Yet</v>
      </c>
      <c r="J72" s="1514">
        <f>COUNTIFS(E73:E74,TRUE,J73:J74,"Not Blank")</f>
        <v>0</v>
      </c>
      <c r="K72" s="1514">
        <f>COUNTIFS(E73:E74,FALSE,J73:J74,"Not Blank")</f>
        <v>0</v>
      </c>
      <c r="L72" s="2155" t="str">
        <f xml:space="preserve">
IF(J72&gt;2,"Too Many Entries - Check Red Lines",
IF(AND(E72=FALSE,J72=0,K72=0,E72=TRUE),"Nothing Required Below",
IF(J72&lt;F72,"Valid Entry required below - Check Amber Line/s",
IF(AND(E72=FALSE,J72=0,K72=0),"Nothing Entered below Yet",
IF(AND(J72=0,K72&gt;0),"**Non-Valid Entry/ies below - Check Yellow Line/s",
IF(AND(J72&gt;0,K72&gt;0),"**Valid and Non-Valid Entries made below - Check Yellow Line/s",
IF(AND(E72=FALSE,J72&lt;2),"Not all requirements addressed below - Check Pink Line/s",
IF(AND(E72=FALSE,J72&lt;2,J72&gt;0,K72=0),"More entries to come",
IF(AND(E72,TRUE,J72=2,K72=0),"Valid Entries made below"
)))))))))</f>
        <v>Nothing Entered below Yet</v>
      </c>
      <c r="M72" s="861"/>
      <c r="N72" s="4923"/>
      <c r="O72" s="4929" t="b">
        <f>IF(OR(N72="Compliant",N72="FE with work-a-round",N72="Functionally Equivalent"),TRUE,FALSE)</f>
        <v>0</v>
      </c>
      <c r="P72" s="66"/>
      <c r="Q72" s="4333" t="s">
        <v>565</v>
      </c>
      <c r="R72" s="138" t="b">
        <f>IF(AND(R73=TRUE,R74=TRUE),TRUE,FALSE)</f>
        <v>0</v>
      </c>
      <c r="S72" s="111"/>
      <c r="T72" s="111"/>
      <c r="U72" s="211"/>
      <c r="V72" s="4446"/>
      <c r="W72" s="4886" t="b">
        <f t="shared" ref="W72:W84" si="2">IF(OR(V72="Compliant",V72="FE with work-a-round",V72="Functionally Equivalent",V72="Not Required/Applicable"),TRUE,FALSE)</f>
        <v>0</v>
      </c>
      <c r="X72" s="138"/>
      <c r="Y72" s="111"/>
      <c r="Z72" s="120"/>
    </row>
    <row r="73" spans="1:26" s="28" customFormat="1" ht="87.5" thickTop="1" x14ac:dyDescent="0.3">
      <c r="A73" s="28">
        <v>7.1</v>
      </c>
      <c r="B73" s="1811"/>
      <c r="C73" s="2808" t="s">
        <v>1283</v>
      </c>
      <c r="D73" s="2227" t="s">
        <v>3</v>
      </c>
      <c r="E73" s="67" t="b">
        <f>IF(D73="Compliant",TRUE,FALSE)</f>
        <v>0</v>
      </c>
      <c r="F73" s="44"/>
      <c r="G73" s="44" t="str">
        <f>IF(I73&lt;&gt;"", "Not Blank", "")</f>
        <v/>
      </c>
      <c r="H73" s="68"/>
      <c r="I73" s="2228"/>
      <c r="J73" s="44" t="str">
        <f>IF(L73&lt;&gt;"", "Not Blank", "")</f>
        <v/>
      </c>
      <c r="K73" s="44"/>
      <c r="L73" s="42"/>
      <c r="M73" s="2177"/>
      <c r="N73" s="4924"/>
      <c r="O73" s="4930"/>
      <c r="P73" s="2225"/>
      <c r="Q73" s="2090" t="s">
        <v>3</v>
      </c>
      <c r="R73" s="67" t="b">
        <f>IF(OR(Q73="Compliant",Q73="FE with work-a-round",Q73="Functionally Equivalent"),TRUE,FALSE)</f>
        <v>0</v>
      </c>
      <c r="S73" s="44"/>
      <c r="T73" s="44"/>
      <c r="U73" s="68"/>
      <c r="V73" s="4447"/>
      <c r="W73" s="4887" t="b">
        <f t="shared" si="2"/>
        <v>0</v>
      </c>
      <c r="X73" s="67"/>
      <c r="Y73" s="44"/>
      <c r="Z73" s="122"/>
    </row>
    <row r="74" spans="1:26" s="28" customFormat="1" ht="44" thickBot="1" x14ac:dyDescent="0.35">
      <c r="A74" s="28">
        <v>7.2</v>
      </c>
      <c r="B74" s="1504"/>
      <c r="C74" s="2147" t="s">
        <v>1272</v>
      </c>
      <c r="D74" s="2133" t="s">
        <v>3</v>
      </c>
      <c r="E74" s="161" t="b">
        <f>IF(D74="Compliant",TRUE,FALSE)</f>
        <v>0</v>
      </c>
      <c r="F74" s="124"/>
      <c r="G74" s="124" t="str">
        <f>IF(I74&lt;&gt;"", "Not Blank", "")</f>
        <v/>
      </c>
      <c r="H74" s="124"/>
      <c r="I74" s="2115"/>
      <c r="J74" s="124" t="str">
        <f>IF(L74&lt;&gt;"", "Not Blank", "")</f>
        <v/>
      </c>
      <c r="K74" s="124"/>
      <c r="L74" s="124"/>
      <c r="M74" s="246"/>
      <c r="N74" s="4925"/>
      <c r="O74" s="4931"/>
      <c r="P74" s="590"/>
      <c r="Q74" s="2092"/>
      <c r="R74" s="161" t="b">
        <f>IF(OR(Q74="Compliant",Q74="FE with work-a-round",Q74="Functionally Equivalent"),TRUE,FALSE)</f>
        <v>0</v>
      </c>
      <c r="S74" s="124"/>
      <c r="T74" s="124"/>
      <c r="U74" s="246"/>
      <c r="V74" s="4448"/>
      <c r="W74" s="4888" t="b">
        <f t="shared" si="2"/>
        <v>0</v>
      </c>
      <c r="X74" s="161"/>
      <c r="Y74" s="124"/>
      <c r="Z74" s="125"/>
    </row>
    <row r="75" spans="1:26" s="28" customFormat="1" ht="73.5" thickTop="1" thickBot="1" x14ac:dyDescent="0.35">
      <c r="A75" s="28">
        <v>7.2</v>
      </c>
      <c r="B75" s="1910" t="s">
        <v>1549</v>
      </c>
      <c r="C75" s="1734" t="s">
        <v>1273</v>
      </c>
      <c r="D75" s="2207" t="s">
        <v>565</v>
      </c>
      <c r="E75" s="1929" t="b">
        <f>IF(OR(E76=TRUE,E77=TRUE),TRUE,FALSE)</f>
        <v>0</v>
      </c>
      <c r="F75" s="1514">
        <f>COUNTIF(E76:E77,TRUE)</f>
        <v>0</v>
      </c>
      <c r="G75" s="1514">
        <f>COUNTIFS(E76:E77,TRUE,G76:G77,"Not Blank")</f>
        <v>0</v>
      </c>
      <c r="H75" s="1514">
        <f>COUNTIFS(E76:E77,FALSE,G76:G77,"Not Blank")</f>
        <v>0</v>
      </c>
      <c r="I75" s="2155" t="str">
        <f xml:space="preserve">
IF(F75&gt;2,"Too Many Entries - Check Red Lines",
IF(AND(E75=FALSE,G75=0,H75=0,E75=TRUE),"Nothing Required Below",
IF(G75&lt;F75,"Valid Entry required below - Check Amber Line/s",
IF(AND(E75=FALSE,G75=0,H75=0),"Nothing Entered below Yet",
IF(G75&lt;F75,"Valid Entry required below - Check Amber Line/s",
IF(AND(G75=0,H75&gt;0),"**Non-Valid Entry/ies below - Check Yellow Line/s",
IF(AND(G75&gt;0,H75&gt;0),"**Valid and Non-Valid Entries made below - Check Yellow Line/s",
IF(AND(E75=FALSE,F75&lt;2),"Not all requirements addressed below - Check Pink Line/s",
IF(AND(E75=FALSE,G75&lt;2,G75&gt;0,H75=0),"More entries to come",
IF(AND(E75,TRUE,G75=2,H75=0),"Valid Entries made below"
))))))))))</f>
        <v>Nothing Entered below Yet</v>
      </c>
      <c r="J75" s="1514">
        <f>COUNTIFS(E76:E77,TRUE,J76:J77,"Not Blank")</f>
        <v>0</v>
      </c>
      <c r="K75" s="1514">
        <f>COUNTIFS(E76:E77,FALSE,J76:J77,"Not Blank")</f>
        <v>0</v>
      </c>
      <c r="L75" s="2155" t="str">
        <f xml:space="preserve">
IF(J75&gt;2,"Too Many Entries - Check Red Lines",
IF(AND(E75=FALSE,J75=0,K75=0,E75=TRUE),"Nothing Required Below",
IF(J75&lt;F75,"Valid Entry required below - Check Amber Line/s",
IF(AND(E75=FALSE,J75=0,K75=0),"Nothing Entered below Yet",
IF(AND(J75=0,K75&gt;0),"**Non-Valid Entry/ies below - Check Yellow Line/s",
IF(AND(J75&gt;0,K75&gt;0),"**Valid and Non-Valid Entries made below - Check Yellow Line/s",
IF(AND(E75=FALSE,J75&lt;2),"Not all requirements addressed below - Check Pink Line/s",
IF(AND(E75=FALSE,J75&lt;2,J75&gt;0,K75=0),"More entries to come",
IF(AND(E75,TRUE,J75=2,K75=0),"Valid Entries made below"
)))))))))</f>
        <v>Nothing Entered below Yet</v>
      </c>
      <c r="M75" s="2176"/>
      <c r="N75" s="4923"/>
      <c r="O75" s="4929" t="b">
        <f>IF(OR(N75="Compliant",N75="FE with work-a-round",N75="Functionally Equivalent"),TRUE,FALSE)</f>
        <v>0</v>
      </c>
      <c r="P75" s="2224"/>
      <c r="Q75" s="4333" t="s">
        <v>565</v>
      </c>
      <c r="R75" s="138" t="b">
        <f>IF(AND(R76=TRUE,R77=TRUE),TRUE,FALSE)</f>
        <v>0</v>
      </c>
      <c r="S75" s="111"/>
      <c r="T75" s="111"/>
      <c r="U75" s="211"/>
      <c r="V75" s="4446"/>
      <c r="W75" s="4886" t="b">
        <f t="shared" si="2"/>
        <v>0</v>
      </c>
      <c r="X75" s="138"/>
      <c r="Y75" s="111"/>
      <c r="Z75" s="120"/>
    </row>
    <row r="76" spans="1:26" s="28" customFormat="1" ht="73" thickTop="1" x14ac:dyDescent="0.3">
      <c r="B76" s="263"/>
      <c r="C76" s="2167" t="s">
        <v>1270</v>
      </c>
      <c r="D76" s="1826" t="s">
        <v>3</v>
      </c>
      <c r="E76" s="67" t="b">
        <f t="shared" ref="E76:E85" si="3">IF(D76="Compliant",TRUE,FALSE)</f>
        <v>0</v>
      </c>
      <c r="F76" s="44"/>
      <c r="G76" s="44" t="str">
        <f>IF(I76&lt;&gt;"", "Not Blank", "")</f>
        <v/>
      </c>
      <c r="H76" s="44"/>
      <c r="I76" s="42"/>
      <c r="J76" s="44" t="str">
        <f>IF(L76&lt;&gt;"", "Not Blank", "")</f>
        <v/>
      </c>
      <c r="K76" s="44"/>
      <c r="L76" s="42"/>
      <c r="M76" s="144"/>
      <c r="N76" s="4924"/>
      <c r="O76" s="4930"/>
      <c r="P76" s="497"/>
      <c r="Q76" s="2090" t="s">
        <v>3</v>
      </c>
      <c r="R76" s="67" t="b">
        <f>IF(OR(Q76="Compliant",Q76="FE with work-a-round",Q76="Functionally Equivalent"),TRUE,FALSE)</f>
        <v>0</v>
      </c>
      <c r="S76" s="44"/>
      <c r="T76" s="44"/>
      <c r="U76" s="68"/>
      <c r="V76" s="4447"/>
      <c r="W76" s="4887" t="b">
        <f t="shared" si="2"/>
        <v>0</v>
      </c>
      <c r="X76" s="67"/>
      <c r="Y76" s="44"/>
      <c r="Z76" s="122"/>
    </row>
    <row r="77" spans="1:26" s="28" customFormat="1" ht="58.5" thickBot="1" x14ac:dyDescent="0.35">
      <c r="B77" s="1504"/>
      <c r="C77" s="1800" t="s">
        <v>1271</v>
      </c>
      <c r="D77" s="691" t="s">
        <v>3</v>
      </c>
      <c r="E77" s="161" t="b">
        <f t="shared" si="3"/>
        <v>0</v>
      </c>
      <c r="F77" s="124"/>
      <c r="G77" s="124" t="str">
        <f>IF(I77&lt;&gt;"", "Not Blank", "")</f>
        <v/>
      </c>
      <c r="H77" s="124"/>
      <c r="I77" s="124"/>
      <c r="J77" s="124"/>
      <c r="K77" s="124"/>
      <c r="L77" s="124"/>
      <c r="M77" s="246"/>
      <c r="N77" s="4925"/>
      <c r="O77" s="4931"/>
      <c r="P77" s="590"/>
      <c r="Q77" s="2092"/>
      <c r="R77" s="161" t="b">
        <f>IF(OR(Q77="Compliant",Q77="FE with work-a-round",Q77="Functionally Equivalent"),TRUE,FALSE)</f>
        <v>0</v>
      </c>
      <c r="S77" s="124"/>
      <c r="T77" s="124"/>
      <c r="U77" s="246"/>
      <c r="V77" s="4448"/>
      <c r="W77" s="4888" t="b">
        <f t="shared" si="2"/>
        <v>0</v>
      </c>
      <c r="X77" s="161"/>
      <c r="Y77" s="124"/>
      <c r="Z77" s="125"/>
    </row>
    <row r="78" spans="1:26" s="28" customFormat="1" ht="73.5" thickTop="1" thickBot="1" x14ac:dyDescent="0.35">
      <c r="A78" s="28">
        <v>4</v>
      </c>
      <c r="B78" s="1910" t="s">
        <v>1280</v>
      </c>
      <c r="C78" s="1734" t="s">
        <v>1282</v>
      </c>
      <c r="D78" s="1947" t="s">
        <v>565</v>
      </c>
      <c r="E78" s="1929" t="b">
        <f>IF(AND(E79=TRUE,E80=TRUE,E81=TRUE),TRUE,FALSE)</f>
        <v>0</v>
      </c>
      <c r="F78" s="1514">
        <f>COUNTIF(E79:E81,TRUE)</f>
        <v>0</v>
      </c>
      <c r="G78" s="1514">
        <f>COUNTIFS(E79:E81,TRUE,G79:G81,"Not Blank")</f>
        <v>0</v>
      </c>
      <c r="H78" s="1514">
        <f>COUNTIFS(E79:E81,FALSE,G79:G81,"Not Blank")</f>
        <v>0</v>
      </c>
      <c r="I78" s="1727" t="str">
        <f xml:space="preserve">
IF(F78&gt;3,"Too Many Entries - Check Red Lines",
IF(AND(E78=FALSE,G78=0,H78=0,E78=TRUE),"Nothing Required Below",
IF(G78&lt;F78,"Valid Entry required below - Check Amber Line/s",
IF(AND(E78=FALSE,G78=0,H78=0),"Nothing Entered below Yet",
IF(G78&lt;F78,"Valid Entry required below - Check Amber Line/s",
IF(AND(G78=0,H78&gt;0),"**Non-Valid Entry/ies below - Check Yellow Line/s",
IF(AND(G78&gt;0,H78&gt;0),"**Valid and Non-Valid Entries made below - Check Yellow Line/s",
IF(AND(E78=FALSE,F78&lt;3),"Not all requirements addressed below - Check Pink Line/s",
IF(AND(E78=FALSE,G78&lt;3,G78&gt;0,H78=0),"More entries to come",
IF(AND(E78,TRUE,G78=3,H78=0),"Valid Entries made below"
))))))))))</f>
        <v>Nothing Entered below Yet</v>
      </c>
      <c r="J78" s="1514">
        <f>COUNTIFS(E79:E81,TRUE,J79:J81,"Not Blank")</f>
        <v>0</v>
      </c>
      <c r="K78" s="1514">
        <f>COUNTIFS(E79:E81,FALSE,J79:J81,"Not Blank")</f>
        <v>0</v>
      </c>
      <c r="L78" s="1727" t="str">
        <f xml:space="preserve">
IF(J78&gt;3,"Too Many Entries - Check Red Lines",
IF(AND(E78=FALSE,J78=0,K78=0,E78=TRUE),"Nothing Required Below",
IF(J78&lt;F78,"Valid Entry required below - Check Amber Line/s",
IF(AND(E78=FALSE,J78=0,K78=0),"Nothing Entered below Yet",
IF(AND(J78=0,K78&gt;0),"**Non-Valid Entry/ies below - Check Yellow Line/s",
IF(AND(J78&gt;0,K78&gt;0),"**Valid and Non-Valid Entries made below - Check Yellow Line/s",
IF(AND(E78=FALSE,J78&lt;3),"Not all requirements addressed below - Check Pink Line/s",
IF(AND(E78=FALSE,J78&lt;3,J78&gt;0,K78=0),"More entries to come",
IF(AND(E78,TRUE,J78=3,K78=0),"Valid Entries made below"
)))))))))</f>
        <v>Nothing Entered below Yet</v>
      </c>
      <c r="M78" s="861"/>
      <c r="N78" s="4923"/>
      <c r="O78" s="4929" t="b">
        <f>IF(OR(N78="Compliant",N78="FE with work-a-round",N78="Functionally Equivalent"),TRUE,FALSE)</f>
        <v>0</v>
      </c>
      <c r="P78" s="2224"/>
      <c r="Q78" s="4333" t="s">
        <v>565</v>
      </c>
      <c r="R78" s="138" t="b">
        <f>IF(AND(R79=TRUE,R80=TRUE,R81=TRUE),TRUE,FALSE)</f>
        <v>0</v>
      </c>
      <c r="S78" s="111"/>
      <c r="T78" s="111"/>
      <c r="U78" s="211"/>
      <c r="V78" s="4446"/>
      <c r="W78" s="4886" t="b">
        <f t="shared" si="2"/>
        <v>0</v>
      </c>
      <c r="X78" s="138"/>
      <c r="Y78" s="111"/>
      <c r="Z78" s="120"/>
    </row>
    <row r="79" spans="1:26" s="28" customFormat="1" ht="58.5" thickTop="1" x14ac:dyDescent="0.3">
      <c r="A79" s="28">
        <v>4.0999999999999996</v>
      </c>
      <c r="B79" s="1504"/>
      <c r="C79" s="2167" t="s">
        <v>1281</v>
      </c>
      <c r="D79" s="2180" t="s">
        <v>3</v>
      </c>
      <c r="E79" s="67" t="b">
        <f t="shared" si="3"/>
        <v>0</v>
      </c>
      <c r="F79" s="44"/>
      <c r="G79" s="44" t="str">
        <f>IF(I79&lt;&gt;"", "Not Blank", "")</f>
        <v/>
      </c>
      <c r="H79" s="44"/>
      <c r="I79" s="2229"/>
      <c r="J79" s="44" t="str">
        <f>IF(L79&lt;&gt;"", "Not Blank", "")</f>
        <v/>
      </c>
      <c r="K79" s="44"/>
      <c r="L79" s="2164"/>
      <c r="M79" s="2177"/>
      <c r="N79" s="4924"/>
      <c r="O79" s="4930"/>
      <c r="P79" s="497"/>
      <c r="Q79" s="2090"/>
      <c r="R79" s="67" t="b">
        <f>IF(OR(Q79="Compliant",Q79="FE with work-a-round",Q79="Functionally Equivalent"),TRUE,FALSE)</f>
        <v>0</v>
      </c>
      <c r="S79" s="44"/>
      <c r="T79" s="44"/>
      <c r="U79" s="68"/>
      <c r="V79" s="4447"/>
      <c r="W79" s="4887" t="b">
        <f t="shared" si="2"/>
        <v>0</v>
      </c>
      <c r="X79" s="67"/>
      <c r="Y79" s="44"/>
      <c r="Z79" s="122"/>
    </row>
    <row r="80" spans="1:26" s="28" customFormat="1" ht="29" x14ac:dyDescent="0.3">
      <c r="B80" s="1504"/>
      <c r="C80" s="1717" t="s">
        <v>1559</v>
      </c>
      <c r="D80" s="690" t="s">
        <v>3</v>
      </c>
      <c r="E80" s="67" t="b">
        <f t="shared" si="3"/>
        <v>0</v>
      </c>
      <c r="F80" s="44"/>
      <c r="G80" s="44" t="str">
        <f>IF(I80&lt;&gt;"", "Not Blank", "")</f>
        <v/>
      </c>
      <c r="H80" s="44"/>
      <c r="I80" s="2113"/>
      <c r="J80" s="44" t="str">
        <f>IF(L80&lt;&gt;"", "Not Blank", "")</f>
        <v/>
      </c>
      <c r="K80" s="44"/>
      <c r="L80" s="44"/>
      <c r="M80" s="68"/>
      <c r="N80" s="4924"/>
      <c r="O80" s="4930"/>
      <c r="P80" s="205"/>
      <c r="Q80" s="2091"/>
      <c r="R80" s="67" t="b">
        <f>IF(OR(Q80="Compliant",Q80="FE with work-a-round",Q80="Functionally Equivalent"),TRUE,FALSE)</f>
        <v>0</v>
      </c>
      <c r="S80" s="44"/>
      <c r="T80" s="44"/>
      <c r="U80" s="68"/>
      <c r="V80" s="4447"/>
      <c r="W80" s="4887" t="b">
        <f t="shared" si="2"/>
        <v>0</v>
      </c>
      <c r="X80" s="67"/>
      <c r="Y80" s="44"/>
      <c r="Z80" s="122"/>
    </row>
    <row r="81" spans="1:84" s="28" customFormat="1" ht="29.5" thickBot="1" x14ac:dyDescent="0.35">
      <c r="B81" s="1504"/>
      <c r="C81" s="1800" t="s">
        <v>1558</v>
      </c>
      <c r="D81" s="691" t="s">
        <v>3</v>
      </c>
      <c r="E81" s="161" t="b">
        <f t="shared" si="3"/>
        <v>0</v>
      </c>
      <c r="F81" s="124"/>
      <c r="G81" s="124" t="str">
        <f>IF(I81&lt;&gt;"", "Not Blank", "")</f>
        <v/>
      </c>
      <c r="H81" s="124"/>
      <c r="I81" s="2115"/>
      <c r="J81" s="124" t="str">
        <f>IF(L81&lt;&gt;"", "Not Blank", "")</f>
        <v/>
      </c>
      <c r="K81" s="124"/>
      <c r="L81" s="124"/>
      <c r="M81" s="246"/>
      <c r="N81" s="4925"/>
      <c r="O81" s="4931"/>
      <c r="P81" s="590"/>
      <c r="Q81" s="2092"/>
      <c r="R81" s="161" t="b">
        <f>IF(OR(Q81="Compliant",Q81="FE with work-a-round",Q81="Functionally Equivalent"),TRUE,FALSE)</f>
        <v>0</v>
      </c>
      <c r="S81" s="124"/>
      <c r="T81" s="124"/>
      <c r="U81" s="246"/>
      <c r="V81" s="4448"/>
      <c r="W81" s="4888" t="b">
        <f t="shared" si="2"/>
        <v>0</v>
      </c>
      <c r="X81" s="161"/>
      <c r="Y81" s="124"/>
      <c r="Z81" s="125"/>
    </row>
    <row r="82" spans="1:84" s="28" customFormat="1" ht="44.5" thickTop="1" thickBot="1" x14ac:dyDescent="0.35">
      <c r="A82" s="28">
        <v>5</v>
      </c>
      <c r="B82" s="1910" t="s">
        <v>1274</v>
      </c>
      <c r="C82" s="2230" t="s">
        <v>1275</v>
      </c>
      <c r="D82" s="1947" t="s">
        <v>565</v>
      </c>
      <c r="E82" s="1929" t="b">
        <f>IF(AND(E83=TRUE,E84=TRUE),TRUE,FALSE)</f>
        <v>0</v>
      </c>
      <c r="F82" s="1514">
        <f>COUNTIF(E83:E84,TRUE)</f>
        <v>0</v>
      </c>
      <c r="G82" s="1514">
        <f>COUNTIFS(E83:E84,TRUE,G83:G84,"Not Blank")</f>
        <v>0</v>
      </c>
      <c r="H82" s="1514">
        <f>COUNTIFS(E83:E84,FALSE,G83:G84,"Not Blank")</f>
        <v>0</v>
      </c>
      <c r="I82" s="2155" t="str">
        <f xml:space="preserve">
IF(F82&gt;2,"Too Many Entries - Check Red Lines",
IF(AND(E82=FALSE,G82=0,H82=0,E82=TRUE),"Nothing Required Below",
IF(G82&lt;F82,"Valid Entry required below - Check Amber Line/s",
IF(AND(E82=FALSE,G82=0,H82=0),"Nothing Entered below Yet",
IF(G82&lt;F82,"Valid Entry required below - Check Amber Line/s",
IF(AND(G82=0,H82&gt;0),"**Non-Valid Entry/ies below - Check Yellow Line/s",
IF(AND(G82&gt;0,H82&gt;0),"**Valid and Non-Valid Entries made below - Check Yellow Line/s",
IF(AND(E82=FALSE,F82&lt;2),"Not all requirements addressed below - Check Pink Line/s",
IF(AND(E82=FALSE,G82&lt;2,G82&gt;0,H82=0),"More entries to come",
IF(AND(E82,TRUE,G82=2,H82=0),"Valid Entries made below"
))))))))))</f>
        <v>Nothing Entered below Yet</v>
      </c>
      <c r="J82" s="1514">
        <f>COUNTIFS(E83:E84,TRUE,J83:J84,"Not Blank")</f>
        <v>0</v>
      </c>
      <c r="K82" s="1514">
        <f>COUNTIFS(E83:E84,FALSE,J83:J84,"Not Blank")</f>
        <v>0</v>
      </c>
      <c r="L82" s="1727" t="str">
        <f xml:space="preserve">
IF(J82&gt;2,"Too Many Entries - Check Red Lines",
IF(AND(E82=FALSE,J82=0,K82=0,E82=TRUE),"Nothing Required Below",
IF(J82&lt;F82,"Valid Entry required below - Check Amber Line/s",
IF(AND(E82=FALSE,J82=0,K82=0),"Nothing Entered below Yet",
IF(AND(J82=0,K82&gt;0),"**Non-Valid Entry/ies below - Check Yellow Line/s",
IF(AND(J82&gt;0,K82&gt;0),"**Valid and Non-Valid Entries made below - Check Yellow Line/s",
IF(AND(E82=FALSE,J82&lt;2),"Not all requirements addressed below - Check Pink Line/s",
IF(AND(E82=FALSE,J82&lt;2,J82&gt;0,K82=0),"More entries to come",
IF(AND(E82,TRUE,J82=2,K82=0),"Valid Entries made below"
)))))))))</f>
        <v>Nothing Entered below Yet</v>
      </c>
      <c r="M82" s="861"/>
      <c r="N82" s="4923"/>
      <c r="O82" s="4929" t="b">
        <f>IF(OR(N82="Compliant",N82="FE with work-a-round",N82="Functionally Equivalent"),TRUE,FALSE)</f>
        <v>0</v>
      </c>
      <c r="P82" s="66"/>
      <c r="Q82" s="4333" t="s">
        <v>565</v>
      </c>
      <c r="R82" s="138" t="b">
        <f>IF(AND(R83=TRUE,R84=TRUE),TRUE,FALSE)</f>
        <v>0</v>
      </c>
      <c r="S82" s="111"/>
      <c r="T82" s="111"/>
      <c r="U82" s="211"/>
      <c r="V82" s="4446"/>
      <c r="W82" s="4886" t="b">
        <f t="shared" si="2"/>
        <v>0</v>
      </c>
      <c r="X82" s="138"/>
      <c r="Y82" s="111"/>
      <c r="Z82" s="120"/>
    </row>
    <row r="83" spans="1:84" s="28" customFormat="1" ht="116.5" thickTop="1" x14ac:dyDescent="0.3">
      <c r="A83" s="28" t="s">
        <v>1276</v>
      </c>
      <c r="B83" s="1504"/>
      <c r="C83" s="1806" t="s">
        <v>1278</v>
      </c>
      <c r="D83" s="2180" t="s">
        <v>3</v>
      </c>
      <c r="E83" s="67" t="b">
        <f t="shared" si="3"/>
        <v>0</v>
      </c>
      <c r="F83" s="44"/>
      <c r="G83" s="44" t="str">
        <f>IF(I83&lt;&gt;"", "Not Blank", "")</f>
        <v/>
      </c>
      <c r="H83" s="44"/>
      <c r="I83" s="2223"/>
      <c r="J83" s="44" t="str">
        <f>IF(L83&lt;&gt;"", "Not Blank", "")</f>
        <v/>
      </c>
      <c r="K83" s="44"/>
      <c r="L83" s="2164"/>
      <c r="M83" s="2177"/>
      <c r="N83" s="4924"/>
      <c r="O83" s="4930"/>
      <c r="P83" s="2225"/>
      <c r="Q83" s="2090"/>
      <c r="R83" s="67" t="b">
        <f>IF(OR(Q83="Compliant",Q83="FE with work-a-round",Q83="Functionally Equivalent"),TRUE,FALSE)</f>
        <v>0</v>
      </c>
      <c r="S83" s="44"/>
      <c r="T83" s="44"/>
      <c r="U83" s="68"/>
      <c r="V83" s="4447"/>
      <c r="W83" s="4887" t="b">
        <f t="shared" si="2"/>
        <v>0</v>
      </c>
      <c r="X83" s="67"/>
      <c r="Y83" s="44"/>
      <c r="Z83" s="122"/>
    </row>
    <row r="84" spans="1:84" s="28" customFormat="1" ht="58.5" thickBot="1" x14ac:dyDescent="0.35">
      <c r="A84" s="28" t="s">
        <v>1277</v>
      </c>
      <c r="B84" s="1504"/>
      <c r="C84" s="1800" t="s">
        <v>1279</v>
      </c>
      <c r="D84" s="691" t="s">
        <v>3</v>
      </c>
      <c r="E84" s="161" t="b">
        <f t="shared" si="3"/>
        <v>0</v>
      </c>
      <c r="F84" s="124"/>
      <c r="G84" s="124" t="str">
        <f>IF(I84&lt;&gt;"", "Not Blank", "")</f>
        <v/>
      </c>
      <c r="H84" s="124"/>
      <c r="I84" s="2115"/>
      <c r="J84" s="124" t="str">
        <f>IF(L84&lt;&gt;"", "Not Blank", "")</f>
        <v/>
      </c>
      <c r="K84" s="124"/>
      <c r="L84" s="124"/>
      <c r="M84" s="246"/>
      <c r="N84" s="4925"/>
      <c r="O84" s="4931"/>
      <c r="P84" s="590"/>
      <c r="Q84" s="2091"/>
      <c r="R84" s="161" t="b">
        <f>IF(OR(Q84="Compliant",Q84="FE with work-a-round",Q84="Functionally Equivalent"),TRUE,FALSE)</f>
        <v>0</v>
      </c>
      <c r="S84" s="124"/>
      <c r="T84" s="124"/>
      <c r="U84" s="246"/>
      <c r="V84" s="4448"/>
      <c r="W84" s="4888" t="b">
        <f t="shared" si="2"/>
        <v>0</v>
      </c>
      <c r="X84" s="161"/>
      <c r="Y84" s="124"/>
      <c r="Z84" s="125"/>
    </row>
    <row r="85" spans="1:84" s="28" customFormat="1" ht="117" thickTop="1" thickBot="1" x14ac:dyDescent="0.35">
      <c r="A85" s="1386" t="s">
        <v>1285</v>
      </c>
      <c r="B85" s="2809" t="s">
        <v>1284</v>
      </c>
      <c r="C85" s="1809" t="s">
        <v>1286</v>
      </c>
      <c r="D85" s="693" t="s">
        <v>3</v>
      </c>
      <c r="E85" s="231" t="b">
        <f t="shared" si="3"/>
        <v>0</v>
      </c>
      <c r="F85" s="2765">
        <f>COUNTIF(E85,TRUE)</f>
        <v>0</v>
      </c>
      <c r="G85" s="2765">
        <f>IF(AND(E85=TRUE,I85&lt;&gt;""),1,0)</f>
        <v>0</v>
      </c>
      <c r="H85" s="2765">
        <f>IF(AND(E85=FALSE,I85&lt;&gt;""),1,0)</f>
        <v>0</v>
      </c>
      <c r="I85" s="2788"/>
      <c r="J85" s="2765">
        <f>IF(AND(E85=TRUE,L85&lt;&gt;""),1,0)</f>
        <v>0</v>
      </c>
      <c r="K85" s="2765">
        <f>IF(AND(E85=FALSE,L85&lt;&gt;""),1,0)</f>
        <v>0</v>
      </c>
      <c r="L85" s="2765"/>
      <c r="M85" s="2789"/>
      <c r="N85" s="2790"/>
      <c r="O85" s="2791" t="b">
        <f>IF(OR(N85="Compliant",N85="FE with work-a-round",N85="Functionally Equivalent"),TRUE,FALSE)</f>
        <v>0</v>
      </c>
      <c r="P85" s="2791"/>
      <c r="Q85" s="2092"/>
      <c r="R85" s="2792" t="b">
        <f>IF(OR(Q85="Compliant",Q85="FE with work-a-round",Q85="Functionally Equivalent"),TRUE,FALSE)</f>
        <v>0</v>
      </c>
      <c r="S85" s="2765"/>
      <c r="T85" s="2765"/>
      <c r="U85" s="2789"/>
      <c r="V85" s="1188"/>
      <c r="W85" s="35" t="b">
        <f>IF(OR(V85="Compliant",V85="FE with work-a-round",V85="Functionally Equivalent",V85="Not Required/Applicable"),TRUE,FALSE)</f>
        <v>0</v>
      </c>
      <c r="X85" s="2792"/>
      <c r="Y85" s="2765"/>
      <c r="Z85" s="2766"/>
    </row>
    <row r="86" spans="1:84" s="3634" customFormat="1" ht="16" thickTop="1" x14ac:dyDescent="0.3">
      <c r="A86" s="3993"/>
      <c r="E86" s="3636"/>
      <c r="F86" s="3636"/>
      <c r="G86" s="3993"/>
      <c r="H86" s="3993"/>
      <c r="I86" s="3993"/>
      <c r="N86" s="3821"/>
      <c r="O86" s="3636"/>
      <c r="V86" s="4328"/>
    </row>
    <row r="87" spans="1:84" s="3993" customFormat="1" ht="18.5" x14ac:dyDescent="0.3">
      <c r="A87" s="4636" t="s">
        <v>1139</v>
      </c>
      <c r="B87" s="4636"/>
      <c r="C87" s="4636"/>
      <c r="D87" s="4636"/>
      <c r="E87" s="4636"/>
      <c r="F87" s="4636"/>
      <c r="G87" s="4636"/>
      <c r="H87" s="4636"/>
      <c r="I87" s="4636"/>
      <c r="J87" s="4636"/>
      <c r="K87" s="4636"/>
      <c r="L87" s="4636"/>
      <c r="M87" s="4636"/>
      <c r="N87" s="4636"/>
      <c r="O87" s="3646"/>
      <c r="P87" s="3806"/>
      <c r="Q87" s="3806"/>
      <c r="R87" s="3806"/>
      <c r="S87" s="3806"/>
      <c r="T87" s="3806"/>
      <c r="U87" s="3806"/>
      <c r="V87" s="4327"/>
      <c r="W87" s="3805"/>
      <c r="X87" s="3656"/>
      <c r="Y87" s="3656"/>
      <c r="Z87" s="3656"/>
    </row>
    <row r="88" spans="1:84" s="3634" customFormat="1" ht="16" thickBot="1" x14ac:dyDescent="0.35">
      <c r="B88" s="3677"/>
      <c r="C88" s="3677"/>
      <c r="D88" s="3677"/>
      <c r="E88" s="4019"/>
      <c r="F88" s="4019"/>
      <c r="G88" s="4335"/>
      <c r="H88" s="4335"/>
      <c r="I88" s="3677"/>
      <c r="J88" s="3677"/>
      <c r="K88" s="3677"/>
      <c r="M88" s="3677"/>
      <c r="N88" s="4336"/>
      <c r="O88" s="4019"/>
      <c r="P88" s="3677"/>
      <c r="Q88" s="3677"/>
      <c r="R88" s="3677"/>
      <c r="S88" s="3677"/>
      <c r="T88" s="3677"/>
      <c r="U88" s="3677"/>
      <c r="V88" s="4337"/>
      <c r="W88" s="3677"/>
      <c r="X88" s="3677"/>
      <c r="Y88" s="3677"/>
      <c r="Z88" s="3677"/>
    </row>
    <row r="89" spans="1:84" ht="30" thickTop="1" thickBot="1" x14ac:dyDescent="0.35">
      <c r="A89" s="204">
        <v>8.5</v>
      </c>
      <c r="B89" s="2033" t="s">
        <v>1369</v>
      </c>
      <c r="C89" s="1701" t="s">
        <v>1542</v>
      </c>
      <c r="D89" s="1923" t="s">
        <v>565</v>
      </c>
      <c r="E89" s="2810" t="b">
        <f>IF(AND(E90=TRUE,E91=TRUE,E92=TRUE),TRUE,FALSE)</f>
        <v>0</v>
      </c>
      <c r="F89" s="2811">
        <f>COUNTIF(E90:E92,TRUE)</f>
        <v>0</v>
      </c>
      <c r="G89" s="2812">
        <f>COUNTIFS(E90:E92,TRUE,G90:G92,"Not Blank")</f>
        <v>0</v>
      </c>
      <c r="H89" s="2813">
        <f>COUNTIFS(E90:E92,FALSE,G90:G92,"Not Blank")</f>
        <v>0</v>
      </c>
      <c r="I89" s="1642" t="str">
        <f xml:space="preserve">
IF(F89&gt;3,"Too Many Entries - Check Red Lines",
IF(AND(E89=FALSE,G89=0,H89=0,E89=TRUE),"Nothing Required Below",
IF(G89&lt;F89,"Valid Entry required below - Check Amber Line/s",
IF(AND(E89=FALSE,G89=0,H89=0),"Nothing Entered below Yet",
IF(G89&lt;F89,"Valid Entry required below - Check Amber Line/s",
IF(AND(G89=0,H89&gt;0),"**Non-Valid Entry/ies below - Check Yellow Line/s",
IF(AND(G89&gt;0,H89&gt;0),"**Valid and Non-Valid Entries made below - Check Yellow Line/s",
IF(AND(E89=FALSE,F89&lt;3),"Not all requirements addressed below - Check Pink Line/s",
IF(AND(E89=FALSE,G89&lt;3,G89&gt;0,H89=0),"More entries to come",
IF(AND(E89,TRUE,G89=3,H89=0),"Valid Entries made below"
))))))))))</f>
        <v>Nothing Entered below Yet</v>
      </c>
      <c r="J89" s="2814">
        <f>COUNTIFS(E90:E92,TRUE,J90:J92,"Not Blank")</f>
        <v>0</v>
      </c>
      <c r="K89" s="2814">
        <f>COUNTIFS(E90:E92,FALSE,J90:J92,"Not Blank")</f>
        <v>0</v>
      </c>
      <c r="L89" s="1642" t="str">
        <f xml:space="preserve">
IF(J89&gt;3,"Too Many Entries - Check Red Lines",
IF(AND(E89=FALSE,J89=0,K89=0,E89=TRUE),"Nothing Required Below",
IF(J89&lt;F89,"Valid Entry required below - Check Amber Line/s",
IF(AND(E89=FALSE,J89=0,K89=0),"Nothing Entered below Yet",
IF(AND(J89=0,K89&gt;0),"**Non-Valid Entry/ies below - Check Yellow Line/s",
IF(AND(J89&gt;0,K89&gt;0),"**Valid and Non-Valid Entries made below - Check Yellow Line/s",
IF(AND(E89=FALSE,J89&lt;3),"Not all requirements addressed below - Check Pink Line/s",
IF(AND(E89=FALSE,J89&lt;3,J89&gt;0,K89=0),"More entries to come",
IF(AND(E89,TRUE,J89=3,K89=0),"Valid Entries made below"
)))))))))</f>
        <v>Nothing Entered below Yet</v>
      </c>
      <c r="M89" s="809"/>
      <c r="N89" s="4923"/>
      <c r="O89" s="4926" t="b">
        <f>IF(OR(N89="Compliant",N89="FE with work-a-round",N89="Functionally Equivalent"),TRUE,FALSE)</f>
        <v>0</v>
      </c>
      <c r="P89" s="1565"/>
      <c r="Q89" s="4333" t="s">
        <v>565</v>
      </c>
      <c r="R89" s="138" t="b">
        <f>IF(AND(R90=TRUE,R91=TRUE),TRUE,FALSE)</f>
        <v>0</v>
      </c>
      <c r="S89" s="186"/>
      <c r="T89" s="186"/>
      <c r="U89" s="459"/>
      <c r="V89" s="4446" t="s">
        <v>3</v>
      </c>
      <c r="W89" s="4886" t="b">
        <f>IF(OR(V89="Compliant",V89="FE with work-a-round",V89="Functionally Equivalent",V89="Not Required/Applicable"),TRUE,FALSE)</f>
        <v>0</v>
      </c>
      <c r="X89" s="338"/>
      <c r="Y89" s="186"/>
      <c r="Z89" s="306"/>
    </row>
    <row r="90" spans="1:84" s="28" customFormat="1" ht="29.5" thickTop="1" x14ac:dyDescent="0.3">
      <c r="A90" s="28" t="s">
        <v>1110</v>
      </c>
      <c r="B90" s="2024"/>
      <c r="C90" s="1702" t="s">
        <v>1001</v>
      </c>
      <c r="D90" s="2096"/>
      <c r="E90" s="838" t="b">
        <f>IF(D90="Compliant",TRUE,FALSE)</f>
        <v>0</v>
      </c>
      <c r="F90" s="390"/>
      <c r="G90" s="1566" t="str">
        <f>IF(I90&lt;&gt;"", "Not Blank", "")</f>
        <v/>
      </c>
      <c r="H90" s="1567"/>
      <c r="I90" s="2116"/>
      <c r="J90" s="391" t="str">
        <f>IF(L90&lt;&gt;"", "Not Blank", "")</f>
        <v/>
      </c>
      <c r="K90" s="391"/>
      <c r="L90" s="144"/>
      <c r="M90" s="120"/>
      <c r="N90" s="4924"/>
      <c r="O90" s="4927" t="b">
        <f>IF(OR(N90="Compliant",N90="FE with work-a-round",N90="Functionally Equivalent"),TRUE,FALSE)</f>
        <v>0</v>
      </c>
      <c r="P90" s="2222"/>
      <c r="Q90" s="2090"/>
      <c r="R90" s="67" t="b">
        <f>IF(OR(Q90="Compliant",Q90="FE with work-a-round",Q90="Functionally Equivalent"),TRUE,FALSE)</f>
        <v>0</v>
      </c>
      <c r="S90" s="44"/>
      <c r="T90" s="44"/>
      <c r="U90" s="68"/>
      <c r="V90" s="4447"/>
      <c r="W90" s="4887" t="b">
        <f>IF(OR(V90="Compliant",V90="FE with work-a-round",V90="Functionally Equivalent",V90="Not Required/Applicable"),TRUE,FALSE)</f>
        <v>0</v>
      </c>
      <c r="X90" s="67"/>
      <c r="Y90" s="705"/>
      <c r="Z90" s="136"/>
    </row>
    <row r="91" spans="1:84" s="310" customFormat="1" ht="87" x14ac:dyDescent="0.3">
      <c r="A91" s="28"/>
      <c r="B91" s="1811"/>
      <c r="C91" s="1686" t="s">
        <v>1566</v>
      </c>
      <c r="D91" s="699"/>
      <c r="E91" s="594" t="b">
        <f>IF(D91="Compliant",TRUE,FALSE)</f>
        <v>0</v>
      </c>
      <c r="F91" s="361"/>
      <c r="G91" s="1405" t="str">
        <f>IF(I91&lt;&gt;"", "Not Blank", "")</f>
        <v/>
      </c>
      <c r="H91" s="1403"/>
      <c r="I91" s="2117"/>
      <c r="J91" s="216" t="str">
        <f>IF(L91&lt;&gt;"", "Not Blank", "")</f>
        <v/>
      </c>
      <c r="K91" s="216"/>
      <c r="L91" s="68"/>
      <c r="M91" s="68"/>
      <c r="N91" s="4924"/>
      <c r="O91" s="4927" t="b">
        <f>IF(OR(N91="Compliant",N91="FE with work-a-round",N91="Functionally Equivalent"),TRUE,FALSE)</f>
        <v>0</v>
      </c>
      <c r="P91" s="205"/>
      <c r="Q91" s="2091"/>
      <c r="R91" s="67" t="b">
        <f>IF(OR(Q91="Compliant",Q91="FE with work-a-round",Q91="Functionally Equivalent"),TRUE,FALSE)</f>
        <v>0</v>
      </c>
      <c r="S91" s="44"/>
      <c r="T91" s="44"/>
      <c r="U91" s="68"/>
      <c r="V91" s="4447"/>
      <c r="W91" s="4887" t="b">
        <f>IF(OR(V91="Compliant",V91="FE with work-a-round",V91="Functionally Equivalent",V91="Not Required/Applicable"),TRUE,FALSE)</f>
        <v>0</v>
      </c>
      <c r="X91" s="67"/>
      <c r="Y91" s="44"/>
      <c r="Z91" s="127"/>
      <c r="AA91" s="308"/>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c r="BR91" s="204"/>
      <c r="BS91" s="204"/>
      <c r="BT91" s="204"/>
      <c r="BU91" s="204"/>
      <c r="BV91" s="204"/>
      <c r="BW91" s="204"/>
      <c r="BX91" s="204"/>
      <c r="BY91" s="204"/>
      <c r="BZ91" s="204"/>
      <c r="CA91" s="204"/>
      <c r="CB91" s="204"/>
      <c r="CC91" s="204"/>
      <c r="CD91" s="204"/>
      <c r="CE91" s="204"/>
      <c r="CF91" s="309"/>
    </row>
    <row r="92" spans="1:84" s="27" customFormat="1" ht="290.5" thickBot="1" x14ac:dyDescent="0.35">
      <c r="A92" s="1558" t="s">
        <v>1107</v>
      </c>
      <c r="B92" s="1813"/>
      <c r="C92" s="1687" t="s">
        <v>1856</v>
      </c>
      <c r="D92" s="2793"/>
      <c r="E92" s="706" t="b">
        <f>IF(D92="Compliant",TRUE,FALSE)</f>
        <v>0</v>
      </c>
      <c r="F92" s="160"/>
      <c r="G92" s="409" t="str">
        <f>IF(I92&lt;&gt;"", "Not Blank", "")</f>
        <v/>
      </c>
      <c r="H92" s="160"/>
      <c r="I92" s="2118"/>
      <c r="J92" s="188" t="str">
        <f>IF(L92&lt;&gt;"", "Not Blank", "")</f>
        <v/>
      </c>
      <c r="K92" s="124"/>
      <c r="L92" s="246"/>
      <c r="M92" s="246"/>
      <c r="N92" s="4925"/>
      <c r="O92" s="4928" t="b">
        <f>IF(OR(N92="Compliant",N92="FE with work-a-round",N92="Functionally Equivalent"),TRUE,FALSE)</f>
        <v>0</v>
      </c>
      <c r="P92" s="1745"/>
      <c r="Q92" s="571"/>
      <c r="R92" s="1756" t="b">
        <f>IF(OR(Q92="Compliant",Q92="FE with work-a-round",Q92="Functionally Equivalent"),TRUE,FALSE)</f>
        <v>0</v>
      </c>
      <c r="S92" s="2758"/>
      <c r="T92" s="2758"/>
      <c r="U92" s="2758"/>
      <c r="V92" s="4448"/>
      <c r="W92" s="4888" t="b">
        <f>IF(OR(V92="Compliant",V92="FE with work-a-round",V92="Functionally Equivalent",V92="Not Required/Applicable"),TRUE,FALSE)</f>
        <v>0</v>
      </c>
      <c r="X92" s="1745"/>
      <c r="Y92" s="1764"/>
      <c r="Z92" s="1780"/>
      <c r="AA92" s="65"/>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40"/>
    </row>
    <row r="93" spans="1:84" s="3668" customFormat="1" ht="16" thickTop="1" x14ac:dyDescent="0.3">
      <c r="A93" s="3993"/>
      <c r="B93" s="3993"/>
      <c r="C93" s="3993"/>
      <c r="D93" s="3993"/>
      <c r="E93" s="3993"/>
      <c r="F93" s="3993"/>
      <c r="G93" s="3993"/>
      <c r="H93" s="3993"/>
      <c r="I93" s="3993"/>
      <c r="J93" s="3993"/>
      <c r="K93" s="3993"/>
      <c r="L93" s="3993"/>
      <c r="M93" s="3993"/>
      <c r="N93" s="4323"/>
      <c r="O93" s="3993"/>
      <c r="P93" s="3993"/>
      <c r="Q93" s="3993"/>
      <c r="R93" s="3993"/>
      <c r="S93" s="3993"/>
      <c r="T93" s="3993"/>
      <c r="U93" s="3993"/>
      <c r="V93" s="4326"/>
      <c r="W93" s="3652"/>
      <c r="X93" s="3993"/>
      <c r="Y93" s="3993"/>
      <c r="Z93" s="3993"/>
      <c r="AA93" s="3634"/>
      <c r="AB93" s="3634"/>
      <c r="AC93" s="3634"/>
      <c r="AD93" s="3634"/>
      <c r="AE93" s="3634"/>
      <c r="AF93" s="3634"/>
      <c r="AG93" s="3634"/>
      <c r="AH93" s="3634"/>
      <c r="AI93" s="3634"/>
      <c r="AJ93" s="3634"/>
      <c r="AK93" s="3634"/>
      <c r="AL93" s="3634"/>
      <c r="AM93" s="3634"/>
      <c r="AN93" s="3634"/>
      <c r="AO93" s="3634"/>
      <c r="AP93" s="3634"/>
      <c r="AQ93" s="3634"/>
      <c r="AR93" s="3634"/>
      <c r="AS93" s="3634"/>
      <c r="AT93" s="3634"/>
      <c r="AU93" s="3634"/>
      <c r="AV93" s="3634"/>
      <c r="AW93" s="3634"/>
      <c r="AX93" s="3634"/>
      <c r="AY93" s="3634"/>
      <c r="AZ93" s="3634"/>
      <c r="BA93" s="3634"/>
      <c r="BB93" s="3634"/>
      <c r="BC93" s="3634"/>
      <c r="BD93" s="3634"/>
      <c r="BE93" s="3634"/>
      <c r="BF93" s="3634"/>
      <c r="BG93" s="3634"/>
      <c r="BH93" s="3634"/>
      <c r="BI93" s="3634"/>
      <c r="BJ93" s="3634"/>
      <c r="BK93" s="3634"/>
      <c r="BL93" s="3634"/>
      <c r="BM93" s="3634"/>
      <c r="BN93" s="3634"/>
      <c r="BO93" s="3634"/>
      <c r="BP93" s="3634"/>
      <c r="BQ93" s="3634"/>
      <c r="BR93" s="3634"/>
      <c r="BS93" s="3634"/>
      <c r="BT93" s="3634"/>
      <c r="BU93" s="3634"/>
      <c r="BV93" s="3634"/>
      <c r="BW93" s="3634"/>
      <c r="BX93" s="3634"/>
      <c r="BY93" s="3634"/>
      <c r="BZ93" s="3634"/>
      <c r="CA93" s="3634"/>
      <c r="CB93" s="3634"/>
      <c r="CC93" s="3634"/>
      <c r="CD93" s="3634"/>
      <c r="CE93" s="3634"/>
      <c r="CF93" s="3634"/>
    </row>
    <row r="94" spans="1:84" s="3993" customFormat="1" ht="27.65" customHeight="1" x14ac:dyDescent="0.3">
      <c r="B94" s="4922" t="s">
        <v>2045</v>
      </c>
      <c r="C94" s="4922"/>
      <c r="D94" s="3810"/>
      <c r="E94" s="3810"/>
      <c r="F94" s="3810"/>
      <c r="G94" s="3810"/>
      <c r="H94" s="3810"/>
      <c r="I94" s="3810"/>
      <c r="J94" s="3810"/>
      <c r="K94" s="3810"/>
      <c r="L94" s="3810"/>
      <c r="M94" s="3810"/>
      <c r="N94" s="4322"/>
      <c r="O94" s="3810"/>
      <c r="P94" s="3810"/>
      <c r="Q94" s="3810"/>
      <c r="R94" s="3810"/>
      <c r="S94" s="3810"/>
      <c r="T94" s="3810"/>
      <c r="U94" s="3810"/>
      <c r="V94" s="4338"/>
      <c r="W94" s="3811"/>
      <c r="X94" s="3810"/>
      <c r="Y94" s="3810"/>
      <c r="Z94" s="3810"/>
    </row>
    <row r="95" spans="1:84" s="3993" customFormat="1" x14ac:dyDescent="0.3">
      <c r="N95" s="4323"/>
      <c r="V95" s="4326"/>
      <c r="W95" s="3652"/>
    </row>
  </sheetData>
  <sheetProtection algorithmName="SHA-512" hashValue="nZ+ayXQjgAk1Yn4lT27kgZ5dq2mer2/XGLTnXbtHJJ3Z9vyfG80yhkIq2bfEGQWo3mjgTuLlIdXtQUYsUt+3+Q==" saltValue="KvLlru4R8pkIE4HWf/iAlA==" spinCount="100000" sheet="1" formatCells="0" formatColumns="0" formatRows="0" insertHyperlinks="0" selectLockedCells="1" sort="0" autoFilter="0"/>
  <mergeCells count="79">
    <mergeCell ref="B4:D4"/>
    <mergeCell ref="B1:D1"/>
    <mergeCell ref="B2:D2"/>
    <mergeCell ref="B3:D3"/>
    <mergeCell ref="N19:N21"/>
    <mergeCell ref="X9:Y9"/>
    <mergeCell ref="A16:C16"/>
    <mergeCell ref="D16:N16"/>
    <mergeCell ref="B7:D7"/>
    <mergeCell ref="A9:N9"/>
    <mergeCell ref="P9:U9"/>
    <mergeCell ref="V19:V21"/>
    <mergeCell ref="W34:W37"/>
    <mergeCell ref="A23:C23"/>
    <mergeCell ref="D23:N23"/>
    <mergeCell ref="N26:N29"/>
    <mergeCell ref="O26:O29"/>
    <mergeCell ref="V26:V29"/>
    <mergeCell ref="W26:W29"/>
    <mergeCell ref="A31:C31"/>
    <mergeCell ref="D31:N31"/>
    <mergeCell ref="N34:N37"/>
    <mergeCell ref="O34:O37"/>
    <mergeCell ref="V34:V37"/>
    <mergeCell ref="N38:N41"/>
    <mergeCell ref="O38:O41"/>
    <mergeCell ref="V38:V41"/>
    <mergeCell ref="W38:W41"/>
    <mergeCell ref="N42:N45"/>
    <mergeCell ref="O42:O45"/>
    <mergeCell ref="V42:V45"/>
    <mergeCell ref="W42:W45"/>
    <mergeCell ref="N46:N48"/>
    <mergeCell ref="O46:O48"/>
    <mergeCell ref="V46:V48"/>
    <mergeCell ref="W46:W48"/>
    <mergeCell ref="N49:N51"/>
    <mergeCell ref="O49:O51"/>
    <mergeCell ref="V49:V51"/>
    <mergeCell ref="W49:W51"/>
    <mergeCell ref="N52:N55"/>
    <mergeCell ref="O52:O55"/>
    <mergeCell ref="V52:V55"/>
    <mergeCell ref="W52:W55"/>
    <mergeCell ref="N56:N58"/>
    <mergeCell ref="O56:O58"/>
    <mergeCell ref="V56:V58"/>
    <mergeCell ref="W56:W58"/>
    <mergeCell ref="N59:N64"/>
    <mergeCell ref="O59:O64"/>
    <mergeCell ref="V59:V64"/>
    <mergeCell ref="W59:W64"/>
    <mergeCell ref="N65:N70"/>
    <mergeCell ref="O65:O70"/>
    <mergeCell ref="V65:V70"/>
    <mergeCell ref="W65:W70"/>
    <mergeCell ref="N72:N74"/>
    <mergeCell ref="O72:O74"/>
    <mergeCell ref="V72:V74"/>
    <mergeCell ref="W72:W74"/>
    <mergeCell ref="N75:N77"/>
    <mergeCell ref="O75:O77"/>
    <mergeCell ref="V75:V77"/>
    <mergeCell ref="W75:W77"/>
    <mergeCell ref="V89:V92"/>
    <mergeCell ref="W89:W92"/>
    <mergeCell ref="N78:N81"/>
    <mergeCell ref="O78:O81"/>
    <mergeCell ref="V78:V81"/>
    <mergeCell ref="W78:W81"/>
    <mergeCell ref="N82:N84"/>
    <mergeCell ref="O82:O84"/>
    <mergeCell ref="V82:V84"/>
    <mergeCell ref="W82:W84"/>
    <mergeCell ref="B94:C94"/>
    <mergeCell ref="A87:C87"/>
    <mergeCell ref="D87:N87"/>
    <mergeCell ref="N89:N92"/>
    <mergeCell ref="O89:O92"/>
  </mergeCells>
  <conditionalFormatting sqref="R86:R88">
    <cfRule type="expression" dxfId="1602" priority="407">
      <formula>IF($E86,TRUE)</formula>
    </cfRule>
  </conditionalFormatting>
  <conditionalFormatting sqref="V86:V88">
    <cfRule type="containsText" dxfId="1601" priority="403" operator="containsText" text="Applicable">
      <formula>NOT(ISERROR(SEARCH("Applicable",V86)))</formula>
    </cfRule>
    <cfRule type="containsText" dxfId="1600" priority="404" operator="containsText" text="Functionally">
      <formula>NOT(ISERROR(SEARCH("Functionally",V86)))</formula>
    </cfRule>
    <cfRule type="containsText" dxfId="1599" priority="405" operator="containsText" text="Not Compliant">
      <formula>NOT(ISERROR(SEARCH("Not Compliant",V86)))</formula>
    </cfRule>
    <cfRule type="containsText" dxfId="1598" priority="406" operator="containsText" text="Compliant">
      <formula>NOT(ISERROR(SEARCH("Compliant",V86)))</formula>
    </cfRule>
  </conditionalFormatting>
  <conditionalFormatting sqref="Q86:Q88">
    <cfRule type="expression" dxfId="1597" priority="408">
      <formula>IF(#REF!,TRUE)</formula>
    </cfRule>
    <cfRule type="expression" dxfId="1596" priority="409">
      <formula>IF($E86,TRUE)</formula>
    </cfRule>
  </conditionalFormatting>
  <conditionalFormatting sqref="N86:N88">
    <cfRule type="containsText" dxfId="1595" priority="410" operator="containsText" text="Not Compliant">
      <formula>NOT(ISERROR(SEARCH("Not Compliant",N86)))</formula>
    </cfRule>
    <cfRule type="expression" dxfId="1594" priority="411">
      <formula>IF(AND($E86=TRUE,$I86="",$N86="Compliant"),TRUE,FALSE)</formula>
    </cfRule>
    <cfRule type="expression" dxfId="1593" priority="412">
      <formula>IF(AND($E86=TRUE,$I86&lt;&gt;"",$N86="Compliant"),TRUE,FALSE)</formula>
    </cfRule>
    <cfRule type="expression" dxfId="1592" priority="413">
      <formula>IF($N86&lt;&gt;"",TRUE,FALSE)</formula>
    </cfRule>
    <cfRule type="expression" dxfId="1591" priority="414">
      <formula>IF(AND($E86=FALSE,$N86&lt;&gt;""),TRUE,FALSE)</formula>
    </cfRule>
    <cfRule type="expression" dxfId="1590" priority="415">
      <formula>IF(AND($I86&lt;&gt;"",$N86&lt;&gt;""),TRUE,FALSE)</formula>
    </cfRule>
  </conditionalFormatting>
  <conditionalFormatting sqref="B13">
    <cfRule type="expression" dxfId="1589" priority="402">
      <formula>IF($E13=TRUE,TRUE,FALSE)</formula>
    </cfRule>
  </conditionalFormatting>
  <conditionalFormatting sqref="B11">
    <cfRule type="expression" dxfId="1588" priority="401">
      <formula>IF($E11=TRUE,TRUE,FALSE)</formula>
    </cfRule>
  </conditionalFormatting>
  <conditionalFormatting sqref="B12">
    <cfRule type="expression" dxfId="1587" priority="400">
      <formula>IF($E12=TRUE,TRUE,FALSE)</formula>
    </cfRule>
  </conditionalFormatting>
  <conditionalFormatting sqref="B14">
    <cfRule type="expression" dxfId="1586" priority="399">
      <formula>IF($E14=TRUE,TRUE,FALSE)</formula>
    </cfRule>
  </conditionalFormatting>
  <conditionalFormatting sqref="D11:D14">
    <cfRule type="expression" dxfId="1585" priority="398">
      <formula>IF($E11,TRUE)</formula>
    </cfRule>
  </conditionalFormatting>
  <conditionalFormatting sqref="B19:B20">
    <cfRule type="expression" dxfId="1584" priority="393">
      <formula>IF(AND($E19=TRUE,$F$18&gt;1),TRUE,FALSE)</formula>
    </cfRule>
    <cfRule type="expression" dxfId="1583" priority="394">
      <formula>IF(AND($E19=FALSE,OR($I19&lt;&gt;"",$L19&lt;&gt;"")),TRUE,FALSE)</formula>
    </cfRule>
    <cfRule type="expression" dxfId="1582" priority="395">
      <formula>IF(AND($E19=TRUE,OR($I19="",$J19="")),TRUE,FALSE)</formula>
    </cfRule>
    <cfRule type="expression" dxfId="1581" priority="396">
      <formula>IF(AND($E19=TRUE,AND($I19&lt;&gt;"",$L19&lt;&gt;"")),TRUE,FALSE)</formula>
    </cfRule>
    <cfRule type="expression" dxfId="1580" priority="397">
      <formula>IF(AND($E19=FALSE,$E$18=TRUE),TRUE,FALSE)</formula>
    </cfRule>
  </conditionalFormatting>
  <conditionalFormatting sqref="B18 D18">
    <cfRule type="expression" dxfId="1579" priority="391" stopIfTrue="1">
      <formula>IF(AND($F$18&gt;1,$E18=TRUE),TRUE,FALSE)</formula>
    </cfRule>
    <cfRule type="expression" dxfId="1578" priority="392" stopIfTrue="1">
      <formula>IF(AND($F$18=1,$E18=TRUE),TRUE,FALSE)</formula>
    </cfRule>
  </conditionalFormatting>
  <conditionalFormatting sqref="B25 D25">
    <cfRule type="expression" dxfId="1577" priority="390">
      <formula>IF($E25,TRUE)</formula>
    </cfRule>
  </conditionalFormatting>
  <conditionalFormatting sqref="B26:B29 B73:B74 B76:B77 B79:B81 B83:B85">
    <cfRule type="expression" dxfId="1576" priority="386">
      <formula>IF(AND($E26=FALSE,OR($I26&lt;&gt;"",$L26&lt;&gt;"")),TRUE,FALSE)</formula>
    </cfRule>
    <cfRule type="expression" dxfId="1575" priority="387">
      <formula>IF(AND($E26=TRUE,OR($I26="",$J26="")),TRUE,FALSE)</formula>
    </cfRule>
    <cfRule type="expression" dxfId="1574" priority="388">
      <formula>IF(AND($E26=TRUE,OR($I26&lt;&gt;"",$L26="")),TRUE,FALSE)</formula>
    </cfRule>
    <cfRule type="expression" dxfId="1573" priority="389">
      <formula>IF(AND($E26=FALSE,$E$33=TRUE),TRUE,FALSE)</formula>
    </cfRule>
  </conditionalFormatting>
  <conditionalFormatting sqref="D33 B33">
    <cfRule type="expression" dxfId="1572" priority="382">
      <formula>IF($E33,TRUE)</formula>
    </cfRule>
  </conditionalFormatting>
  <conditionalFormatting sqref="B38 D38">
    <cfRule type="expression" dxfId="1571" priority="381">
      <formula>IF($E38,TRUE)</formula>
    </cfRule>
  </conditionalFormatting>
  <conditionalFormatting sqref="B42 D42">
    <cfRule type="expression" dxfId="1570" priority="380">
      <formula>IF($E42,TRUE)</formula>
    </cfRule>
  </conditionalFormatting>
  <conditionalFormatting sqref="B46 D46">
    <cfRule type="expression" dxfId="1569" priority="379">
      <formula>IF($E46,TRUE)</formula>
    </cfRule>
  </conditionalFormatting>
  <conditionalFormatting sqref="B49 D49">
    <cfRule type="expression" dxfId="1568" priority="378">
      <formula>IF($E49,TRUE)</formula>
    </cfRule>
  </conditionalFormatting>
  <conditionalFormatting sqref="B52 D52">
    <cfRule type="expression" dxfId="1567" priority="377">
      <formula>IF($E52,TRUE)</formula>
    </cfRule>
  </conditionalFormatting>
  <conditionalFormatting sqref="B56 D56">
    <cfRule type="expression" dxfId="1566" priority="376">
      <formula>IF($E56,TRUE)</formula>
    </cfRule>
  </conditionalFormatting>
  <conditionalFormatting sqref="B59 D59">
    <cfRule type="expression" dxfId="1565" priority="375">
      <formula>IF($E59,TRUE)</formula>
    </cfRule>
  </conditionalFormatting>
  <conditionalFormatting sqref="B65 D65">
    <cfRule type="expression" dxfId="1564" priority="374">
      <formula>IF($E65,TRUE)</formula>
    </cfRule>
  </conditionalFormatting>
  <conditionalFormatting sqref="B71 D71">
    <cfRule type="expression" dxfId="1563" priority="373">
      <formula>IF($E71,TRUE)</formula>
    </cfRule>
  </conditionalFormatting>
  <conditionalFormatting sqref="B72 D72">
    <cfRule type="expression" dxfId="1562" priority="372">
      <formula>IF($E72,TRUE)</formula>
    </cfRule>
  </conditionalFormatting>
  <conditionalFormatting sqref="B75 D75">
    <cfRule type="expression" dxfId="1561" priority="371">
      <formula>IF($E75,TRUE)</formula>
    </cfRule>
  </conditionalFormatting>
  <conditionalFormatting sqref="B78 D78">
    <cfRule type="expression" dxfId="1560" priority="370">
      <formula>IF($E78,TRUE)</formula>
    </cfRule>
  </conditionalFormatting>
  <conditionalFormatting sqref="B82 D82">
    <cfRule type="expression" dxfId="1559" priority="369">
      <formula>IF($E82,TRUE)</formula>
    </cfRule>
  </conditionalFormatting>
  <conditionalFormatting sqref="B35:B37">
    <cfRule type="expression" dxfId="1558" priority="365">
      <formula>IF(AND($E35=FALSE,OR($I35&lt;&gt;"",$L35&lt;&gt;"")),TRUE,FALSE)</formula>
    </cfRule>
    <cfRule type="expression" dxfId="1557" priority="366">
      <formula>IF(AND($E35=TRUE,OR($I35="",$J35="")),TRUE,FALSE)</formula>
    </cfRule>
    <cfRule type="expression" dxfId="1556" priority="367">
      <formula>IF(AND($E35=TRUE,OR($I35&lt;&gt;"",$L35="")),TRUE,FALSE)</formula>
    </cfRule>
    <cfRule type="expression" dxfId="1555" priority="368">
      <formula>IF(AND($E35=FALSE,$E$33=TRUE),TRUE,FALSE)</formula>
    </cfRule>
  </conditionalFormatting>
  <conditionalFormatting sqref="B39:B41">
    <cfRule type="expression" dxfId="1554" priority="361">
      <formula>IF(AND($E39=FALSE,OR($I39&lt;&gt;"",$L39&lt;&gt;"")),TRUE,FALSE)</formula>
    </cfRule>
    <cfRule type="expression" dxfId="1553" priority="362">
      <formula>IF(AND($E39=TRUE,OR($I39="",$J39="")),TRUE,FALSE)</formula>
    </cfRule>
    <cfRule type="expression" dxfId="1552" priority="363">
      <formula>IF(AND($E39=TRUE,OR($I39&lt;&gt;"",$L39="")),TRUE,FALSE)</formula>
    </cfRule>
    <cfRule type="expression" dxfId="1551" priority="364">
      <formula>IF(AND($E39=FALSE,$E$33=TRUE),TRUE,FALSE)</formula>
    </cfRule>
  </conditionalFormatting>
  <conditionalFormatting sqref="B43:B45">
    <cfRule type="expression" dxfId="1550" priority="357">
      <formula>IF(AND($E43=FALSE,OR($I43&lt;&gt;"",$L43&lt;&gt;"")),TRUE,FALSE)</formula>
    </cfRule>
    <cfRule type="expression" dxfId="1549" priority="358">
      <formula>IF(AND($E43=TRUE,OR($I43="",$J43="")),TRUE,FALSE)</formula>
    </cfRule>
    <cfRule type="expression" dxfId="1548" priority="359">
      <formula>IF(AND($E43=TRUE,OR($I43&lt;&gt;"",$L43="")),TRUE,FALSE)</formula>
    </cfRule>
    <cfRule type="expression" dxfId="1547" priority="360">
      <formula>IF(AND($E43=FALSE,$E$33=TRUE),TRUE,FALSE)</formula>
    </cfRule>
  </conditionalFormatting>
  <conditionalFormatting sqref="B47:B48">
    <cfRule type="expression" dxfId="1546" priority="353">
      <formula>IF(AND($E47=FALSE,OR($I47&lt;&gt;"",$L47&lt;&gt;"")),TRUE,FALSE)</formula>
    </cfRule>
    <cfRule type="expression" dxfId="1545" priority="354">
      <formula>IF(AND($E47=TRUE,OR($I47="",$J47="")),TRUE,FALSE)</formula>
    </cfRule>
    <cfRule type="expression" dxfId="1544" priority="355">
      <formula>IF(AND($E47=TRUE,OR($I47&lt;&gt;"",$L47="")),TRUE,FALSE)</formula>
    </cfRule>
    <cfRule type="expression" dxfId="1543" priority="356">
      <formula>IF(AND($E47=FALSE,$E$33=TRUE),TRUE,FALSE)</formula>
    </cfRule>
  </conditionalFormatting>
  <conditionalFormatting sqref="B50:B51">
    <cfRule type="expression" dxfId="1542" priority="349">
      <formula>IF(AND($E50=FALSE,OR($I50&lt;&gt;"",$L50&lt;&gt;"")),TRUE,FALSE)</formula>
    </cfRule>
    <cfRule type="expression" dxfId="1541" priority="350">
      <formula>IF(AND($E50=TRUE,OR($I50="",$J50="")),TRUE,FALSE)</formula>
    </cfRule>
    <cfRule type="expression" dxfId="1540" priority="351">
      <formula>IF(AND($E50=TRUE,OR($I50&lt;&gt;"",$L50="")),TRUE,FALSE)</formula>
    </cfRule>
    <cfRule type="expression" dxfId="1539" priority="352">
      <formula>IF(AND($E50=FALSE,$E$33=TRUE),TRUE,FALSE)</formula>
    </cfRule>
  </conditionalFormatting>
  <conditionalFormatting sqref="B53:B55">
    <cfRule type="expression" dxfId="1538" priority="345">
      <formula>IF(AND($E53=FALSE,OR($I53&lt;&gt;"",$L53&lt;&gt;"")),TRUE,FALSE)</formula>
    </cfRule>
    <cfRule type="expression" dxfId="1537" priority="346">
      <formula>IF(AND($E53=TRUE,OR($I53="",$J53="")),TRUE,FALSE)</formula>
    </cfRule>
    <cfRule type="expression" dxfId="1536" priority="347">
      <formula>IF(AND($E53=TRUE,OR($I53&lt;&gt;"",$L53="")),TRUE,FALSE)</formula>
    </cfRule>
    <cfRule type="expression" dxfId="1535" priority="348">
      <formula>IF(AND($E53=FALSE,$E$33=TRUE),TRUE,FALSE)</formula>
    </cfRule>
  </conditionalFormatting>
  <conditionalFormatting sqref="B57:B58">
    <cfRule type="expression" dxfId="1534" priority="341">
      <formula>IF(AND($E57=FALSE,OR($I57&lt;&gt;"",$L57&lt;&gt;"")),TRUE,FALSE)</formula>
    </cfRule>
    <cfRule type="expression" dxfId="1533" priority="342">
      <formula>IF(AND($E57=TRUE,OR($I57="",$J57="")),TRUE,FALSE)</formula>
    </cfRule>
    <cfRule type="expression" dxfId="1532" priority="343">
      <formula>IF(AND($E57=TRUE,OR($I57&lt;&gt;"",$L57="")),TRUE,FALSE)</formula>
    </cfRule>
    <cfRule type="expression" dxfId="1531" priority="344">
      <formula>IF(AND($E57=FALSE,$E$56=TRUE),TRUE,FALSE)</formula>
    </cfRule>
  </conditionalFormatting>
  <conditionalFormatting sqref="B60:B64">
    <cfRule type="expression" dxfId="1530" priority="337">
      <formula>IF(AND($E60=FALSE,OR($I60&lt;&gt;"",$L60&lt;&gt;"")),TRUE,FALSE)</formula>
    </cfRule>
    <cfRule type="expression" dxfId="1529" priority="338">
      <formula>IF(AND($E60=TRUE,OR($I60="",$J60="")),TRUE,FALSE)</formula>
    </cfRule>
    <cfRule type="expression" dxfId="1528" priority="339">
      <formula>IF(AND($E60=TRUE,OR($I60&lt;&gt;"",$L60="")),TRUE,FALSE)</formula>
    </cfRule>
    <cfRule type="expression" dxfId="1527" priority="340">
      <formula>IF(AND($E60=FALSE,$E$33=TRUE),TRUE,FALSE)</formula>
    </cfRule>
  </conditionalFormatting>
  <conditionalFormatting sqref="D35:D37">
    <cfRule type="expression" dxfId="1526" priority="334">
      <formula>IF($D35="Compliant",TRUE)</formula>
    </cfRule>
    <cfRule type="expression" dxfId="1525" priority="335">
      <formula>IF($D35="",TRUE)</formula>
    </cfRule>
    <cfRule type="expression" dxfId="1524" priority="336">
      <formula>IF($D35="Not Compliant",TRUE)</formula>
    </cfRule>
  </conditionalFormatting>
  <conditionalFormatting sqref="D39:D41">
    <cfRule type="expression" dxfId="1523" priority="331">
      <formula>IF($D39="Compliant",TRUE)</formula>
    </cfRule>
    <cfRule type="expression" dxfId="1522" priority="332">
      <formula>IF($D39="",TRUE)</formula>
    </cfRule>
    <cfRule type="expression" dxfId="1521" priority="333">
      <formula>IF($D39="Not Compliant",TRUE)</formula>
    </cfRule>
  </conditionalFormatting>
  <conditionalFormatting sqref="D43:D45">
    <cfRule type="expression" dxfId="1520" priority="328">
      <formula>IF($D43="Compliant",TRUE)</formula>
    </cfRule>
    <cfRule type="expression" dxfId="1519" priority="329">
      <formula>IF($D43="",TRUE)</formula>
    </cfRule>
    <cfRule type="expression" dxfId="1518" priority="330">
      <formula>IF($D43="Not Compliant",TRUE)</formula>
    </cfRule>
  </conditionalFormatting>
  <conditionalFormatting sqref="D47:D48">
    <cfRule type="expression" dxfId="1517" priority="325">
      <formula>IF($D47="Compliant",TRUE)</formula>
    </cfRule>
    <cfRule type="expression" dxfId="1516" priority="326">
      <formula>IF($D47="",TRUE)</formula>
    </cfRule>
    <cfRule type="expression" dxfId="1515" priority="327">
      <formula>IF($D47="Not Compliant",TRUE)</formula>
    </cfRule>
  </conditionalFormatting>
  <conditionalFormatting sqref="D50:D51">
    <cfRule type="expression" dxfId="1514" priority="322">
      <formula>IF($D50="Compliant",TRUE)</formula>
    </cfRule>
    <cfRule type="expression" dxfId="1513" priority="323">
      <formula>IF($D50="",TRUE)</formula>
    </cfRule>
    <cfRule type="expression" dxfId="1512" priority="324">
      <formula>IF($D50="Not Compliant",TRUE)</formula>
    </cfRule>
  </conditionalFormatting>
  <conditionalFormatting sqref="D53:D55">
    <cfRule type="expression" dxfId="1511" priority="319">
      <formula>IF($D53="Compliant",TRUE)</formula>
    </cfRule>
    <cfRule type="expression" dxfId="1510" priority="320">
      <formula>IF($D53="",TRUE)</formula>
    </cfRule>
    <cfRule type="expression" dxfId="1509" priority="321">
      <formula>IF($D53="Not Compliant",TRUE)</formula>
    </cfRule>
  </conditionalFormatting>
  <conditionalFormatting sqref="D57:D58">
    <cfRule type="expression" dxfId="1508" priority="316">
      <formula>IF($D57="Compliant",TRUE)</formula>
    </cfRule>
    <cfRule type="expression" dxfId="1507" priority="317">
      <formula>IF($D57="",TRUE)</formula>
    </cfRule>
    <cfRule type="expression" dxfId="1506" priority="318">
      <formula>IF($D57="Not Compliant",TRUE)</formula>
    </cfRule>
  </conditionalFormatting>
  <conditionalFormatting sqref="D60:D64">
    <cfRule type="expression" dxfId="1505" priority="313">
      <formula>IF($D60="Compliant",TRUE)</formula>
    </cfRule>
    <cfRule type="expression" dxfId="1504" priority="314">
      <formula>IF($D60="",TRUE)</formula>
    </cfRule>
    <cfRule type="expression" dxfId="1503" priority="315">
      <formula>IF($D60="Not Compliant",TRUE)</formula>
    </cfRule>
  </conditionalFormatting>
  <conditionalFormatting sqref="D73:D74">
    <cfRule type="expression" dxfId="1502" priority="310">
      <formula>IF($D73="Compliant",TRUE)</formula>
    </cfRule>
    <cfRule type="expression" dxfId="1501" priority="311">
      <formula>IF($D73="",TRUE)</formula>
    </cfRule>
    <cfRule type="expression" dxfId="1500" priority="312">
      <formula>IF($D73="Not Compliant",TRUE)</formula>
    </cfRule>
  </conditionalFormatting>
  <conditionalFormatting sqref="D76:D77">
    <cfRule type="expression" dxfId="1499" priority="307">
      <formula>IF($D76="Compliant",TRUE)</formula>
    </cfRule>
    <cfRule type="expression" dxfId="1498" priority="308">
      <formula>IF($D76="",TRUE)</formula>
    </cfRule>
    <cfRule type="expression" dxfId="1497" priority="309">
      <formula>IF($D76="Not Compliant",TRUE)</formula>
    </cfRule>
  </conditionalFormatting>
  <conditionalFormatting sqref="D83:D85">
    <cfRule type="expression" dxfId="1496" priority="304">
      <formula>IF($D83="Compliant",TRUE)</formula>
    </cfRule>
    <cfRule type="expression" dxfId="1495" priority="305">
      <formula>IF($D83="",TRUE)</formula>
    </cfRule>
    <cfRule type="expression" dxfId="1494" priority="306">
      <formula>IF($D83="Not Compliant",TRUE)</formula>
    </cfRule>
  </conditionalFormatting>
  <conditionalFormatting sqref="D66:D70">
    <cfRule type="expression" dxfId="1493" priority="301">
      <formula>IF($D66="Compliant",TRUE)</formula>
    </cfRule>
    <cfRule type="expression" dxfId="1492" priority="302">
      <formula>IF($D66="",TRUE)</formula>
    </cfRule>
    <cfRule type="expression" dxfId="1491" priority="303">
      <formula>IF($D66="Not Compliant",TRUE)</formula>
    </cfRule>
  </conditionalFormatting>
  <conditionalFormatting sqref="B66:B70">
    <cfRule type="expression" dxfId="1490" priority="417">
      <formula>IF(AND($E66=FALSE,OR($I66&lt;&gt;"",$L66&lt;&gt;"")),TRUE,FALSE)</formula>
    </cfRule>
    <cfRule type="expression" dxfId="1489" priority="418">
      <formula>IF(AND($E66=TRUE,OR($I66="",$J66="")),TRUE,FALSE)</formula>
    </cfRule>
    <cfRule type="expression" dxfId="1488" priority="419">
      <formula>IF(AND($E66=TRUE,OR($I66&lt;&gt;"",$L66="")),TRUE,FALSE)</formula>
    </cfRule>
  </conditionalFormatting>
  <conditionalFormatting sqref="B68:B69">
    <cfRule type="expression" dxfId="1487" priority="296">
      <formula>IF(AND($E$65=TRUE,$E68=FALSE),TRUE,FALSE)</formula>
    </cfRule>
    <cfRule type="expression" dxfId="1486" priority="416">
      <formula>IF(AND($E$68=TRUE,$E$69=TRUE),TRUE,FALSE)</formula>
    </cfRule>
  </conditionalFormatting>
  <conditionalFormatting sqref="D79:D81">
    <cfRule type="expression" dxfId="1485" priority="298">
      <formula>IF($D79="Compliant",TRUE)</formula>
    </cfRule>
    <cfRule type="expression" dxfId="1484" priority="299">
      <formula>IF($D79="",TRUE)</formula>
    </cfRule>
    <cfRule type="expression" dxfId="1483" priority="300">
      <formula>IF($D79="Not Compliant",TRUE)</formula>
    </cfRule>
  </conditionalFormatting>
  <conditionalFormatting sqref="B34 D34">
    <cfRule type="expression" dxfId="1482" priority="297">
      <formula>IF($E34,TRUE)</formula>
    </cfRule>
  </conditionalFormatting>
  <conditionalFormatting sqref="B89 D89">
    <cfRule type="expression" dxfId="1481" priority="292">
      <formula>IF($E89,TRUE)</formula>
    </cfRule>
  </conditionalFormatting>
  <conditionalFormatting sqref="D90:D91">
    <cfRule type="expression" dxfId="1480" priority="289">
      <formula>IF($D90="Compliant",TRUE)</formula>
    </cfRule>
    <cfRule type="expression" dxfId="1479" priority="290">
      <formula>IF($D90="",TRUE)</formula>
    </cfRule>
    <cfRule type="expression" dxfId="1478" priority="291">
      <formula>IF($D90="Not Compliant",TRUE)</formula>
    </cfRule>
  </conditionalFormatting>
  <conditionalFormatting sqref="B90:B92">
    <cfRule type="expression" dxfId="1477" priority="293">
      <formula>IF(AND($E90=FALSE,OR($I90&lt;&gt;"",$L90&lt;&gt;"")),TRUE,FALSE)</formula>
    </cfRule>
    <cfRule type="expression" dxfId="1476" priority="294">
      <formula>IF(AND($E90=TRUE,OR($I90="",$J90="")),TRUE,FALSE)</formula>
    </cfRule>
    <cfRule type="expression" dxfId="1475" priority="295">
      <formula>IF(AND($E90=TRUE,OR($I90&lt;&gt;"",$L90="")),TRUE,FALSE)</formula>
    </cfRule>
  </conditionalFormatting>
  <conditionalFormatting sqref="Q90:Q92">
    <cfRule type="expression" dxfId="1474" priority="277">
      <formula>IF(Q90="Compliant",TRUE)</formula>
    </cfRule>
    <cfRule type="expression" dxfId="1473" priority="278">
      <formula>IF(Q90="FE with work-a-round",TRUE)</formula>
    </cfRule>
    <cfRule type="expression" dxfId="1472" priority="279">
      <formula>IF(Q90="Functionally Equivalent",TRUE)</formula>
    </cfRule>
    <cfRule type="expression" dxfId="1471" priority="280">
      <formula>IF(Q90="Likely to become compliant",TRUE)</formula>
    </cfRule>
    <cfRule type="expression" dxfId="1470" priority="281">
      <formula>IF(Q90="Partly Compliant",TRUE)</formula>
    </cfRule>
    <cfRule type="expression" dxfId="1469" priority="282">
      <formula>IF(Q90="Unknown/Missing",TRUE)</formula>
    </cfRule>
    <cfRule type="expression" dxfId="1468" priority="283">
      <formula>IF(Q90="Not Required/Applicable",TRUE)</formula>
    </cfRule>
    <cfRule type="expression" dxfId="1467" priority="284">
      <formula>IF(Q90="Not Compliant",TRUE)</formula>
    </cfRule>
    <cfRule type="expression" dxfId="1466" priority="285">
      <formula>IF(Q90=" ",TRUE)</formula>
    </cfRule>
  </conditionalFormatting>
  <conditionalFormatting sqref="Q83:Q85">
    <cfRule type="expression" dxfId="1465" priority="268">
      <formula>IF($Q83="Compliant",TRUE)</formula>
    </cfRule>
    <cfRule type="expression" dxfId="1464" priority="269">
      <formula>IF($Q83="FE with work-a-round",TRUE)</formula>
    </cfRule>
    <cfRule type="expression" dxfId="1463" priority="270">
      <formula>IF($Q83="Functionally Equivalent",TRUE)</formula>
    </cfRule>
    <cfRule type="expression" dxfId="1462" priority="271">
      <formula>IF($Q83="Likely to become compliant",TRUE)</formula>
    </cfRule>
    <cfRule type="expression" dxfId="1461" priority="272">
      <formula>IF($Q83="Partly Compliant",TRUE)</formula>
    </cfRule>
    <cfRule type="expression" dxfId="1460" priority="273">
      <formula>IF($Q83="Unknown/Missing",TRUE)</formula>
    </cfRule>
    <cfRule type="expression" dxfId="1459" priority="274">
      <formula>IF($Q83="Not Required/Applicable",TRUE)</formula>
    </cfRule>
    <cfRule type="expression" dxfId="1458" priority="275">
      <formula>IF($Q83="Not Compliant",TRUE)</formula>
    </cfRule>
    <cfRule type="expression" dxfId="1457" priority="276">
      <formula>IF($Q83=" ",TRUE)</formula>
    </cfRule>
  </conditionalFormatting>
  <conditionalFormatting sqref="Q79:Q81">
    <cfRule type="expression" dxfId="1456" priority="259">
      <formula>IF($Q79="Compliant",TRUE)</formula>
    </cfRule>
    <cfRule type="expression" dxfId="1455" priority="260">
      <formula>IF($Q79="FE with work-a-round",TRUE)</formula>
    </cfRule>
    <cfRule type="expression" dxfId="1454" priority="261">
      <formula>IF($Q79="Functionally Equivalent",TRUE)</formula>
    </cfRule>
    <cfRule type="expression" dxfId="1453" priority="262">
      <formula>IF($Q79="Likely to become compliant",TRUE)</formula>
    </cfRule>
    <cfRule type="expression" dxfId="1452" priority="263">
      <formula>IF($Q79="Partly Compliant",TRUE)</formula>
    </cfRule>
    <cfRule type="expression" dxfId="1451" priority="264">
      <formula>IF($Q79="Unknown/Missing",TRUE)</formula>
    </cfRule>
    <cfRule type="expression" dxfId="1450" priority="265">
      <formula>IF($Q79="Not Required/Applicable",TRUE)</formula>
    </cfRule>
    <cfRule type="expression" dxfId="1449" priority="266">
      <formula>IF($Q79="Not Compliant",TRUE)</formula>
    </cfRule>
    <cfRule type="expression" dxfId="1448" priority="267">
      <formula>IF($Q79=" ",TRUE)</formula>
    </cfRule>
  </conditionalFormatting>
  <conditionalFormatting sqref="Q76:Q77">
    <cfRule type="expression" dxfId="1447" priority="250">
      <formula>IF($Q76="Compliant",TRUE)</formula>
    </cfRule>
    <cfRule type="expression" dxfId="1446" priority="251">
      <formula>IF($Q76="FE with work-a-round",TRUE)</formula>
    </cfRule>
    <cfRule type="expression" dxfId="1445" priority="252">
      <formula>IF($Q76="Functionally Equivalent",TRUE)</formula>
    </cfRule>
    <cfRule type="expression" dxfId="1444" priority="253">
      <formula>IF($Q76="Likely to become compliant",TRUE)</formula>
    </cfRule>
    <cfRule type="expression" dxfId="1443" priority="254">
      <formula>IF($Q76="Partly Compliant",TRUE)</formula>
    </cfRule>
    <cfRule type="expression" dxfId="1442" priority="255">
      <formula>IF($Q76="Unknown/Missing",TRUE)</formula>
    </cfRule>
    <cfRule type="expression" dxfId="1441" priority="256">
      <formula>IF($Q76="Not Required/Applicable",TRUE)</formula>
    </cfRule>
    <cfRule type="expression" dxfId="1440" priority="257">
      <formula>IF($Q76="Not Compliant",TRUE)</formula>
    </cfRule>
    <cfRule type="expression" dxfId="1439" priority="258">
      <formula>IF($Q76=" ",TRUE)</formula>
    </cfRule>
  </conditionalFormatting>
  <conditionalFormatting sqref="Q73:Q74">
    <cfRule type="expression" dxfId="1438" priority="241">
      <formula>IF($Q73="Compliant",TRUE)</formula>
    </cfRule>
    <cfRule type="expression" dxfId="1437" priority="242">
      <formula>IF($Q73="FE with work-a-round",TRUE)</formula>
    </cfRule>
    <cfRule type="expression" dxfId="1436" priority="243">
      <formula>IF($Q73="Functionally Equivalent",TRUE)</formula>
    </cfRule>
    <cfRule type="expression" dxfId="1435" priority="244">
      <formula>IF($Q73="Likely to become compliant",TRUE)</formula>
    </cfRule>
    <cfRule type="expression" dxfId="1434" priority="245">
      <formula>IF($Q73="Partly Compliant",TRUE)</formula>
    </cfRule>
    <cfRule type="expression" dxfId="1433" priority="246">
      <formula>IF($Q73="Unknown/Missing",TRUE)</formula>
    </cfRule>
    <cfRule type="expression" dxfId="1432" priority="247">
      <formula>IF($Q73="Not Required/Applicable",TRUE)</formula>
    </cfRule>
    <cfRule type="expression" dxfId="1431" priority="248">
      <formula>IF($Q73="Not Compliant",TRUE)</formula>
    </cfRule>
    <cfRule type="expression" dxfId="1430" priority="249">
      <formula>IF($Q73=" ",TRUE)</formula>
    </cfRule>
  </conditionalFormatting>
  <conditionalFormatting sqref="Q66:Q67 Q70">
    <cfRule type="expression" dxfId="1429" priority="232">
      <formula>IF($Q66="Compliant",TRUE)</formula>
    </cfRule>
    <cfRule type="expression" dxfId="1428" priority="233">
      <formula>IF($Q66="FE with work-a-round",TRUE)</formula>
    </cfRule>
    <cfRule type="expression" dxfId="1427" priority="234">
      <formula>IF($Q66="Functionally Equivalent",TRUE)</formula>
    </cfRule>
    <cfRule type="expression" dxfId="1426" priority="235">
      <formula>IF($Q66="Likely to become compliant",TRUE)</formula>
    </cfRule>
    <cfRule type="expression" dxfId="1425" priority="236">
      <formula>IF($Q66="Partly Compliant",TRUE)</formula>
    </cfRule>
    <cfRule type="expression" dxfId="1424" priority="237">
      <formula>IF($Q66="Unknown/Missing",TRUE)</formula>
    </cfRule>
    <cfRule type="expression" dxfId="1423" priority="238">
      <formula>IF($Q66="Not Required/Applicable",TRUE)</formula>
    </cfRule>
    <cfRule type="expression" dxfId="1422" priority="239">
      <formula>IF($Q66="Not Compliant",TRUE)</formula>
    </cfRule>
    <cfRule type="expression" dxfId="1421" priority="240">
      <formula>IF($Q66="",TRUE)</formula>
    </cfRule>
  </conditionalFormatting>
  <conditionalFormatting sqref="Q60:Q64">
    <cfRule type="expression" dxfId="1420" priority="223">
      <formula>IF($Q60="Compliant",TRUE)</formula>
    </cfRule>
    <cfRule type="expression" dxfId="1419" priority="224">
      <formula>IF($Q60="FE with work-a-round",TRUE)</formula>
    </cfRule>
    <cfRule type="expression" dxfId="1418" priority="225">
      <formula>IF($Q60="Functionally Equivalent",TRUE)</formula>
    </cfRule>
    <cfRule type="expression" dxfId="1417" priority="226">
      <formula>IF($Q60="Likely to become compliant",TRUE)</formula>
    </cfRule>
    <cfRule type="expression" dxfId="1416" priority="227">
      <formula>IF($Q60="Partly Compliant",TRUE)</formula>
    </cfRule>
    <cfRule type="expression" dxfId="1415" priority="228">
      <formula>IF($Q60="Unknown/Missing",TRUE)</formula>
    </cfRule>
    <cfRule type="expression" dxfId="1414" priority="229">
      <formula>IF($Q60="Not Required/Applicable",TRUE)</formula>
    </cfRule>
    <cfRule type="expression" dxfId="1413" priority="230">
      <formula>IF($Q60="Not Compliant",TRUE)</formula>
    </cfRule>
    <cfRule type="expression" dxfId="1412" priority="231">
      <formula>IF($Q60=" ",TRUE)</formula>
    </cfRule>
  </conditionalFormatting>
  <conditionalFormatting sqref="Q57:Q58">
    <cfRule type="expression" dxfId="1411" priority="214">
      <formula>IF($Q57="Compliant",TRUE)</formula>
    </cfRule>
    <cfRule type="expression" dxfId="1410" priority="215">
      <formula>IF($Q57="FE with work-a-round",TRUE)</formula>
    </cfRule>
    <cfRule type="expression" dxfId="1409" priority="216">
      <formula>IF($Q57="Functionally Equivalent",TRUE)</formula>
    </cfRule>
    <cfRule type="expression" dxfId="1408" priority="217">
      <formula>IF($Q57="Likely to become compliant",TRUE)</formula>
    </cfRule>
    <cfRule type="expression" dxfId="1407" priority="218">
      <formula>IF($Q57="Partly Compliant",TRUE)</formula>
    </cfRule>
    <cfRule type="expression" dxfId="1406" priority="219">
      <formula>IF($Q57="Unknown/Missing",TRUE)</formula>
    </cfRule>
    <cfRule type="expression" dxfId="1405" priority="220">
      <formula>IF($Q57="Not Required/Applicable",TRUE)</formula>
    </cfRule>
    <cfRule type="expression" dxfId="1404" priority="221">
      <formula>IF($Q57="Not Compliant",TRUE)</formula>
    </cfRule>
    <cfRule type="expression" dxfId="1403" priority="222">
      <formula>IF($Q57=" ",TRUE)</formula>
    </cfRule>
  </conditionalFormatting>
  <conditionalFormatting sqref="Q53:Q55">
    <cfRule type="expression" dxfId="1402" priority="205">
      <formula>IF($Q53="Compliant",TRUE)</formula>
    </cfRule>
    <cfRule type="expression" dxfId="1401" priority="206">
      <formula>IF($Q53="FE with work-a-round",TRUE)</formula>
    </cfRule>
    <cfRule type="expression" dxfId="1400" priority="207">
      <formula>IF($Q53="Functionally Equivalent",TRUE)</formula>
    </cfRule>
    <cfRule type="expression" dxfId="1399" priority="208">
      <formula>IF($Q53="Likely to become compliant",TRUE)</formula>
    </cfRule>
    <cfRule type="expression" dxfId="1398" priority="209">
      <formula>IF($Q53="Partly Compliant",TRUE)</formula>
    </cfRule>
    <cfRule type="expression" dxfId="1397" priority="210">
      <formula>IF($Q53="Unknown/Missing",TRUE)</formula>
    </cfRule>
    <cfRule type="expression" dxfId="1396" priority="211">
      <formula>IF($Q53="Not Required/Applicable",TRUE)</formula>
    </cfRule>
    <cfRule type="expression" dxfId="1395" priority="212">
      <formula>IF($Q53="Not Compliant",TRUE)</formula>
    </cfRule>
    <cfRule type="expression" dxfId="1394" priority="213">
      <formula>IF($Q53=" ",TRUE)</formula>
    </cfRule>
  </conditionalFormatting>
  <conditionalFormatting sqref="Q50:Q51">
    <cfRule type="expression" dxfId="1393" priority="196">
      <formula>IF($Q50="Compliant",TRUE)</formula>
    </cfRule>
    <cfRule type="expression" dxfId="1392" priority="197">
      <formula>IF($Q50="FE with work-a-round",TRUE)</formula>
    </cfRule>
    <cfRule type="expression" dxfId="1391" priority="198">
      <formula>IF($Q50="Functionally Equivalent",TRUE)</formula>
    </cfRule>
    <cfRule type="expression" dxfId="1390" priority="199">
      <formula>IF($Q50="Likely to become compliant",TRUE)</formula>
    </cfRule>
    <cfRule type="expression" dxfId="1389" priority="200">
      <formula>IF($Q50="Partly Compliant",TRUE)</formula>
    </cfRule>
    <cfRule type="expression" dxfId="1388" priority="201">
      <formula>IF($Q50="Unknown/Missing",TRUE)</formula>
    </cfRule>
    <cfRule type="expression" dxfId="1387" priority="202">
      <formula>IF($Q50="Not Required/Applicable",TRUE)</formula>
    </cfRule>
    <cfRule type="expression" dxfId="1386" priority="203">
      <formula>IF($Q50="Not Compliant",TRUE)</formula>
    </cfRule>
    <cfRule type="expression" dxfId="1385" priority="204">
      <formula>IF($Q50=" ",TRUE)</formula>
    </cfRule>
  </conditionalFormatting>
  <conditionalFormatting sqref="Q47:Q48">
    <cfRule type="expression" dxfId="1384" priority="187">
      <formula>IF($Q47="Compliant",TRUE)</formula>
    </cfRule>
    <cfRule type="expression" dxfId="1383" priority="188">
      <formula>IF($Q47="FE with work-a-round",TRUE)</formula>
    </cfRule>
    <cfRule type="expression" dxfId="1382" priority="189">
      <formula>IF($Q47="Functionally Equivalent",TRUE)</formula>
    </cfRule>
    <cfRule type="expression" dxfId="1381" priority="190">
      <formula>IF($Q47="Likely to become compliant",TRUE)</formula>
    </cfRule>
    <cfRule type="expression" dxfId="1380" priority="191">
      <formula>IF($Q47="Partly Compliant",TRUE)</formula>
    </cfRule>
    <cfRule type="expression" dxfId="1379" priority="192">
      <formula>IF($Q47="Unknown/Missing",TRUE)</formula>
    </cfRule>
    <cfRule type="expression" dxfId="1378" priority="193">
      <formula>IF($Q47="Not Required/Applicable",TRUE)</formula>
    </cfRule>
    <cfRule type="expression" dxfId="1377" priority="194">
      <formula>IF($Q47="Not Compliant",TRUE)</formula>
    </cfRule>
    <cfRule type="expression" dxfId="1376" priority="195">
      <formula>IF($Q47=" ",TRUE)</formula>
    </cfRule>
  </conditionalFormatting>
  <conditionalFormatting sqref="Q39:Q41">
    <cfRule type="expression" dxfId="1375" priority="178">
      <formula>IF($Q39="Compliant",TRUE)</formula>
    </cfRule>
    <cfRule type="expression" dxfId="1374" priority="179">
      <formula>IF($Q39="FE with work-a-round",TRUE)</formula>
    </cfRule>
    <cfRule type="expression" dxfId="1373" priority="180">
      <formula>IF($Q39="Functionally Equivalent",TRUE)</formula>
    </cfRule>
    <cfRule type="expression" dxfId="1372" priority="181">
      <formula>IF($Q39="Likely to become compliant",TRUE)</formula>
    </cfRule>
    <cfRule type="expression" dxfId="1371" priority="182">
      <formula>IF($Q39="Partly Compliant",TRUE)</formula>
    </cfRule>
    <cfRule type="expression" dxfId="1370" priority="183">
      <formula>IF($Q39="Unknown/Missing",TRUE)</formula>
    </cfRule>
    <cfRule type="expression" dxfId="1369" priority="184">
      <formula>IF($Q39="Not Required/Applicable",TRUE)</formula>
    </cfRule>
    <cfRule type="expression" dxfId="1368" priority="185">
      <formula>IF($Q39="Not Compliant",TRUE)</formula>
    </cfRule>
    <cfRule type="expression" dxfId="1367" priority="186">
      <formula>IF($Q39=" ",TRUE)</formula>
    </cfRule>
  </conditionalFormatting>
  <conditionalFormatting sqref="Q35:Q37">
    <cfRule type="expression" dxfId="1366" priority="169">
      <formula>IF($Q35="Compliant",TRUE)</formula>
    </cfRule>
    <cfRule type="expression" dxfId="1365" priority="170">
      <formula>IF($Q35="FE with work-a-round",TRUE)</formula>
    </cfRule>
    <cfRule type="expression" dxfId="1364" priority="171">
      <formula>IF($Q35="Functionally Equivalent",TRUE)</formula>
    </cfRule>
    <cfRule type="expression" dxfId="1363" priority="172">
      <formula>IF($Q35="Likely to become compliant",TRUE)</formula>
    </cfRule>
    <cfRule type="expression" dxfId="1362" priority="173">
      <formula>IF($Q35="Partly Compliant",TRUE)</formula>
    </cfRule>
    <cfRule type="expression" dxfId="1361" priority="174">
      <formula>IF($Q35="Unknown/Missing",TRUE)</formula>
    </cfRule>
    <cfRule type="expression" dxfId="1360" priority="175">
      <formula>IF($Q35="Not Required/Applicable",TRUE)</formula>
    </cfRule>
    <cfRule type="expression" dxfId="1359" priority="176">
      <formula>IF($Q35="Not Compliant",TRUE)</formula>
    </cfRule>
    <cfRule type="expression" dxfId="1358" priority="177">
      <formula>IF($Q35=" ",TRUE)</formula>
    </cfRule>
  </conditionalFormatting>
  <conditionalFormatting sqref="Q26:Q29">
    <cfRule type="expression" dxfId="1357" priority="160">
      <formula>IF($Q26="Compliant",TRUE)</formula>
    </cfRule>
    <cfRule type="expression" dxfId="1356" priority="161">
      <formula>IF($Q26="FE with work-a-round",TRUE)</formula>
    </cfRule>
    <cfRule type="expression" dxfId="1355" priority="162">
      <formula>IF($Q26="Functionally Equivalent",TRUE)</formula>
    </cfRule>
    <cfRule type="expression" dxfId="1354" priority="163">
      <formula>IF($Q26="Likely to become compliant",TRUE)</formula>
    </cfRule>
    <cfRule type="expression" dxfId="1353" priority="164">
      <formula>IF($Q26="Partly Compliant",TRUE)</formula>
    </cfRule>
    <cfRule type="expression" dxfId="1352" priority="165">
      <formula>IF($Q26="Unknown/Missing",TRUE)</formula>
    </cfRule>
    <cfRule type="expression" dxfId="1351" priority="166">
      <formula>IF($Q26="Not Required/Applicable",TRUE)</formula>
    </cfRule>
    <cfRule type="expression" dxfId="1350" priority="167">
      <formula>IF($Q26="Not Compliant",TRUE)</formula>
    </cfRule>
    <cfRule type="expression" dxfId="1349" priority="168">
      <formula>IF($Q26=" ",TRUE)</formula>
    </cfRule>
  </conditionalFormatting>
  <conditionalFormatting sqref="N19">
    <cfRule type="expression" dxfId="1348" priority="147">
      <formula>IF($N19="Unknown/Missing",TRUE)</formula>
    </cfRule>
    <cfRule type="expression" dxfId="1347" priority="148">
      <formula>IF($N19="Not Required/Applicable",TRUE)</formula>
    </cfRule>
    <cfRule type="expression" dxfId="1346" priority="149">
      <formula>IF($N19="Not Compliant",TRUE)</formula>
    </cfRule>
    <cfRule type="expression" dxfId="1345" priority="150">
      <formula>IF($N19=" ",TRUE)</formula>
    </cfRule>
  </conditionalFormatting>
  <conditionalFormatting sqref="Q18">
    <cfRule type="expression" dxfId="1344" priority="141">
      <formula>IF($R$18=FALSE,TRUE,FALSE)</formula>
    </cfRule>
    <cfRule type="expression" dxfId="1343" priority="142">
      <formula>IF($R$18=TRUE,TRUE,FALSE)</formula>
    </cfRule>
  </conditionalFormatting>
  <conditionalFormatting sqref="N18">
    <cfRule type="expression" dxfId="1342" priority="139">
      <formula>IF($O$18=FALSE,TRUE,FALSE)</formula>
    </cfRule>
    <cfRule type="expression" dxfId="1341" priority="140">
      <formula>IF($O$18=TRUE,TRUE,FALSE)</formula>
    </cfRule>
  </conditionalFormatting>
  <conditionalFormatting sqref="V18">
    <cfRule type="expression" dxfId="1340" priority="137">
      <formula>IF($W18=FALSE,TRUE,FALSE)</formula>
    </cfRule>
    <cfRule type="expression" dxfId="1339" priority="138">
      <formula>IF($W18=TRUE,TRUE,FALSE)</formula>
    </cfRule>
  </conditionalFormatting>
  <conditionalFormatting sqref="N25">
    <cfRule type="expression" dxfId="1338" priority="135">
      <formula>IF(O25=FALSE,TRUE,FALSE)</formula>
    </cfRule>
    <cfRule type="expression" dxfId="1337" priority="136">
      <formula>IF(O25=TRUE,TRUE,FALSE)</formula>
    </cfRule>
  </conditionalFormatting>
  <conditionalFormatting sqref="Q25">
    <cfRule type="expression" dxfId="1336" priority="124">
      <formula>IF(R25=FALSE,TRUE,FALSE)</formula>
    </cfRule>
    <cfRule type="expression" dxfId="1335" priority="125">
      <formula>IF(R25=TRUE,TRUE,FALSE)</formula>
    </cfRule>
  </conditionalFormatting>
  <conditionalFormatting sqref="V25">
    <cfRule type="expression" dxfId="1334" priority="122">
      <formula>IF(W25=FALSE,TRUE,FALSE)</formula>
    </cfRule>
    <cfRule type="expression" dxfId="1333" priority="123">
      <formula>IF(W25=TRUE,TRUE,FALSE)</formula>
    </cfRule>
  </conditionalFormatting>
  <conditionalFormatting sqref="N33">
    <cfRule type="expression" dxfId="1332" priority="120">
      <formula>IF(O33=FALSE,TRUE,FALSE)</formula>
    </cfRule>
    <cfRule type="expression" dxfId="1331" priority="121">
      <formula>IF(O33=TRUE,TRUE,FALSE)</formula>
    </cfRule>
  </conditionalFormatting>
  <conditionalFormatting sqref="Q33">
    <cfRule type="expression" dxfId="1330" priority="118">
      <formula>IF(R33=FALSE,TRUE,FALSE)</formula>
    </cfRule>
    <cfRule type="expression" dxfId="1329" priority="119">
      <formula>IF(R33=TRUE,TRUE,FALSE)</formula>
    </cfRule>
  </conditionalFormatting>
  <conditionalFormatting sqref="V33">
    <cfRule type="expression" dxfId="1328" priority="116">
      <formula>IF(W33=FALSE,TRUE,FALSE)</formula>
    </cfRule>
    <cfRule type="expression" dxfId="1327" priority="117">
      <formula>IF(W33=TRUE,TRUE,FALSE)</formula>
    </cfRule>
  </conditionalFormatting>
  <conditionalFormatting sqref="Q38">
    <cfRule type="expression" dxfId="1326" priority="114">
      <formula>IF(R38=FALSE,TRUE,FALSE)</formula>
    </cfRule>
    <cfRule type="expression" dxfId="1325" priority="115">
      <formula>IF(R38=TRUE,TRUE,FALSE)</formula>
    </cfRule>
  </conditionalFormatting>
  <conditionalFormatting sqref="Q34">
    <cfRule type="expression" dxfId="1324" priority="112">
      <formula>IF(R34=FALSE,TRUE,FALSE)</formula>
    </cfRule>
    <cfRule type="expression" dxfId="1323" priority="113">
      <formula>IF(R34=TRUE,TRUE,FALSE)</formula>
    </cfRule>
  </conditionalFormatting>
  <conditionalFormatting sqref="Q42">
    <cfRule type="expression" dxfId="1322" priority="110">
      <formula>IF(R42=FALSE,TRUE,FALSE)</formula>
    </cfRule>
    <cfRule type="expression" dxfId="1321" priority="111">
      <formula>IF(R42=TRUE,TRUE,FALSE)</formula>
    </cfRule>
  </conditionalFormatting>
  <conditionalFormatting sqref="Q46">
    <cfRule type="expression" dxfId="1320" priority="108">
      <formula>IF(R46=FALSE,TRUE,FALSE)</formula>
    </cfRule>
    <cfRule type="expression" dxfId="1319" priority="109">
      <formula>IF(R46=TRUE,TRUE,FALSE)</formula>
    </cfRule>
  </conditionalFormatting>
  <conditionalFormatting sqref="Q49">
    <cfRule type="expression" dxfId="1318" priority="106">
      <formula>IF(R49=FALSE,TRUE,FALSE)</formula>
    </cfRule>
    <cfRule type="expression" dxfId="1317" priority="107">
      <formula>IF(R49=TRUE,TRUE,FALSE)</formula>
    </cfRule>
  </conditionalFormatting>
  <conditionalFormatting sqref="Q52">
    <cfRule type="expression" dxfId="1316" priority="104">
      <formula>IF(R52=FALSE,TRUE,FALSE)</formula>
    </cfRule>
    <cfRule type="expression" dxfId="1315" priority="105">
      <formula>IF(R52=TRUE,TRUE,FALSE)</formula>
    </cfRule>
  </conditionalFormatting>
  <conditionalFormatting sqref="Q56">
    <cfRule type="expression" dxfId="1314" priority="102">
      <formula>IF(R56=FALSE,TRUE,FALSE)</formula>
    </cfRule>
    <cfRule type="expression" dxfId="1313" priority="103">
      <formula>IF(R56=TRUE,TRUE,FALSE)</formula>
    </cfRule>
  </conditionalFormatting>
  <conditionalFormatting sqref="Q59">
    <cfRule type="expression" dxfId="1312" priority="100">
      <formula>IF(R59=FALSE,TRUE,FALSE)</formula>
    </cfRule>
    <cfRule type="expression" dxfId="1311" priority="101">
      <formula>IF(R59=TRUE,TRUE,FALSE)</formula>
    </cfRule>
  </conditionalFormatting>
  <conditionalFormatting sqref="Q65">
    <cfRule type="expression" dxfId="1310" priority="98">
      <formula>IF(R65=FALSE,TRUE,FALSE)</formula>
    </cfRule>
    <cfRule type="expression" dxfId="1309" priority="99">
      <formula>IF(R65=TRUE,TRUE,FALSE)</formula>
    </cfRule>
  </conditionalFormatting>
  <conditionalFormatting sqref="Q72">
    <cfRule type="expression" dxfId="1308" priority="96">
      <formula>IF(R72=FALSE,TRUE,FALSE)</formula>
    </cfRule>
    <cfRule type="expression" dxfId="1307" priority="97">
      <formula>IF(R72=TRUE,TRUE,FALSE)</formula>
    </cfRule>
  </conditionalFormatting>
  <conditionalFormatting sqref="Q75">
    <cfRule type="expression" dxfId="1306" priority="94">
      <formula>IF(R75=FALSE,TRUE,FALSE)</formula>
    </cfRule>
    <cfRule type="expression" dxfId="1305" priority="95">
      <formula>IF(R75=TRUE,TRUE,FALSE)</formula>
    </cfRule>
  </conditionalFormatting>
  <conditionalFormatting sqref="Q78">
    <cfRule type="expression" dxfId="1304" priority="92">
      <formula>IF(R78=FALSE,TRUE,FALSE)</formula>
    </cfRule>
    <cfRule type="expression" dxfId="1303" priority="93">
      <formula>IF(R78=TRUE,TRUE,FALSE)</formula>
    </cfRule>
  </conditionalFormatting>
  <conditionalFormatting sqref="Q82">
    <cfRule type="expression" dxfId="1302" priority="90">
      <formula>IF(R82=FALSE,TRUE,FALSE)</formula>
    </cfRule>
    <cfRule type="expression" dxfId="1301" priority="91">
      <formula>IF(R82=TRUE,TRUE,FALSE)</formula>
    </cfRule>
  </conditionalFormatting>
  <conditionalFormatting sqref="Q71">
    <cfRule type="expression" dxfId="1300" priority="88">
      <formula>IF(R71=FALSE,TRUE,FALSE)</formula>
    </cfRule>
    <cfRule type="expression" dxfId="1299" priority="89">
      <formula>IF(R71=TRUE,TRUE,FALSE)</formula>
    </cfRule>
  </conditionalFormatting>
  <conditionalFormatting sqref="Q89">
    <cfRule type="expression" dxfId="1298" priority="86">
      <formula>IF(R89=FALSE,TRUE,FALSE)</formula>
    </cfRule>
    <cfRule type="expression" dxfId="1297" priority="87">
      <formula>IF(R89=TRUE,TRUE,FALSE)</formula>
    </cfRule>
  </conditionalFormatting>
  <conditionalFormatting sqref="V11:V14">
    <cfRule type="expression" dxfId="1296" priority="84">
      <formula>IF($W11=FALSE,TRUE,FALSE)</formula>
    </cfRule>
    <cfRule type="expression" dxfId="1295" priority="85">
      <formula>IF($W11=TRUE,TRUE,FALSE)</formula>
    </cfRule>
  </conditionalFormatting>
  <conditionalFormatting sqref="N71">
    <cfRule type="expression" dxfId="1294" priority="82">
      <formula>IF(O71=FALSE,TRUE,FALSE)</formula>
    </cfRule>
    <cfRule type="expression" dxfId="1293" priority="83">
      <formula>IF(O71=TRUE,TRUE,FALSE)</formula>
    </cfRule>
  </conditionalFormatting>
  <conditionalFormatting sqref="V71">
    <cfRule type="expression" dxfId="1292" priority="80">
      <formula>IF(W71=FALSE,TRUE,FALSE)</formula>
    </cfRule>
    <cfRule type="expression" dxfId="1291" priority="81">
      <formula>IF(W71=TRUE,TRUE,FALSE)</formula>
    </cfRule>
  </conditionalFormatting>
  <conditionalFormatting sqref="Q11:Q14">
    <cfRule type="expression" dxfId="1290" priority="78">
      <formula>IF($R11=FALSE,TRUE,FALSE)</formula>
    </cfRule>
    <cfRule type="expression" dxfId="1289" priority="79">
      <formula>IF($R11=TRUE,TRUE,FALSE)</formula>
    </cfRule>
  </conditionalFormatting>
  <conditionalFormatting sqref="N11:N14">
    <cfRule type="expression" dxfId="1288" priority="75">
      <formula>IF($O11=FALSE,TRUE,FALSE)</formula>
    </cfRule>
    <cfRule type="expression" dxfId="1287" priority="76">
      <formula>IF($O11=TRUE,TRUE,FALSE)</formula>
    </cfRule>
  </conditionalFormatting>
  <conditionalFormatting sqref="V89">
    <cfRule type="expression" dxfId="1286" priority="65">
      <formula>IF($N89=" ",TRUE)</formula>
    </cfRule>
  </conditionalFormatting>
  <conditionalFormatting sqref="V89">
    <cfRule type="expression" dxfId="1285" priority="57">
      <formula>IF(V89="Compliant",TRUE)</formula>
    </cfRule>
    <cfRule type="expression" dxfId="1284" priority="58">
      <formula>IF(V89="FE with work-a-round",TRUE)</formula>
    </cfRule>
    <cfRule type="expression" dxfId="1283" priority="59">
      <formula>IF(V89="Functionally Equivalent",TRUE)</formula>
    </cfRule>
    <cfRule type="expression" dxfId="1282" priority="60">
      <formula>IF(V89="Likely to become compliant",TRUE)</formula>
    </cfRule>
    <cfRule type="expression" dxfId="1281" priority="61">
      <formula>IF(V89="Partly Compliant",TRUE)</formula>
    </cfRule>
    <cfRule type="expression" dxfId="1280" priority="62">
      <formula>IF(V89="Unknown/Missing",TRUE)</formula>
    </cfRule>
    <cfRule type="expression" dxfId="1279" priority="63">
      <formula>IF(V89="Not Required/Applicable",TRUE)</formula>
    </cfRule>
    <cfRule type="expression" dxfId="1278" priority="64">
      <formula>IF(V89="Not Compliant",TRUE)</formula>
    </cfRule>
  </conditionalFormatting>
  <conditionalFormatting sqref="V75 V72 V78 V82 V85">
    <cfRule type="expression" dxfId="1277" priority="56">
      <formula>IF($N72=" ",TRUE)</formula>
    </cfRule>
  </conditionalFormatting>
  <conditionalFormatting sqref="V75 V72 V78 V82 V85">
    <cfRule type="expression" dxfId="1276" priority="48">
      <formula>IF(V72="Compliant",TRUE)</formula>
    </cfRule>
    <cfRule type="expression" dxfId="1275" priority="49">
      <formula>IF(V72="FE with work-a-round",TRUE)</formula>
    </cfRule>
    <cfRule type="expression" dxfId="1274" priority="50">
      <formula>IF(V72="Functionally Equivalent",TRUE)</formula>
    </cfRule>
    <cfRule type="expression" dxfId="1273" priority="51">
      <formula>IF(V72="Likely to become compliant",TRUE)</formula>
    </cfRule>
    <cfRule type="expression" dxfId="1272" priority="52">
      <formula>IF(V72="Partly Compliant",TRUE)</formula>
    </cfRule>
    <cfRule type="expression" dxfId="1271" priority="53">
      <formula>IF(V72="Unknown/Missing",TRUE)</formula>
    </cfRule>
    <cfRule type="expression" dxfId="1270" priority="54">
      <formula>IF(V72="Not Required/Applicable",TRUE)</formula>
    </cfRule>
    <cfRule type="expression" dxfId="1269" priority="55">
      <formula>IF(V72="Not Compliant",TRUE)</formula>
    </cfRule>
  </conditionalFormatting>
  <conditionalFormatting sqref="V34 V38 V42 V46 V49 V52 V56 V59 V65">
    <cfRule type="expression" dxfId="1268" priority="47">
      <formula>IF($N34=" ",TRUE)</formula>
    </cfRule>
  </conditionalFormatting>
  <conditionalFormatting sqref="V34 V38 V42 V46 V49 V52 V56 V59 V65">
    <cfRule type="expression" dxfId="1267" priority="39">
      <formula>IF(V34="Compliant",TRUE)</formula>
    </cfRule>
    <cfRule type="expression" dxfId="1266" priority="40">
      <formula>IF(V34="FE with work-a-round",TRUE)</formula>
    </cfRule>
    <cfRule type="expression" dxfId="1265" priority="41">
      <formula>IF(V34="Functionally Equivalent",TRUE)</formula>
    </cfRule>
    <cfRule type="expression" dxfId="1264" priority="42">
      <formula>IF(V34="Likely to become compliant",TRUE)</formula>
    </cfRule>
    <cfRule type="expression" dxfId="1263" priority="43">
      <formula>IF(V34="Partly Compliant",TRUE)</formula>
    </cfRule>
    <cfRule type="expression" dxfId="1262" priority="44">
      <formula>IF(V34="Unknown/Missing",TRUE)</formula>
    </cfRule>
    <cfRule type="expression" dxfId="1261" priority="45">
      <formula>IF(V34="Not Required/Applicable",TRUE)</formula>
    </cfRule>
    <cfRule type="expression" dxfId="1260" priority="46">
      <formula>IF(V34="Not Compliant",TRUE)</formula>
    </cfRule>
  </conditionalFormatting>
  <conditionalFormatting sqref="D90:D92 D83:D85 D79:D81 D76:D77 D73:D74 D66:D70 D60:D64 D57:D58 D53:D55 D50:D51 D47:D48 D43:D45 D39:D41 D35:D37 D26:D29 D19:D21">
    <cfRule type="expression" dxfId="1259" priority="21">
      <formula>IF(D19="Compliant",TRUE)</formula>
    </cfRule>
    <cfRule type="expression" dxfId="1258" priority="22">
      <formula>IF(D19="FE with work-a-round",TRUE)</formula>
    </cfRule>
    <cfRule type="expression" dxfId="1257" priority="23">
      <formula>IF(D19="Functionally Equivalent",TRUE)</formula>
    </cfRule>
    <cfRule type="expression" dxfId="1256" priority="24">
      <formula>IF(D19="Likely to become compliant",TRUE)</formula>
    </cfRule>
    <cfRule type="expression" dxfId="1255" priority="25">
      <formula>IF(D19="Partly Compliant",TRUE)</formula>
    </cfRule>
    <cfRule type="expression" dxfId="1254" priority="26">
      <formula>IF(D19="Unknown/Missing",TRUE)</formula>
    </cfRule>
    <cfRule type="expression" dxfId="1253" priority="27">
      <formula>IF(D19="Not Required/Applicable",TRUE)</formula>
    </cfRule>
    <cfRule type="expression" dxfId="1252" priority="28">
      <formula>IF(D19="Not Compliant",TRUE)</formula>
    </cfRule>
    <cfRule type="expression" dxfId="1251" priority="29">
      <formula>IF(D19=" ",TRUE)</formula>
    </cfRule>
  </conditionalFormatting>
  <conditionalFormatting sqref="Q68:Q69">
    <cfRule type="expression" dxfId="1250" priority="2">
      <formula>IF(AND($R$68=TRUE,$R$69=TRUE),TRUE,FALSE)</formula>
    </cfRule>
    <cfRule type="expression" dxfId="1249" priority="3">
      <formula>IF(AND($R$65=TRUE,$R68=FALSE),TRUE,FALSE)</formula>
    </cfRule>
    <cfRule type="expression" dxfId="1248" priority="4">
      <formula>IF($Q68="Not Required/Applicable",TRUE,FALSE)</formula>
    </cfRule>
    <cfRule type="expression" dxfId="1247" priority="5">
      <formula>IF($Q68="Functionally Equivalent",TRUE,FALSE)</formula>
    </cfRule>
    <cfRule type="expression" dxfId="1246" priority="6">
      <formula>IF($Q68="FE with work-a-round",TRUE,FALSE)</formula>
    </cfRule>
    <cfRule type="expression" dxfId="1245" priority="7">
      <formula>IF($Q68="Compliant",TRUE,FALSE)</formula>
    </cfRule>
    <cfRule type="expression" dxfId="1244" priority="8">
      <formula>IF($Q68="Not Compliant",TRUE,FALSE)</formula>
    </cfRule>
  </conditionalFormatting>
  <conditionalFormatting sqref="N19 N26 N34:N70 N72:N85 N89">
    <cfRule type="expression" dxfId="1243" priority="77">
      <formula>IF($N19="Compliant",TRUE)</formula>
    </cfRule>
    <cfRule type="expression" dxfId="1242" priority="143">
      <formula>IF($N19="FE with work-a-round",TRUE)</formula>
    </cfRule>
    <cfRule type="expression" dxfId="1241" priority="144">
      <formula>IF($N19="Functionally Equivalent",TRUE)</formula>
    </cfRule>
    <cfRule type="expression" dxfId="1240" priority="145">
      <formula>IF($N19="Likely to become compliant",TRUE)</formula>
    </cfRule>
    <cfRule type="expression" dxfId="1239" priority="146">
      <formula>IF($N19="Partly Compliant",TRUE)</formula>
    </cfRule>
  </conditionalFormatting>
  <conditionalFormatting sqref="V19 V26 V34:V70 V72:V85 V89">
    <cfRule type="expression" dxfId="1238" priority="30">
      <formula>IF(V19="Compliant",TRUE)</formula>
    </cfRule>
    <cfRule type="expression" dxfId="1237" priority="31">
      <formula>IF(V19="FE with work-a-round",TRUE)</formula>
    </cfRule>
    <cfRule type="expression" dxfId="1236" priority="32">
      <formula>IF(V19="Functionally Equivalent",TRUE)</formula>
    </cfRule>
    <cfRule type="expression" dxfId="1235" priority="33">
      <formula>IF(V19="Likely to become compliant",TRUE)</formula>
    </cfRule>
    <cfRule type="expression" dxfId="1234" priority="34">
      <formula>IF(V19="Partly Compliant",TRUE)</formula>
    </cfRule>
    <cfRule type="expression" dxfId="1233" priority="35">
      <formula>IF(V19="Unknown/Missing",TRUE)</formula>
    </cfRule>
    <cfRule type="expression" dxfId="1232" priority="36">
      <formula>IF(V19="Not Required/Applicable",TRUE)</formula>
    </cfRule>
    <cfRule type="expression" dxfId="1231" priority="37">
      <formula>IF(V19="Not Compliant",TRUE)</formula>
    </cfRule>
    <cfRule type="expression" dxfId="1230" priority="38">
      <formula>IF($N19=" ",TRUE)</formula>
    </cfRule>
  </conditionalFormatting>
  <conditionalFormatting sqref="Q19:Q21 Q26:Q29 Q35:Q37 Q39:Q41 Q43:Q45 Q47:Q48 Q50:Q51 Q53:Q55 Q57:Q58 Q60:Q64 Q73:Q74 Q76:Q77 Q79:Q81 Q83:Q85 Q90:Q92">
    <cfRule type="expression" dxfId="1229" priority="151">
      <formula>IF($Q19="Compliant",TRUE)</formula>
    </cfRule>
    <cfRule type="expression" dxfId="1228" priority="152">
      <formula>IF($Q19="FE with work-a-round",TRUE)</formula>
    </cfRule>
    <cfRule type="expression" dxfId="1227" priority="153">
      <formula>IF($Q19="Functionally Equivalent",TRUE)</formula>
    </cfRule>
    <cfRule type="expression" dxfId="1226" priority="154">
      <formula>IF($Q19="Likely to become compliant",TRUE)</formula>
    </cfRule>
    <cfRule type="expression" dxfId="1225" priority="155">
      <formula>IF($Q19="Partly Compliant",TRUE)</formula>
    </cfRule>
    <cfRule type="expression" dxfId="1224" priority="156">
      <formula>IF($Q19="Unknown/Missing",TRUE)</formula>
    </cfRule>
    <cfRule type="expression" dxfId="1223" priority="157">
      <formula>IF($Q19="Not Required/Applicable",TRUE)</formula>
    </cfRule>
    <cfRule type="expression" dxfId="1222" priority="158">
      <formula>IF($Q19="Not Compliant",TRUE)</formula>
    </cfRule>
    <cfRule type="expression" dxfId="1221" priority="159">
      <formula>IF($Q19=" ",TRUE)</formula>
    </cfRule>
  </conditionalFormatting>
  <dataValidations count="3">
    <dataValidation type="list" allowBlank="1" showInputMessage="1" showErrorMessage="1" sqref="N86:O86">
      <formula1>Initial_Compliance</formula1>
    </dataValidation>
    <dataValidation showInputMessage="1" showErrorMessage="1" sqref="V71:W71 V18:W18 W89:W92 O89:O92"/>
    <dataValidation type="custom" allowBlank="1" showInputMessage="1" showErrorMessage="1" promptTitle="Summary Cell" prompt="You can't enter any data here" sqref="N18">
      <formula1>"Summary"</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Dropdowns!$D$16:$D$23</xm:f>
          </x14:formula1>
          <xm:sqref>D19:D21 D26:D29 D35:D37 D39:D41 D43:D45 D47:D48 D50:D51 D53:D55 D57:D58 D60:D64 D66:D70 D73:D74 D76:D77 D79:D81 D83:D85 D90:D92</xm:sqref>
        </x14:dataValidation>
        <x14:dataValidation type="list" allowBlank="1" showInputMessage="1" showErrorMessage="1">
          <x14:formula1>
            <xm:f>Dropdowns!$F$2:$F$8</xm:f>
          </x14:formula1>
          <xm:sqref>N19:N21 N26:N29 N34:N70 N72:N85 N89:N92</xm:sqref>
        </x14:dataValidation>
        <x14:dataValidation type="list" allowBlank="1" showInputMessage="1" showErrorMessage="1">
          <x14:formula1>
            <xm:f>Dropdowns!$E$11:$E$15</xm:f>
          </x14:formula1>
          <xm:sqref>Q19:Q21 Q26:Q29 Q35:Q37 Q39:Q41 Q43:Q45 Q47:Q48 Q50:Q51 Q53:Q55 Q57:Q58 Q60:Q64 Q73:Q74 Q76:Q77 Q79:Q81 Q83:Q85 Q90:Q92 Q66:Q70</xm:sqref>
        </x14:dataValidation>
        <x14:dataValidation type="list" allowBlank="1" showInputMessage="1" showErrorMessage="1">
          <x14:formula1>
            <xm:f>Dropdowns!$G$11:$G$16</xm:f>
          </x14:formula1>
          <xm:sqref>V89:V92 V26:V29 V34:V70 V72:V85 V19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E799"/>
  <sheetViews>
    <sheetView tabSelected="1" zoomScale="92" zoomScaleNormal="92" workbookViewId="0">
      <selection activeCell="X10" sqref="X10"/>
    </sheetView>
  </sheetViews>
  <sheetFormatPr defaultColWidth="8.796875" defaultRowHeight="14.5" x14ac:dyDescent="0.3"/>
  <cols>
    <col min="1" max="2" width="8.796875" style="4"/>
    <col min="3" max="3" width="17.19921875" style="4" customWidth="1"/>
    <col min="4" max="4" width="13.3984375" style="4" customWidth="1"/>
    <col min="5" max="5" width="11.19921875" style="4" customWidth="1"/>
    <col min="6" max="6" width="10.3984375" style="4" customWidth="1"/>
    <col min="7" max="23" width="8.796875" style="4"/>
    <col min="24" max="24" width="8.796875" style="1021"/>
    <col min="25" max="135" width="8.796875" style="12"/>
    <col min="136" max="16384" width="8.796875" style="4"/>
  </cols>
  <sheetData>
    <row r="1" spans="1:135" s="10" customFormat="1" ht="72.75" customHeight="1" x14ac:dyDescent="0.3">
      <c r="A1" s="4397"/>
      <c r="B1" s="4397"/>
      <c r="C1" s="4397"/>
      <c r="D1" s="4397"/>
      <c r="E1" s="4397"/>
      <c r="F1" s="4397"/>
      <c r="G1" s="3367"/>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row>
    <row r="2" spans="1:135" s="10" customFormat="1" ht="76.5" customHeight="1" x14ac:dyDescent="0.3">
      <c r="A2" s="4398" t="s">
        <v>2280</v>
      </c>
      <c r="B2" s="4399"/>
      <c r="C2" s="4399"/>
      <c r="D2" s="4399"/>
      <c r="E2" s="4399"/>
      <c r="F2" s="4399"/>
      <c r="G2" s="3366"/>
      <c r="H2" s="11"/>
      <c r="I2" s="3522"/>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row>
    <row r="3" spans="1:135" x14ac:dyDescent="0.3">
      <c r="A3" s="4397"/>
      <c r="B3" s="4397"/>
      <c r="C3" s="4397"/>
      <c r="D3" s="4397"/>
      <c r="E3" s="4397"/>
      <c r="F3" s="4397"/>
      <c r="G3" s="4397"/>
      <c r="H3" s="12"/>
      <c r="I3" s="12"/>
      <c r="J3" s="12"/>
      <c r="K3" s="12"/>
      <c r="L3" s="12"/>
      <c r="M3" s="12"/>
      <c r="N3" s="12"/>
      <c r="O3" s="12"/>
      <c r="P3" s="12"/>
      <c r="Q3" s="12"/>
      <c r="R3" s="12"/>
      <c r="S3" s="12"/>
      <c r="T3" s="12"/>
      <c r="U3" s="12"/>
      <c r="V3" s="12"/>
      <c r="W3" s="12"/>
      <c r="X3" s="12"/>
    </row>
    <row r="4" spans="1:135" s="9" customFormat="1" x14ac:dyDescent="0.3">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row>
    <row r="5" spans="1:135" ht="15" thickBot="1" x14ac:dyDescent="0.35">
      <c r="A5" s="12"/>
      <c r="B5" s="3519"/>
      <c r="C5" s="3519"/>
      <c r="D5" s="3519"/>
      <c r="E5" s="3519"/>
      <c r="F5" s="3519"/>
      <c r="G5" s="3519"/>
      <c r="H5" s="3519"/>
      <c r="I5" s="3519"/>
      <c r="J5" s="3519"/>
      <c r="K5" s="3519"/>
      <c r="L5" s="3519"/>
      <c r="M5" s="3519"/>
      <c r="N5" s="3519"/>
      <c r="O5" s="3519"/>
      <c r="P5" s="3519"/>
      <c r="Q5" s="3519"/>
      <c r="R5" s="3519"/>
      <c r="S5" s="3519"/>
      <c r="T5" s="3519"/>
      <c r="U5" s="3519"/>
      <c r="V5" s="3519"/>
      <c r="W5" s="3519"/>
      <c r="X5" s="3519"/>
      <c r="Y5" s="3519"/>
      <c r="Z5" s="3519"/>
      <c r="AA5" s="3519"/>
      <c r="AB5" s="3519"/>
    </row>
    <row r="6" spans="1:135" s="3369" customFormat="1" ht="25" customHeight="1" thickTop="1" thickBot="1" x14ac:dyDescent="0.35">
      <c r="A6" s="3520"/>
      <c r="B6" s="4386" t="s">
        <v>2270</v>
      </c>
      <c r="C6" s="4387"/>
      <c r="D6" s="4387"/>
      <c r="E6" s="4387"/>
      <c r="F6" s="4387"/>
      <c r="G6" s="4387"/>
      <c r="H6" s="4387"/>
      <c r="I6" s="4387"/>
      <c r="J6" s="4387"/>
      <c r="K6" s="4387"/>
      <c r="L6" s="4387"/>
      <c r="M6" s="4387"/>
      <c r="N6" s="4387"/>
      <c r="O6" s="4387"/>
      <c r="P6" s="4387"/>
      <c r="Q6" s="4387"/>
      <c r="R6" s="4387"/>
      <c r="S6" s="4387"/>
      <c r="T6" s="4387"/>
      <c r="U6" s="4387"/>
      <c r="V6" s="4387"/>
      <c r="W6" s="4387"/>
      <c r="X6" s="4387"/>
      <c r="Y6" s="4387"/>
      <c r="Z6" s="4387"/>
      <c r="AA6" s="4387"/>
      <c r="AB6" s="4387"/>
      <c r="AC6" s="3518"/>
      <c r="AD6" s="3368"/>
      <c r="AE6" s="3368"/>
      <c r="AF6" s="3368"/>
      <c r="AG6" s="3368"/>
      <c r="AH6" s="3368"/>
      <c r="AI6" s="3368"/>
      <c r="AJ6" s="3368"/>
      <c r="AK6" s="3368"/>
      <c r="AL6" s="3368"/>
      <c r="AM6" s="3368"/>
      <c r="AN6" s="3368"/>
      <c r="AO6" s="3368"/>
      <c r="AP6" s="3368"/>
      <c r="AQ6" s="3368"/>
      <c r="AR6" s="3368"/>
      <c r="AS6" s="3368"/>
      <c r="AT6" s="3368"/>
      <c r="AU6" s="3368"/>
      <c r="AV6" s="3368"/>
      <c r="AW6" s="3368"/>
      <c r="AX6" s="3368"/>
      <c r="AY6" s="3368"/>
      <c r="AZ6" s="3368"/>
      <c r="BA6" s="3368"/>
      <c r="BB6" s="3368"/>
      <c r="BC6" s="3368"/>
      <c r="BD6" s="3368"/>
      <c r="BE6" s="3368"/>
      <c r="BF6" s="3368"/>
      <c r="BG6" s="3368"/>
      <c r="BH6" s="3368"/>
      <c r="BI6" s="3368"/>
      <c r="BJ6" s="3368"/>
      <c r="BK6" s="3368"/>
      <c r="BL6" s="3368"/>
      <c r="BM6" s="3368"/>
      <c r="BN6" s="3368"/>
      <c r="BO6" s="3368"/>
      <c r="BP6" s="3368"/>
      <c r="BQ6" s="3368"/>
      <c r="BR6" s="3368"/>
      <c r="BS6" s="3368"/>
      <c r="BT6" s="3368"/>
      <c r="BU6" s="3368"/>
      <c r="BV6" s="3368"/>
      <c r="BW6" s="3368"/>
      <c r="BX6" s="3368"/>
      <c r="BY6" s="3368"/>
      <c r="BZ6" s="3368"/>
      <c r="CA6" s="3368"/>
      <c r="CB6" s="3368"/>
      <c r="CC6" s="3368"/>
      <c r="CD6" s="3368"/>
      <c r="CE6" s="3368"/>
      <c r="CF6" s="3368"/>
      <c r="CG6" s="3368"/>
      <c r="CH6" s="3368"/>
      <c r="CI6" s="3368"/>
      <c r="CJ6" s="3368"/>
      <c r="CK6" s="3368"/>
      <c r="CL6" s="3368"/>
      <c r="CM6" s="3368"/>
      <c r="CN6" s="3368"/>
      <c r="CO6" s="3368"/>
      <c r="CP6" s="3368"/>
      <c r="CQ6" s="3368"/>
      <c r="CR6" s="3368"/>
      <c r="CS6" s="3368"/>
      <c r="CT6" s="3368"/>
      <c r="CU6" s="3368"/>
      <c r="CV6" s="3368"/>
      <c r="CW6" s="3368"/>
      <c r="CX6" s="3368"/>
      <c r="CY6" s="3368"/>
      <c r="CZ6" s="3368"/>
      <c r="DA6" s="3368"/>
      <c r="DB6" s="3368"/>
      <c r="DC6" s="3368"/>
      <c r="DD6" s="3368"/>
      <c r="DE6" s="3368"/>
      <c r="DF6" s="3368"/>
      <c r="DG6" s="3368"/>
      <c r="DH6" s="3368"/>
      <c r="DI6" s="3368"/>
      <c r="DJ6" s="3368"/>
      <c r="DK6" s="3368"/>
      <c r="DL6" s="3368"/>
      <c r="DM6" s="3368"/>
      <c r="DN6" s="3368"/>
      <c r="DO6" s="3368"/>
      <c r="DP6" s="3368"/>
      <c r="DQ6" s="3368"/>
      <c r="DR6" s="3368"/>
      <c r="DS6" s="3368"/>
      <c r="DT6" s="3368"/>
      <c r="DU6" s="3368"/>
      <c r="DV6" s="3368"/>
      <c r="DW6" s="3368"/>
      <c r="DX6" s="3368"/>
      <c r="DY6" s="3368"/>
      <c r="DZ6" s="3368"/>
      <c r="EA6" s="3368"/>
      <c r="EB6" s="3368"/>
      <c r="EC6" s="3368"/>
      <c r="ED6" s="3368"/>
      <c r="EE6" s="3368"/>
    </row>
    <row r="7" spans="1:135" s="3369" customFormat="1" ht="25" customHeight="1" thickTop="1" x14ac:dyDescent="0.3">
      <c r="A7" s="3520"/>
      <c r="B7" s="4409" t="s">
        <v>2271</v>
      </c>
      <c r="C7" s="4410"/>
      <c r="D7" s="4410"/>
      <c r="E7" s="4410"/>
      <c r="F7" s="4411"/>
      <c r="G7" s="4385" t="s">
        <v>2272</v>
      </c>
      <c r="H7" s="4385"/>
      <c r="I7" s="4385"/>
      <c r="J7" s="4385"/>
      <c r="K7" s="4385"/>
      <c r="L7" s="4385"/>
      <c r="M7" s="4385"/>
      <c r="N7" s="4385"/>
      <c r="O7" s="4385"/>
      <c r="P7" s="4385"/>
      <c r="Q7" s="4385"/>
      <c r="R7" s="4385"/>
      <c r="S7" s="4385"/>
      <c r="T7" s="4385"/>
      <c r="U7" s="4385"/>
      <c r="V7" s="4385"/>
      <c r="W7" s="4395"/>
      <c r="X7" s="4385" t="s">
        <v>2275</v>
      </c>
      <c r="Y7" s="4385"/>
      <c r="Z7" s="4385"/>
      <c r="AA7" s="4385"/>
      <c r="AB7" s="4385"/>
      <c r="AC7" s="3518"/>
      <c r="AD7" s="3368"/>
      <c r="AE7" s="3368"/>
      <c r="AF7" s="3368"/>
      <c r="AG7" s="3368"/>
      <c r="AH7" s="3368"/>
      <c r="AI7" s="3368"/>
      <c r="AJ7" s="3368"/>
      <c r="AK7" s="3368"/>
      <c r="AL7" s="3368"/>
      <c r="AM7" s="3368"/>
      <c r="AN7" s="3368"/>
      <c r="AO7" s="3368"/>
      <c r="AP7" s="3368"/>
      <c r="AQ7" s="3368"/>
      <c r="AR7" s="3368"/>
      <c r="AS7" s="3368"/>
      <c r="AT7" s="3368"/>
      <c r="AU7" s="3368"/>
      <c r="AV7" s="3368"/>
      <c r="AW7" s="3368"/>
      <c r="AX7" s="3368"/>
      <c r="AY7" s="3368"/>
      <c r="AZ7" s="3368"/>
      <c r="BA7" s="3368"/>
      <c r="BB7" s="3368"/>
      <c r="BC7" s="3368"/>
      <c r="BD7" s="3368"/>
      <c r="BE7" s="3368"/>
      <c r="BF7" s="3368"/>
      <c r="BG7" s="3368"/>
      <c r="BH7" s="3368"/>
      <c r="BI7" s="3368"/>
      <c r="BJ7" s="3368"/>
      <c r="BK7" s="3368"/>
      <c r="BL7" s="3368"/>
      <c r="BM7" s="3368"/>
      <c r="BN7" s="3368"/>
      <c r="BO7" s="3368"/>
      <c r="BP7" s="3368"/>
      <c r="BQ7" s="3368"/>
      <c r="BR7" s="3368"/>
      <c r="BS7" s="3368"/>
      <c r="BT7" s="3368"/>
      <c r="BU7" s="3368"/>
      <c r="BV7" s="3368"/>
      <c r="BW7" s="3368"/>
      <c r="BX7" s="3368"/>
      <c r="BY7" s="3368"/>
      <c r="BZ7" s="3368"/>
      <c r="CA7" s="3368"/>
      <c r="CB7" s="3368"/>
      <c r="CC7" s="3368"/>
      <c r="CD7" s="3368"/>
      <c r="CE7" s="3368"/>
      <c r="CF7" s="3368"/>
      <c r="CG7" s="3368"/>
      <c r="CH7" s="3368"/>
      <c r="CI7" s="3368"/>
      <c r="CJ7" s="3368"/>
      <c r="CK7" s="3368"/>
      <c r="CL7" s="3368"/>
      <c r="CM7" s="3368"/>
      <c r="CN7" s="3368"/>
      <c r="CO7" s="3368"/>
      <c r="CP7" s="3368"/>
      <c r="CQ7" s="3368"/>
      <c r="CR7" s="3368"/>
      <c r="CS7" s="3368"/>
      <c r="CT7" s="3368"/>
      <c r="CU7" s="3368"/>
      <c r="CV7" s="3368"/>
      <c r="CW7" s="3368"/>
      <c r="CX7" s="3368"/>
      <c r="CY7" s="3368"/>
      <c r="CZ7" s="3368"/>
      <c r="DA7" s="3368"/>
      <c r="DB7" s="3368"/>
      <c r="DC7" s="3368"/>
      <c r="DD7" s="3368"/>
      <c r="DE7" s="3368"/>
      <c r="DF7" s="3368"/>
      <c r="DG7" s="3368"/>
      <c r="DH7" s="3368"/>
      <c r="DI7" s="3368"/>
      <c r="DJ7" s="3368"/>
      <c r="DK7" s="3368"/>
      <c r="DL7" s="3368"/>
      <c r="DM7" s="3368"/>
      <c r="DN7" s="3368"/>
      <c r="DO7" s="3368"/>
      <c r="DP7" s="3368"/>
      <c r="DQ7" s="3368"/>
      <c r="DR7" s="3368"/>
      <c r="DS7" s="3368"/>
      <c r="DT7" s="3368"/>
      <c r="DU7" s="3368"/>
      <c r="DV7" s="3368"/>
      <c r="DW7" s="3368"/>
      <c r="DX7" s="3368"/>
      <c r="DY7" s="3368"/>
      <c r="DZ7" s="3368"/>
      <c r="EA7" s="3368"/>
      <c r="EB7" s="3368"/>
      <c r="EC7" s="3368"/>
      <c r="ED7" s="3368"/>
      <c r="EE7" s="3368"/>
    </row>
    <row r="8" spans="1:135" ht="40.5" customHeight="1" x14ac:dyDescent="0.3">
      <c r="A8" s="3521"/>
      <c r="B8" s="4405" t="s">
        <v>29</v>
      </c>
      <c r="C8" s="4407" t="s">
        <v>30</v>
      </c>
      <c r="D8" s="4407" t="s">
        <v>2269</v>
      </c>
      <c r="E8" s="4407" t="s">
        <v>31</v>
      </c>
      <c r="F8" s="4403" t="s">
        <v>32</v>
      </c>
      <c r="G8" s="4394" t="s">
        <v>1900</v>
      </c>
      <c r="H8" s="4385"/>
      <c r="I8" s="4385"/>
      <c r="J8" s="4385"/>
      <c r="K8" s="4385"/>
      <c r="L8" s="4385"/>
      <c r="M8" s="4395"/>
      <c r="N8" s="4384" t="s">
        <v>1899</v>
      </c>
      <c r="O8" s="4384"/>
      <c r="P8" s="4384"/>
      <c r="Q8" s="4384"/>
      <c r="R8" s="4396"/>
      <c r="S8" s="4383" t="s">
        <v>1901</v>
      </c>
      <c r="T8" s="4384"/>
      <c r="U8" s="4384"/>
      <c r="V8" s="4384"/>
      <c r="W8" s="4384"/>
      <c r="X8" s="4383" t="s">
        <v>2273</v>
      </c>
      <c r="Y8" s="4384"/>
      <c r="Z8" s="4384"/>
      <c r="AA8" s="4384"/>
      <c r="AB8" s="4384"/>
      <c r="AC8" s="24"/>
    </row>
    <row r="9" spans="1:135" ht="29" thickBot="1" x14ac:dyDescent="0.35">
      <c r="A9" s="12"/>
      <c r="B9" s="4406"/>
      <c r="C9" s="4408"/>
      <c r="D9" s="4408"/>
      <c r="E9" s="4408"/>
      <c r="F9" s="4404"/>
      <c r="G9" s="8" t="s">
        <v>0</v>
      </c>
      <c r="H9" s="7" t="s">
        <v>26</v>
      </c>
      <c r="I9" s="7" t="s">
        <v>1</v>
      </c>
      <c r="J9" s="7" t="s">
        <v>4</v>
      </c>
      <c r="K9" s="7" t="s">
        <v>27</v>
      </c>
      <c r="L9" s="7" t="s">
        <v>28</v>
      </c>
      <c r="M9" s="2111" t="s">
        <v>25</v>
      </c>
      <c r="N9" s="8" t="s">
        <v>1894</v>
      </c>
      <c r="O9" s="7" t="s">
        <v>1895</v>
      </c>
      <c r="P9" s="7" t="s">
        <v>1896</v>
      </c>
      <c r="Q9" s="7" t="s">
        <v>1897</v>
      </c>
      <c r="R9" s="2111" t="s">
        <v>1898</v>
      </c>
      <c r="S9" s="7" t="s">
        <v>152</v>
      </c>
      <c r="T9" s="7" t="s">
        <v>33</v>
      </c>
      <c r="U9" s="2111" t="s">
        <v>34</v>
      </c>
      <c r="V9" s="7" t="s">
        <v>382</v>
      </c>
      <c r="W9" s="2111" t="s">
        <v>383</v>
      </c>
      <c r="X9" s="7" t="s">
        <v>2276</v>
      </c>
      <c r="Y9" s="7" t="s">
        <v>2274</v>
      </c>
      <c r="Z9" s="3483" t="s">
        <v>2278</v>
      </c>
      <c r="AA9" s="7" t="s">
        <v>2277</v>
      </c>
      <c r="AB9" s="3483" t="s">
        <v>2279</v>
      </c>
    </row>
    <row r="10" spans="1:135" ht="47.5" customHeight="1" thickTop="1" thickBot="1" x14ac:dyDescent="0.35">
      <c r="A10" s="12"/>
      <c r="B10" s="3512">
        <v>1</v>
      </c>
      <c r="C10" s="3513"/>
      <c r="D10" s="3513"/>
      <c r="E10" s="3514"/>
      <c r="F10" s="3515"/>
      <c r="G10" s="3516" t="s">
        <v>1189</v>
      </c>
      <c r="H10" s="3516" t="s">
        <v>1189</v>
      </c>
      <c r="I10" s="3516" t="s">
        <v>1189</v>
      </c>
      <c r="J10" s="3516" t="s">
        <v>1189</v>
      </c>
      <c r="K10" s="3516" t="s">
        <v>1189</v>
      </c>
      <c r="L10" s="3516" t="s">
        <v>1189</v>
      </c>
      <c r="M10" s="3517" t="s">
        <v>1189</v>
      </c>
      <c r="N10" s="3516" t="s">
        <v>1189</v>
      </c>
      <c r="O10" s="3516" t="s">
        <v>1189</v>
      </c>
      <c r="P10" s="3516" t="s">
        <v>1189</v>
      </c>
      <c r="Q10" s="3516" t="s">
        <v>1189</v>
      </c>
      <c r="R10" s="3517" t="s">
        <v>1189</v>
      </c>
      <c r="S10" s="3516" t="s">
        <v>1189</v>
      </c>
      <c r="T10" s="3516" t="s">
        <v>1189</v>
      </c>
      <c r="U10" s="3517" t="s">
        <v>1189</v>
      </c>
      <c r="V10" s="3516" t="s">
        <v>1189</v>
      </c>
      <c r="W10" s="3517" t="s">
        <v>1189</v>
      </c>
      <c r="X10" s="3516" t="s">
        <v>1189</v>
      </c>
      <c r="Y10" s="3516"/>
      <c r="Z10" s="3517"/>
      <c r="AA10" s="3516"/>
      <c r="AB10" s="3517"/>
    </row>
    <row r="11" spans="1:135" ht="15" thickTop="1" x14ac:dyDescent="0.3">
      <c r="A11" s="12"/>
      <c r="B11" s="12"/>
      <c r="C11" s="12"/>
      <c r="D11" s="12"/>
      <c r="E11" s="12"/>
      <c r="F11" s="12"/>
      <c r="G11" s="12"/>
      <c r="H11" s="12"/>
      <c r="I11" s="12"/>
      <c r="J11" s="12"/>
      <c r="K11" s="12"/>
      <c r="L11" s="12"/>
      <c r="M11" s="12"/>
      <c r="N11" s="12"/>
      <c r="O11" s="12"/>
      <c r="P11" s="12"/>
      <c r="Q11" s="12"/>
      <c r="R11" s="12"/>
      <c r="S11" s="12"/>
      <c r="T11" s="12"/>
      <c r="U11" s="12"/>
      <c r="V11" s="12"/>
      <c r="W11" s="12"/>
      <c r="X11" s="12"/>
    </row>
    <row r="12" spans="1:135" x14ac:dyDescent="0.3">
      <c r="A12" s="12"/>
      <c r="B12" s="13" t="s">
        <v>1871</v>
      </c>
      <c r="C12" s="12"/>
      <c r="D12" s="12"/>
      <c r="E12" s="12"/>
      <c r="F12" s="12"/>
      <c r="G12" s="12"/>
      <c r="H12" s="12"/>
      <c r="I12" s="12"/>
      <c r="J12" s="12"/>
      <c r="K12" s="12"/>
      <c r="L12" s="12"/>
      <c r="M12" s="12"/>
      <c r="N12" s="12"/>
      <c r="O12" s="12"/>
      <c r="P12" s="12"/>
      <c r="Q12" s="12"/>
      <c r="R12" s="12"/>
      <c r="S12" s="12"/>
      <c r="T12" s="12"/>
      <c r="U12" s="12"/>
      <c r="V12" s="12"/>
      <c r="W12" s="12"/>
      <c r="X12" s="12"/>
    </row>
    <row r="13" spans="1:135" x14ac:dyDescent="0.3">
      <c r="A13" s="12"/>
      <c r="B13" s="12" t="s">
        <v>146</v>
      </c>
      <c r="C13" s="12"/>
      <c r="D13" s="12"/>
      <c r="E13" s="12"/>
      <c r="F13" s="12"/>
      <c r="G13" s="12"/>
      <c r="H13" s="12"/>
      <c r="I13" s="12"/>
      <c r="J13" s="12"/>
      <c r="K13" s="12"/>
      <c r="L13" s="12"/>
      <c r="M13" s="12"/>
      <c r="N13" s="12"/>
      <c r="O13" s="12"/>
      <c r="P13" s="12"/>
      <c r="Q13" s="12"/>
      <c r="R13" s="12"/>
      <c r="S13" s="12"/>
      <c r="T13" s="12"/>
      <c r="U13" s="12"/>
      <c r="V13" s="12"/>
      <c r="W13" s="12"/>
      <c r="X13" s="12"/>
    </row>
    <row r="14" spans="1:135" x14ac:dyDescent="0.3">
      <c r="A14" s="12"/>
      <c r="B14" s="12" t="s">
        <v>147</v>
      </c>
      <c r="C14" s="12"/>
      <c r="D14" s="12"/>
      <c r="E14" s="12"/>
      <c r="F14" s="12"/>
      <c r="G14" s="12"/>
      <c r="H14" s="12"/>
      <c r="I14" s="12"/>
      <c r="J14" s="12"/>
      <c r="K14" s="12"/>
      <c r="L14" s="12"/>
      <c r="M14" s="12"/>
      <c r="N14" s="12"/>
      <c r="O14" s="12"/>
      <c r="P14" s="12"/>
      <c r="Q14" s="12"/>
      <c r="R14" s="12"/>
      <c r="S14" s="12"/>
      <c r="T14" s="12"/>
      <c r="U14" s="12"/>
      <c r="V14" s="12"/>
      <c r="W14" s="12"/>
      <c r="X14" s="12"/>
    </row>
    <row r="15" spans="1:135" x14ac:dyDescent="0.3">
      <c r="A15" s="12"/>
      <c r="B15" s="12" t="s">
        <v>1936</v>
      </c>
      <c r="C15" s="12"/>
      <c r="D15" s="12"/>
      <c r="E15" s="12"/>
      <c r="F15" s="12"/>
      <c r="G15" s="12"/>
      <c r="H15" s="12"/>
      <c r="I15" s="12"/>
      <c r="J15" s="12"/>
      <c r="K15" s="12"/>
      <c r="L15" s="12"/>
      <c r="M15" s="12"/>
      <c r="N15" s="12"/>
      <c r="O15" s="12"/>
      <c r="P15" s="12"/>
      <c r="Q15" s="12"/>
      <c r="R15" s="12"/>
      <c r="S15" s="12"/>
      <c r="T15" s="12"/>
      <c r="U15" s="12"/>
      <c r="V15" s="12"/>
      <c r="W15" s="12"/>
      <c r="X15" s="12"/>
    </row>
    <row r="16" spans="1:135" x14ac:dyDescent="0.3">
      <c r="A16" s="12"/>
      <c r="B16" s="12" t="s">
        <v>1933</v>
      </c>
      <c r="C16" s="12"/>
      <c r="D16" s="12"/>
      <c r="E16" s="12"/>
      <c r="F16" s="12"/>
      <c r="G16" s="12"/>
      <c r="H16" s="12"/>
      <c r="I16" s="12"/>
      <c r="J16" s="12"/>
      <c r="K16" s="12"/>
      <c r="L16" s="12"/>
      <c r="M16" s="12"/>
      <c r="N16" s="12"/>
      <c r="O16" s="12"/>
      <c r="P16" s="12"/>
      <c r="Q16" s="12"/>
      <c r="R16" s="12"/>
      <c r="S16" s="12"/>
      <c r="T16" s="12"/>
      <c r="U16" s="12"/>
      <c r="V16" s="12"/>
      <c r="W16" s="12"/>
      <c r="X16" s="12"/>
    </row>
    <row r="17" spans="1:135" x14ac:dyDescent="0.3">
      <c r="A17" s="12"/>
      <c r="B17" s="12" t="s">
        <v>1934</v>
      </c>
      <c r="C17" s="12"/>
      <c r="D17" s="12"/>
      <c r="E17" s="12"/>
      <c r="F17" s="12"/>
      <c r="G17" s="12"/>
      <c r="H17" s="12"/>
      <c r="I17" s="12"/>
      <c r="J17" s="12"/>
      <c r="K17" s="12"/>
      <c r="L17" s="12"/>
      <c r="M17" s="12"/>
      <c r="N17" s="12"/>
      <c r="O17" s="12"/>
      <c r="P17" s="12"/>
      <c r="Q17" s="12"/>
      <c r="R17" s="12"/>
      <c r="S17" s="12"/>
      <c r="T17" s="12"/>
      <c r="U17" s="12"/>
      <c r="V17" s="12"/>
      <c r="W17" s="12"/>
      <c r="X17" s="12"/>
    </row>
    <row r="18" spans="1:135" x14ac:dyDescent="0.3">
      <c r="A18" s="12"/>
      <c r="B18" s="12"/>
      <c r="C18" s="12"/>
      <c r="D18" s="12"/>
      <c r="E18" s="12"/>
      <c r="F18" s="12"/>
      <c r="G18" s="12"/>
      <c r="H18" s="12"/>
      <c r="I18" s="12"/>
      <c r="J18" s="12"/>
      <c r="K18" s="12"/>
      <c r="L18" s="12"/>
      <c r="M18" s="12"/>
      <c r="N18" s="12"/>
      <c r="O18" s="12"/>
      <c r="P18" s="12"/>
      <c r="Q18" s="12"/>
      <c r="R18" s="12"/>
      <c r="S18" s="12"/>
      <c r="T18" s="12"/>
      <c r="U18" s="12"/>
      <c r="V18" s="12"/>
      <c r="W18" s="12"/>
      <c r="X18" s="12"/>
    </row>
    <row r="19" spans="1:135" x14ac:dyDescent="0.3">
      <c r="A19" s="12"/>
      <c r="B19" s="12" t="s">
        <v>1932</v>
      </c>
      <c r="C19" s="12"/>
      <c r="D19" s="12"/>
      <c r="E19" s="12"/>
      <c r="F19" s="12"/>
      <c r="G19" s="12"/>
      <c r="H19" s="2112"/>
      <c r="I19" s="2112"/>
      <c r="J19" s="2112"/>
      <c r="K19" s="2112"/>
      <c r="L19" s="2112"/>
      <c r="M19" s="2112"/>
      <c r="N19" s="2112"/>
      <c r="O19" s="2112"/>
      <c r="P19" s="2112"/>
      <c r="Q19" s="4389"/>
      <c r="R19" s="4389"/>
      <c r="S19" s="4389"/>
      <c r="T19" s="4389"/>
      <c r="U19" s="4389"/>
      <c r="V19" s="4389"/>
      <c r="W19" s="2112"/>
      <c r="X19" s="2112"/>
      <c r="Y19" s="2112"/>
      <c r="Z19" s="2112"/>
      <c r="AA19" s="2112"/>
      <c r="AB19" s="2112"/>
      <c r="AC19" s="2112"/>
    </row>
    <row r="20" spans="1:135" x14ac:dyDescent="0.3">
      <c r="A20" s="12"/>
      <c r="B20" s="12" t="s">
        <v>1931</v>
      </c>
      <c r="C20" s="12"/>
      <c r="D20" s="12"/>
      <c r="E20" s="12"/>
      <c r="F20" s="12"/>
      <c r="G20" s="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row>
    <row r="21" spans="1:135" x14ac:dyDescent="0.3">
      <c r="A21" s="12"/>
      <c r="B21" s="12" t="s">
        <v>1935</v>
      </c>
      <c r="C21" s="12"/>
      <c r="D21" s="12"/>
      <c r="E21" s="12"/>
      <c r="F21" s="12"/>
      <c r="G21" s="12"/>
      <c r="H21" s="2112"/>
      <c r="I21" s="2112"/>
      <c r="J21" s="2112"/>
      <c r="K21" s="2112"/>
      <c r="L21" s="2112"/>
      <c r="M21" s="2112"/>
      <c r="N21" s="2112"/>
      <c r="O21" s="2112"/>
      <c r="P21" s="2112"/>
      <c r="Q21" s="2112"/>
      <c r="R21" s="2112"/>
      <c r="S21" s="2112"/>
      <c r="T21" s="2112"/>
      <c r="U21" s="2112"/>
      <c r="V21" s="2112"/>
      <c r="W21" s="2112"/>
      <c r="X21" s="2112"/>
      <c r="Y21" s="2112"/>
      <c r="Z21" s="2112"/>
      <c r="AA21" s="2112"/>
      <c r="AB21" s="2112"/>
      <c r="AC21" s="2112"/>
    </row>
    <row r="22" spans="1:135" ht="78" customHeight="1" x14ac:dyDescent="0.3">
      <c r="A22" s="12"/>
      <c r="B22" s="12"/>
      <c r="C22" s="12"/>
      <c r="D22" s="12"/>
      <c r="E22" s="12"/>
      <c r="F22" s="12"/>
      <c r="G22" s="12"/>
      <c r="H22" s="2112"/>
      <c r="I22" s="2112"/>
      <c r="J22" s="2112"/>
      <c r="K22" s="2112"/>
      <c r="L22" s="2112"/>
      <c r="M22" s="2112"/>
      <c r="N22" s="2112"/>
      <c r="O22" s="2112"/>
      <c r="P22" s="2112"/>
      <c r="Q22" s="4400" t="s">
        <v>1930</v>
      </c>
      <c r="R22" s="4401"/>
      <c r="S22" s="4401"/>
      <c r="T22" s="4401"/>
      <c r="U22" s="4401"/>
      <c r="V22" s="4402"/>
      <c r="W22" s="2112"/>
      <c r="X22" s="2112"/>
      <c r="Y22" s="2112"/>
      <c r="Z22" s="2112"/>
      <c r="AA22" s="2112"/>
      <c r="AB22" s="2112"/>
      <c r="AC22" s="2112"/>
    </row>
    <row r="23" spans="1:135" x14ac:dyDescent="0.3">
      <c r="A23" s="12"/>
      <c r="B23" s="13" t="s">
        <v>2288</v>
      </c>
      <c r="C23" s="12"/>
      <c r="D23" s="12"/>
      <c r="E23" s="12"/>
      <c r="F23" s="12"/>
      <c r="G23" s="12"/>
      <c r="H23" s="2112"/>
      <c r="I23" s="2112"/>
      <c r="J23" s="2112"/>
      <c r="K23" s="2112"/>
      <c r="L23" s="2112"/>
      <c r="M23" s="2112"/>
      <c r="N23" s="2112"/>
      <c r="O23" s="2112"/>
      <c r="P23" s="2112"/>
      <c r="Q23" s="4388"/>
      <c r="R23" s="4389"/>
      <c r="S23" s="4389"/>
      <c r="T23" s="4389"/>
      <c r="U23" s="4389"/>
      <c r="V23" s="4390"/>
      <c r="W23" s="2112"/>
      <c r="X23" s="2112"/>
      <c r="Y23" s="2112"/>
      <c r="Z23" s="2112"/>
      <c r="AA23" s="2112"/>
      <c r="AB23" s="2112"/>
      <c r="AC23" s="2112"/>
    </row>
    <row r="24" spans="1:135" ht="47.5" customHeight="1" x14ac:dyDescent="0.3">
      <c r="A24" s="12"/>
      <c r="B24" s="12" t="s">
        <v>2289</v>
      </c>
      <c r="C24" s="12"/>
      <c r="D24" s="12"/>
      <c r="E24" s="12"/>
      <c r="F24" s="12"/>
      <c r="G24" s="12"/>
      <c r="H24" s="2112"/>
      <c r="I24" s="2112"/>
      <c r="J24" s="2112"/>
      <c r="K24" s="2112"/>
      <c r="L24" s="2112"/>
      <c r="M24" s="2112"/>
      <c r="N24" s="2112"/>
      <c r="O24" s="2112"/>
      <c r="P24" s="2112"/>
      <c r="Q24" s="4391" t="s">
        <v>1866</v>
      </c>
      <c r="R24" s="4392"/>
      <c r="S24" s="4392"/>
      <c r="T24" s="4392"/>
      <c r="U24" s="4392"/>
      <c r="V24" s="4393"/>
      <c r="W24" s="2112"/>
      <c r="X24" s="2112"/>
      <c r="Y24" s="2112"/>
      <c r="Z24" s="2112"/>
      <c r="AA24" s="2112"/>
      <c r="AB24" s="2112"/>
      <c r="AC24" s="2112"/>
    </row>
    <row r="25" spans="1:135" s="1022" customFormat="1" x14ac:dyDescent="0.3">
      <c r="A25" s="12"/>
      <c r="B25" s="12" t="s">
        <v>2290</v>
      </c>
      <c r="C25" s="12"/>
      <c r="D25" s="12"/>
      <c r="E25" s="12"/>
      <c r="F25" s="12"/>
      <c r="G25" s="12"/>
      <c r="H25" s="2112"/>
      <c r="I25" s="2112"/>
      <c r="J25" s="2112"/>
      <c r="K25" s="2112"/>
      <c r="L25" s="2112"/>
      <c r="M25" s="2112"/>
      <c r="N25" s="2112"/>
      <c r="O25" s="2112"/>
      <c r="P25" s="2112"/>
      <c r="Q25" s="2112"/>
      <c r="R25" s="2112"/>
      <c r="S25" s="2112"/>
      <c r="T25" s="2112"/>
      <c r="U25" s="2112"/>
      <c r="V25" s="2112"/>
      <c r="W25" s="2112"/>
      <c r="X25" s="2112"/>
      <c r="Y25" s="2112"/>
      <c r="Z25" s="2112"/>
      <c r="AA25" s="2112"/>
      <c r="AB25" s="2112"/>
      <c r="AC25" s="21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row>
    <row r="26" spans="1:135" s="12" customFormat="1" x14ac:dyDescent="0.3">
      <c r="H26" s="2112"/>
      <c r="I26" s="2112"/>
      <c r="J26" s="2112"/>
      <c r="K26" s="2112"/>
      <c r="L26" s="2112"/>
      <c r="M26" s="2112"/>
      <c r="N26" s="2112"/>
      <c r="O26" s="2112"/>
      <c r="P26" s="2112"/>
      <c r="Q26" s="2112"/>
      <c r="R26" s="2112"/>
      <c r="S26" s="2112"/>
      <c r="T26" s="2112"/>
      <c r="U26" s="2112"/>
      <c r="V26" s="2112"/>
      <c r="W26" s="2112"/>
      <c r="X26" s="2112"/>
      <c r="Y26" s="2112"/>
      <c r="Z26" s="2112"/>
      <c r="AA26" s="2112"/>
      <c r="AB26" s="2112"/>
      <c r="AC26" s="2112"/>
    </row>
    <row r="27" spans="1:135" s="12" customFormat="1" x14ac:dyDescent="0.3">
      <c r="H27" s="2112"/>
      <c r="I27" s="2112"/>
      <c r="J27" s="2112"/>
      <c r="K27" s="2112"/>
      <c r="L27" s="2112"/>
      <c r="M27" s="2112"/>
      <c r="N27" s="2112"/>
      <c r="O27" s="2112"/>
      <c r="P27" s="2112"/>
      <c r="Q27" s="2112"/>
      <c r="R27" s="2112"/>
      <c r="S27" s="2112"/>
      <c r="T27" s="2112"/>
      <c r="U27" s="2112"/>
      <c r="V27" s="2112"/>
      <c r="W27" s="2112"/>
      <c r="X27" s="2112"/>
      <c r="Y27" s="2112"/>
      <c r="Z27" s="2112"/>
      <c r="AA27" s="2112"/>
      <c r="AB27" s="2112"/>
      <c r="AC27" s="2112"/>
    </row>
    <row r="28" spans="1:135" s="12" customFormat="1" x14ac:dyDescent="0.3">
      <c r="H28" s="2112"/>
      <c r="I28" s="2112"/>
      <c r="J28" s="2112"/>
      <c r="K28" s="2112"/>
      <c r="L28" s="2112"/>
      <c r="M28" s="2112"/>
      <c r="N28" s="2112"/>
      <c r="O28" s="2112"/>
      <c r="P28" s="2112"/>
      <c r="Q28" s="2112"/>
      <c r="R28" s="2112"/>
      <c r="S28" s="2112"/>
      <c r="T28" s="2112"/>
      <c r="U28" s="2112"/>
      <c r="V28" s="2112"/>
      <c r="W28" s="2112"/>
      <c r="X28" s="2112"/>
      <c r="Y28" s="2112"/>
      <c r="Z28" s="2112"/>
      <c r="AA28" s="2112"/>
      <c r="AB28" s="2112"/>
      <c r="AC28" s="2112"/>
    </row>
    <row r="29" spans="1:135" s="12" customFormat="1" x14ac:dyDescent="0.3">
      <c r="H29" s="2112"/>
      <c r="I29" s="2112"/>
      <c r="J29" s="2112"/>
      <c r="K29" s="2112"/>
      <c r="L29" s="2112"/>
      <c r="M29" s="2112"/>
      <c r="N29" s="2112"/>
      <c r="O29" s="2112"/>
      <c r="P29" s="2112"/>
      <c r="Q29" s="2112"/>
      <c r="R29" s="2112"/>
      <c r="S29" s="2112"/>
      <c r="T29" s="2112"/>
      <c r="U29" s="2112"/>
      <c r="V29" s="2112"/>
      <c r="W29" s="2112"/>
      <c r="X29" s="2112"/>
      <c r="Y29" s="2112"/>
      <c r="Z29" s="2112"/>
      <c r="AA29" s="2112"/>
      <c r="AB29" s="2112"/>
      <c r="AC29" s="2112"/>
    </row>
    <row r="30" spans="1:135" s="12" customFormat="1" x14ac:dyDescent="0.3">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row>
    <row r="31" spans="1:135" s="12" customFormat="1" x14ac:dyDescent="0.3">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row>
    <row r="32" spans="1:135" s="12" customFormat="1" x14ac:dyDescent="0.3">
      <c r="H32" s="2112"/>
      <c r="I32" s="2112"/>
      <c r="J32" s="2112"/>
      <c r="K32" s="2112"/>
      <c r="L32" s="2112"/>
      <c r="M32" s="2112"/>
      <c r="N32" s="2112"/>
      <c r="O32" s="2112"/>
      <c r="P32" s="2112"/>
      <c r="Q32" s="2112"/>
      <c r="R32" s="2112"/>
      <c r="S32" s="2112"/>
      <c r="T32" s="2112"/>
      <c r="U32" s="2112"/>
      <c r="V32" s="2112"/>
      <c r="W32" s="2112"/>
      <c r="X32" s="2112"/>
      <c r="Y32" s="2112"/>
      <c r="Z32" s="2112"/>
      <c r="AA32" s="2112"/>
      <c r="AB32" s="2112"/>
      <c r="AC32" s="2112"/>
    </row>
    <row r="33" spans="8:29" s="12" customFormat="1" x14ac:dyDescent="0.3">
      <c r="H33" s="2112"/>
      <c r="I33" s="2112"/>
      <c r="J33" s="2112"/>
      <c r="K33" s="2112"/>
      <c r="L33" s="2112"/>
      <c r="M33" s="2112"/>
      <c r="N33" s="2112"/>
      <c r="O33" s="2112"/>
      <c r="P33" s="2112"/>
      <c r="Q33" s="2112"/>
      <c r="R33" s="2112"/>
      <c r="S33" s="2112"/>
      <c r="T33" s="2112"/>
      <c r="U33" s="2112"/>
      <c r="V33" s="2112"/>
      <c r="W33" s="2112"/>
      <c r="X33" s="2112"/>
      <c r="Y33" s="2112"/>
      <c r="Z33" s="2112"/>
      <c r="AA33" s="2112"/>
      <c r="AB33" s="2112"/>
      <c r="AC33" s="2112"/>
    </row>
    <row r="34" spans="8:29" s="12" customFormat="1" x14ac:dyDescent="0.3">
      <c r="H34" s="2112"/>
      <c r="I34" s="2112"/>
      <c r="J34" s="2112"/>
      <c r="K34" s="2112"/>
      <c r="L34" s="2112"/>
      <c r="M34" s="2112"/>
      <c r="N34" s="2112"/>
      <c r="O34" s="2112"/>
      <c r="P34" s="2112"/>
      <c r="Q34" s="2112"/>
      <c r="R34" s="2112"/>
      <c r="S34" s="2112"/>
      <c r="T34" s="2112"/>
      <c r="U34" s="2112"/>
      <c r="V34" s="2112"/>
      <c r="W34" s="2112"/>
      <c r="X34" s="2112"/>
      <c r="Y34" s="2112"/>
      <c r="Z34" s="2112"/>
      <c r="AA34" s="2112"/>
      <c r="AB34" s="2112"/>
      <c r="AC34" s="2112"/>
    </row>
    <row r="35" spans="8:29" s="12" customFormat="1" x14ac:dyDescent="0.3">
      <c r="H35" s="2112"/>
      <c r="I35" s="2112"/>
      <c r="J35" s="2112"/>
      <c r="K35" s="2112"/>
      <c r="L35" s="2112"/>
      <c r="M35" s="2112"/>
      <c r="N35" s="2112"/>
      <c r="O35" s="2112"/>
      <c r="P35" s="2112"/>
      <c r="Q35" s="2112"/>
      <c r="R35" s="2112"/>
      <c r="S35" s="2112"/>
      <c r="T35" s="2112"/>
      <c r="U35" s="2112"/>
      <c r="V35" s="2112"/>
      <c r="W35" s="2112"/>
      <c r="X35" s="2112"/>
      <c r="Y35" s="2112"/>
      <c r="Z35" s="2112"/>
      <c r="AA35" s="2112"/>
      <c r="AB35" s="2112"/>
      <c r="AC35" s="2112"/>
    </row>
    <row r="36" spans="8:29" s="12" customFormat="1" x14ac:dyDescent="0.3">
      <c r="H36" s="2112"/>
      <c r="I36" s="2112"/>
      <c r="J36" s="2112"/>
      <c r="K36" s="2112"/>
      <c r="L36" s="2112"/>
      <c r="M36" s="2112"/>
      <c r="N36" s="2112"/>
      <c r="O36" s="2112"/>
      <c r="P36" s="2112"/>
      <c r="Q36" s="2112"/>
      <c r="R36" s="2112"/>
      <c r="S36" s="2112"/>
      <c r="T36" s="2112"/>
      <c r="U36" s="2112"/>
      <c r="V36" s="2112"/>
      <c r="W36" s="2112"/>
      <c r="X36" s="2112"/>
      <c r="Y36" s="2112"/>
      <c r="Z36" s="2112"/>
      <c r="AA36" s="2112"/>
      <c r="AB36" s="2112"/>
      <c r="AC36" s="2112"/>
    </row>
    <row r="37" spans="8:29" s="12" customFormat="1" x14ac:dyDescent="0.3">
      <c r="H37" s="2112"/>
      <c r="I37" s="2112"/>
      <c r="J37" s="2112"/>
      <c r="K37" s="2112"/>
      <c r="L37" s="2112"/>
      <c r="M37" s="2112"/>
      <c r="N37" s="2112"/>
      <c r="O37" s="2112"/>
      <c r="P37" s="2112"/>
      <c r="Q37" s="2112"/>
      <c r="R37" s="2112"/>
      <c r="S37" s="2112"/>
      <c r="T37" s="2112"/>
      <c r="U37" s="2112"/>
      <c r="V37" s="2112"/>
      <c r="W37" s="2112"/>
      <c r="X37" s="2112"/>
      <c r="Y37" s="2112"/>
      <c r="Z37" s="2112"/>
      <c r="AA37" s="2112"/>
      <c r="AB37" s="2112"/>
      <c r="AC37" s="2112"/>
    </row>
    <row r="38" spans="8:29" s="12" customFormat="1" x14ac:dyDescent="0.3">
      <c r="H38" s="2112"/>
      <c r="I38" s="2112"/>
      <c r="J38" s="2112"/>
      <c r="K38" s="2112"/>
      <c r="L38" s="2112"/>
      <c r="M38" s="2112"/>
      <c r="N38" s="2112"/>
      <c r="O38" s="2112"/>
      <c r="P38" s="2112"/>
      <c r="Q38" s="2112"/>
      <c r="R38" s="2112"/>
      <c r="S38" s="2112"/>
      <c r="T38" s="2112"/>
      <c r="U38" s="2112"/>
      <c r="V38" s="2112"/>
      <c r="W38" s="2112"/>
      <c r="X38" s="2112"/>
      <c r="Y38" s="2112"/>
      <c r="Z38" s="2112"/>
      <c r="AA38" s="2112"/>
      <c r="AB38" s="2112"/>
      <c r="AC38" s="2112"/>
    </row>
    <row r="39" spans="8:29" s="12" customFormat="1" x14ac:dyDescent="0.3">
      <c r="H39" s="2112"/>
      <c r="I39" s="2112"/>
      <c r="J39" s="2112"/>
      <c r="K39" s="2112"/>
      <c r="L39" s="2112"/>
      <c r="M39" s="2112"/>
      <c r="N39" s="2112"/>
      <c r="O39" s="2112"/>
      <c r="P39" s="2112"/>
      <c r="Q39" s="2112"/>
      <c r="R39" s="2112"/>
      <c r="S39" s="2112"/>
      <c r="T39" s="2112"/>
      <c r="U39" s="2112"/>
      <c r="V39" s="2112"/>
      <c r="W39" s="2112"/>
      <c r="X39" s="2112"/>
      <c r="Y39" s="2112"/>
      <c r="Z39" s="2112"/>
      <c r="AA39" s="2112"/>
      <c r="AB39" s="2112"/>
      <c r="AC39" s="2112"/>
    </row>
    <row r="40" spans="8:29" s="12" customFormat="1" x14ac:dyDescent="0.3">
      <c r="H40" s="2112"/>
      <c r="I40" s="2112"/>
      <c r="J40" s="2112"/>
      <c r="K40" s="2112"/>
      <c r="L40" s="2112"/>
      <c r="M40" s="2112"/>
      <c r="N40" s="2112"/>
      <c r="O40" s="2112"/>
      <c r="P40" s="2112"/>
      <c r="Q40" s="2112"/>
      <c r="R40" s="2112"/>
      <c r="S40" s="2112"/>
      <c r="T40" s="2112"/>
      <c r="U40" s="2112"/>
      <c r="V40" s="2112"/>
      <c r="W40" s="2112"/>
      <c r="X40" s="2112"/>
      <c r="Y40" s="2112"/>
      <c r="Z40" s="2112"/>
      <c r="AA40" s="2112"/>
      <c r="AB40" s="2112"/>
      <c r="AC40" s="2112"/>
    </row>
    <row r="41" spans="8:29" s="12" customFormat="1" x14ac:dyDescent="0.3">
      <c r="H41" s="2112"/>
      <c r="I41" s="2112"/>
      <c r="J41" s="2112"/>
      <c r="K41" s="2112"/>
      <c r="L41" s="2112"/>
      <c r="M41" s="2112"/>
      <c r="N41" s="2112"/>
      <c r="O41" s="2112"/>
      <c r="P41" s="2112"/>
      <c r="Q41" s="2112"/>
      <c r="R41" s="2112"/>
      <c r="S41" s="2112"/>
      <c r="T41" s="2112"/>
      <c r="U41" s="2112"/>
      <c r="V41" s="2112"/>
      <c r="W41" s="2112"/>
      <c r="X41" s="2112"/>
      <c r="Y41" s="2112"/>
      <c r="Z41" s="2112"/>
      <c r="AA41" s="2112"/>
      <c r="AB41" s="2112"/>
      <c r="AC41" s="2112"/>
    </row>
    <row r="42" spans="8:29" s="12" customFormat="1" x14ac:dyDescent="0.3">
      <c r="H42" s="2112"/>
      <c r="I42" s="2112"/>
      <c r="J42" s="2112"/>
      <c r="K42" s="2112"/>
      <c r="L42" s="2112"/>
      <c r="M42" s="2112"/>
      <c r="N42" s="2112"/>
      <c r="O42" s="2112"/>
      <c r="P42" s="2112"/>
      <c r="Q42" s="2112"/>
      <c r="R42" s="2112"/>
      <c r="S42" s="2112"/>
      <c r="T42" s="2112"/>
      <c r="U42" s="2112"/>
      <c r="V42" s="2112"/>
      <c r="W42" s="2112"/>
      <c r="X42" s="2112"/>
      <c r="Y42" s="2112"/>
      <c r="Z42" s="2112"/>
      <c r="AA42" s="2112"/>
      <c r="AB42" s="2112"/>
      <c r="AC42" s="2112"/>
    </row>
    <row r="43" spans="8:29" s="12" customFormat="1" x14ac:dyDescent="0.3">
      <c r="H43" s="2112"/>
      <c r="I43" s="2112"/>
      <c r="J43" s="2112"/>
      <c r="K43" s="2112"/>
      <c r="L43" s="2112"/>
      <c r="M43" s="2112"/>
      <c r="N43" s="2112"/>
      <c r="O43" s="2112"/>
      <c r="P43" s="2112"/>
      <c r="Q43" s="2112"/>
      <c r="R43" s="2112"/>
      <c r="S43" s="2112"/>
      <c r="T43" s="2112"/>
      <c r="U43" s="2112"/>
      <c r="V43" s="2112"/>
      <c r="W43" s="2112"/>
      <c r="X43" s="2112"/>
      <c r="Y43" s="2112"/>
      <c r="Z43" s="2112"/>
      <c r="AA43" s="2112"/>
      <c r="AB43" s="2112"/>
      <c r="AC43" s="2112"/>
    </row>
    <row r="44" spans="8:29" s="12" customFormat="1" x14ac:dyDescent="0.3">
      <c r="H44" s="2112"/>
      <c r="I44" s="2112"/>
      <c r="J44" s="2112"/>
      <c r="K44" s="2112"/>
      <c r="L44" s="2112"/>
      <c r="M44" s="2112"/>
      <c r="N44" s="2112"/>
      <c r="O44" s="2112"/>
      <c r="P44" s="2112"/>
      <c r="Q44" s="2112"/>
      <c r="R44" s="2112"/>
      <c r="S44" s="2112"/>
      <c r="T44" s="2112"/>
      <c r="U44" s="2112"/>
      <c r="V44" s="2112"/>
      <c r="W44" s="2112"/>
      <c r="X44" s="2112"/>
      <c r="Y44" s="2112"/>
      <c r="Z44" s="2112"/>
      <c r="AA44" s="2112"/>
      <c r="AB44" s="2112"/>
      <c r="AC44" s="2112"/>
    </row>
    <row r="45" spans="8:29" s="12" customFormat="1" x14ac:dyDescent="0.3">
      <c r="H45" s="2112"/>
      <c r="I45" s="2112"/>
      <c r="J45" s="2112"/>
      <c r="K45" s="2112"/>
      <c r="L45" s="2112"/>
      <c r="M45" s="2112"/>
      <c r="N45" s="2112"/>
      <c r="O45" s="2112"/>
      <c r="P45" s="2112"/>
      <c r="Q45" s="2112"/>
      <c r="R45" s="2112"/>
      <c r="S45" s="2112"/>
      <c r="T45" s="2112"/>
      <c r="U45" s="2112"/>
      <c r="V45" s="2112"/>
      <c r="W45" s="2112"/>
      <c r="X45" s="2112"/>
      <c r="Y45" s="2112"/>
      <c r="Z45" s="2112"/>
      <c r="AA45" s="2112"/>
      <c r="AB45" s="2112"/>
      <c r="AC45" s="2112"/>
    </row>
    <row r="46" spans="8:29" s="12" customFormat="1" x14ac:dyDescent="0.3">
      <c r="H46" s="2112"/>
      <c r="I46" s="2112"/>
      <c r="J46" s="2112"/>
      <c r="K46" s="2112"/>
      <c r="L46" s="2112"/>
      <c r="M46" s="2112"/>
      <c r="N46" s="2112"/>
      <c r="O46" s="2112"/>
      <c r="P46" s="2112"/>
      <c r="Q46" s="2112"/>
      <c r="R46" s="2112"/>
      <c r="S46" s="2112"/>
      <c r="T46" s="2112"/>
      <c r="U46" s="2112"/>
      <c r="V46" s="2112"/>
      <c r="W46" s="2112"/>
      <c r="X46" s="2112"/>
      <c r="Y46" s="2112"/>
      <c r="Z46" s="2112"/>
      <c r="AA46" s="2112"/>
      <c r="AB46" s="2112"/>
      <c r="AC46" s="2112"/>
    </row>
    <row r="47" spans="8:29" s="12" customFormat="1" x14ac:dyDescent="0.3">
      <c r="H47" s="2112"/>
      <c r="I47" s="2112"/>
      <c r="J47" s="2112"/>
      <c r="K47" s="2112"/>
      <c r="L47" s="2112"/>
      <c r="M47" s="2112"/>
      <c r="N47" s="2112"/>
      <c r="O47" s="2112"/>
      <c r="P47" s="2112"/>
      <c r="Q47" s="2112"/>
      <c r="R47" s="2112"/>
      <c r="S47" s="2112"/>
      <c r="T47" s="2112"/>
      <c r="U47" s="2112"/>
      <c r="V47" s="2112"/>
      <c r="W47" s="2112"/>
      <c r="X47" s="2112"/>
      <c r="Y47" s="2112"/>
      <c r="Z47" s="2112"/>
      <c r="AA47" s="2112"/>
      <c r="AB47" s="2112"/>
      <c r="AC47" s="2112"/>
    </row>
    <row r="48" spans="8:29" s="12" customFormat="1" x14ac:dyDescent="0.3">
      <c r="H48" s="2112"/>
      <c r="I48" s="2112"/>
      <c r="J48" s="2112"/>
      <c r="K48" s="2112"/>
      <c r="L48" s="2112"/>
      <c r="M48" s="2112"/>
      <c r="N48" s="2112"/>
      <c r="O48" s="2112"/>
      <c r="P48" s="2112"/>
      <c r="Q48" s="2112"/>
      <c r="R48" s="2112"/>
      <c r="S48" s="2112"/>
      <c r="T48" s="2112"/>
      <c r="U48" s="2112"/>
      <c r="V48" s="2112"/>
      <c r="W48" s="2112"/>
      <c r="X48" s="2112"/>
      <c r="Y48" s="2112"/>
      <c r="Z48" s="2112"/>
      <c r="AA48" s="2112"/>
      <c r="AB48" s="2112"/>
      <c r="AC48" s="2112"/>
    </row>
    <row r="49" spans="8:29" s="12" customFormat="1" x14ac:dyDescent="0.3">
      <c r="H49" s="2112"/>
      <c r="I49" s="2112"/>
      <c r="J49" s="2112"/>
      <c r="K49" s="2112"/>
      <c r="L49" s="2112"/>
      <c r="M49" s="2112"/>
      <c r="N49" s="2112"/>
      <c r="O49" s="2112"/>
      <c r="P49" s="2112"/>
      <c r="Q49" s="2112"/>
      <c r="R49" s="2112"/>
      <c r="S49" s="2112"/>
      <c r="T49" s="2112"/>
      <c r="U49" s="2112"/>
      <c r="V49" s="2112"/>
      <c r="W49" s="2112"/>
      <c r="X49" s="2112"/>
      <c r="Y49" s="2112"/>
      <c r="Z49" s="2112"/>
      <c r="AA49" s="2112"/>
      <c r="AB49" s="2112"/>
      <c r="AC49" s="2112"/>
    </row>
    <row r="50" spans="8:29" s="12" customFormat="1" x14ac:dyDescent="0.3">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row>
    <row r="51" spans="8:29" s="12" customFormat="1" x14ac:dyDescent="0.3">
      <c r="H51" s="2112"/>
      <c r="I51" s="2112"/>
      <c r="J51" s="2112"/>
      <c r="K51" s="2112"/>
      <c r="L51" s="2112"/>
      <c r="M51" s="2112"/>
      <c r="N51" s="2112"/>
      <c r="O51" s="2112"/>
      <c r="P51" s="2112"/>
      <c r="Q51" s="2112"/>
      <c r="R51" s="2112"/>
      <c r="S51" s="2112"/>
      <c r="T51" s="2112"/>
      <c r="U51" s="2112"/>
      <c r="V51" s="2112"/>
      <c r="W51" s="2112"/>
      <c r="X51" s="2112"/>
      <c r="Y51" s="2112"/>
      <c r="Z51" s="2112"/>
      <c r="AA51" s="2112"/>
      <c r="AB51" s="2112"/>
      <c r="AC51" s="2112"/>
    </row>
    <row r="52" spans="8:29" s="12" customFormat="1" x14ac:dyDescent="0.3">
      <c r="H52" s="2112"/>
      <c r="I52" s="2112"/>
      <c r="J52" s="2112"/>
      <c r="K52" s="2112"/>
      <c r="L52" s="2112"/>
      <c r="M52" s="2112"/>
      <c r="N52" s="2112"/>
      <c r="O52" s="2112"/>
      <c r="P52" s="2112"/>
      <c r="Q52" s="2112"/>
      <c r="R52" s="2112"/>
      <c r="S52" s="2112"/>
      <c r="T52" s="2112"/>
      <c r="U52" s="2112"/>
      <c r="V52" s="2112"/>
      <c r="W52" s="2112"/>
      <c r="X52" s="2112"/>
      <c r="Y52" s="2112"/>
      <c r="Z52" s="2112"/>
      <c r="AA52" s="2112"/>
      <c r="AB52" s="2112"/>
      <c r="AC52" s="2112"/>
    </row>
    <row r="53" spans="8:29" s="12" customFormat="1" x14ac:dyDescent="0.3">
      <c r="H53" s="2112"/>
      <c r="I53" s="2112"/>
      <c r="J53" s="2112"/>
      <c r="K53" s="2112"/>
      <c r="L53" s="2112"/>
      <c r="M53" s="2112"/>
      <c r="N53" s="2112"/>
    </row>
    <row r="54" spans="8:29" s="12" customFormat="1" x14ac:dyDescent="0.3">
      <c r="H54" s="2112"/>
      <c r="I54" s="2112"/>
      <c r="J54" s="2112"/>
      <c r="K54" s="2112"/>
      <c r="L54" s="2112"/>
      <c r="M54" s="2112"/>
      <c r="N54" s="2112"/>
    </row>
    <row r="55" spans="8:29" s="12" customFormat="1" x14ac:dyDescent="0.3">
      <c r="H55" s="2112"/>
      <c r="I55" s="2112"/>
      <c r="J55" s="2112"/>
      <c r="K55" s="2112"/>
      <c r="L55" s="2112"/>
      <c r="M55" s="2112"/>
      <c r="N55" s="2112"/>
    </row>
    <row r="56" spans="8:29" s="12" customFormat="1" x14ac:dyDescent="0.3">
      <c r="H56" s="2112"/>
      <c r="I56" s="2112"/>
      <c r="J56" s="2112"/>
      <c r="K56" s="2112"/>
      <c r="L56" s="2112"/>
      <c r="M56" s="2112"/>
      <c r="N56" s="2112"/>
    </row>
    <row r="57" spans="8:29" s="12" customFormat="1" x14ac:dyDescent="0.3"/>
    <row r="58" spans="8:29" s="12" customFormat="1" x14ac:dyDescent="0.3"/>
    <row r="59" spans="8:29" s="12" customFormat="1" x14ac:dyDescent="0.3"/>
    <row r="60" spans="8:29" s="12" customFormat="1" x14ac:dyDescent="0.3"/>
    <row r="61" spans="8:29" s="12" customFormat="1" x14ac:dyDescent="0.3"/>
    <row r="62" spans="8:29" s="12" customFormat="1" x14ac:dyDescent="0.3"/>
    <row r="63" spans="8:29" s="12" customFormat="1" x14ac:dyDescent="0.3"/>
    <row r="64" spans="8:29" s="12" customFormat="1" x14ac:dyDescent="0.3"/>
    <row r="65" s="12" customFormat="1" x14ac:dyDescent="0.3"/>
    <row r="66" s="12" customFormat="1" x14ac:dyDescent="0.3"/>
    <row r="67" s="12" customFormat="1" x14ac:dyDescent="0.3"/>
    <row r="68" s="12" customFormat="1" x14ac:dyDescent="0.3"/>
    <row r="69" s="12" customFormat="1" x14ac:dyDescent="0.3"/>
    <row r="70" s="12" customFormat="1" x14ac:dyDescent="0.3"/>
    <row r="71" s="12" customFormat="1" x14ac:dyDescent="0.3"/>
    <row r="72" s="12" customFormat="1" x14ac:dyDescent="0.3"/>
    <row r="73" s="12" customFormat="1" x14ac:dyDescent="0.3"/>
    <row r="74" s="12" customFormat="1" x14ac:dyDescent="0.3"/>
    <row r="75" s="12" customFormat="1" x14ac:dyDescent="0.3"/>
    <row r="76" s="12" customFormat="1" x14ac:dyDescent="0.3"/>
    <row r="77" s="12" customFormat="1" x14ac:dyDescent="0.3"/>
    <row r="78" s="12" customFormat="1" x14ac:dyDescent="0.3"/>
    <row r="79" s="12" customFormat="1" x14ac:dyDescent="0.3"/>
    <row r="80" s="12" customFormat="1" x14ac:dyDescent="0.3"/>
    <row r="81" s="12" customFormat="1" x14ac:dyDescent="0.3"/>
    <row r="82" s="12" customFormat="1" x14ac:dyDescent="0.3"/>
    <row r="83" s="12" customFormat="1" x14ac:dyDescent="0.3"/>
    <row r="84" s="12" customFormat="1" x14ac:dyDescent="0.3"/>
    <row r="85" s="12" customFormat="1" x14ac:dyDescent="0.3"/>
    <row r="86" s="12" customFormat="1" x14ac:dyDescent="0.3"/>
    <row r="87" s="12" customFormat="1" x14ac:dyDescent="0.3"/>
    <row r="88" s="12" customFormat="1" x14ac:dyDescent="0.3"/>
    <row r="89" s="12" customFormat="1" x14ac:dyDescent="0.3"/>
    <row r="90" s="12" customFormat="1" x14ac:dyDescent="0.3"/>
    <row r="91" s="12" customFormat="1" x14ac:dyDescent="0.3"/>
    <row r="92" s="12" customFormat="1" x14ac:dyDescent="0.3"/>
    <row r="93" s="12" customFormat="1" x14ac:dyDescent="0.3"/>
    <row r="94" s="12" customFormat="1" x14ac:dyDescent="0.3"/>
    <row r="95" s="12" customFormat="1" x14ac:dyDescent="0.3"/>
    <row r="96" s="12" customFormat="1" x14ac:dyDescent="0.3"/>
    <row r="97" s="12" customFormat="1" x14ac:dyDescent="0.3"/>
    <row r="98" s="12" customFormat="1" x14ac:dyDescent="0.3"/>
    <row r="99" s="12" customFormat="1" x14ac:dyDescent="0.3"/>
    <row r="100" s="12" customFormat="1" x14ac:dyDescent="0.3"/>
    <row r="101" s="12" customFormat="1" x14ac:dyDescent="0.3"/>
    <row r="102" s="12" customFormat="1" x14ac:dyDescent="0.3"/>
    <row r="103" s="12" customFormat="1" x14ac:dyDescent="0.3"/>
    <row r="104" s="12" customFormat="1" x14ac:dyDescent="0.3"/>
    <row r="105" s="12" customFormat="1" x14ac:dyDescent="0.3"/>
    <row r="106" s="12" customFormat="1" x14ac:dyDescent="0.3"/>
    <row r="107" s="12" customFormat="1" x14ac:dyDescent="0.3"/>
    <row r="108" s="12" customFormat="1" x14ac:dyDescent="0.3"/>
    <row r="109" s="12" customFormat="1" x14ac:dyDescent="0.3"/>
    <row r="110" s="12" customFormat="1" x14ac:dyDescent="0.3"/>
    <row r="111" s="12" customFormat="1" x14ac:dyDescent="0.3"/>
    <row r="112" s="12" customFormat="1" x14ac:dyDescent="0.3"/>
    <row r="113" s="12" customFormat="1" x14ac:dyDescent="0.3"/>
    <row r="114" s="12" customFormat="1" x14ac:dyDescent="0.3"/>
    <row r="115" s="12" customFormat="1" x14ac:dyDescent="0.3"/>
    <row r="116" s="12" customFormat="1" x14ac:dyDescent="0.3"/>
    <row r="117" s="12" customFormat="1" x14ac:dyDescent="0.3"/>
    <row r="118" s="12" customFormat="1" x14ac:dyDescent="0.3"/>
    <row r="119" s="12" customFormat="1" x14ac:dyDescent="0.3"/>
    <row r="120" s="12" customFormat="1" x14ac:dyDescent="0.3"/>
    <row r="121" s="12" customFormat="1" x14ac:dyDescent="0.3"/>
    <row r="122" s="12" customFormat="1" x14ac:dyDescent="0.3"/>
    <row r="123" s="12" customFormat="1" x14ac:dyDescent="0.3"/>
    <row r="124" s="12" customFormat="1" x14ac:dyDescent="0.3"/>
    <row r="125" s="12" customFormat="1" x14ac:dyDescent="0.3"/>
    <row r="126" s="12" customFormat="1" x14ac:dyDescent="0.3"/>
    <row r="127" s="12" customFormat="1" x14ac:dyDescent="0.3"/>
    <row r="128" s="12" customFormat="1" x14ac:dyDescent="0.3"/>
    <row r="129" s="12" customFormat="1" x14ac:dyDescent="0.3"/>
    <row r="130" s="12" customFormat="1" x14ac:dyDescent="0.3"/>
    <row r="131" s="12" customFormat="1" x14ac:dyDescent="0.3"/>
    <row r="132" s="12" customFormat="1" x14ac:dyDescent="0.3"/>
    <row r="133" s="12" customFormat="1" x14ac:dyDescent="0.3"/>
    <row r="134" s="12" customFormat="1" x14ac:dyDescent="0.3"/>
    <row r="135" s="12" customFormat="1" x14ac:dyDescent="0.3"/>
    <row r="136" s="12" customFormat="1" x14ac:dyDescent="0.3"/>
    <row r="137" s="12" customFormat="1" x14ac:dyDescent="0.3"/>
    <row r="138" s="12" customFormat="1" x14ac:dyDescent="0.3"/>
    <row r="139" s="12" customFormat="1" x14ac:dyDescent="0.3"/>
    <row r="140" s="12" customFormat="1" x14ac:dyDescent="0.3"/>
    <row r="141" s="12" customFormat="1" x14ac:dyDescent="0.3"/>
    <row r="142" s="12" customFormat="1" x14ac:dyDescent="0.3"/>
    <row r="143" s="12" customFormat="1" x14ac:dyDescent="0.3"/>
    <row r="144" s="12" customFormat="1" x14ac:dyDescent="0.3"/>
    <row r="145" s="12" customFormat="1" x14ac:dyDescent="0.3"/>
    <row r="146" s="12" customFormat="1" x14ac:dyDescent="0.3"/>
    <row r="147" s="12" customFormat="1" x14ac:dyDescent="0.3"/>
    <row r="148" s="12" customFormat="1" x14ac:dyDescent="0.3"/>
    <row r="149" s="12" customFormat="1" x14ac:dyDescent="0.3"/>
    <row r="150" s="12" customFormat="1" x14ac:dyDescent="0.3"/>
    <row r="151" s="12" customFormat="1" x14ac:dyDescent="0.3"/>
    <row r="152" s="12" customFormat="1" x14ac:dyDescent="0.3"/>
    <row r="153" s="12" customFormat="1" x14ac:dyDescent="0.3"/>
    <row r="154" s="12" customFormat="1" x14ac:dyDescent="0.3"/>
    <row r="155" s="12" customFormat="1" x14ac:dyDescent="0.3"/>
    <row r="156" s="12" customFormat="1" x14ac:dyDescent="0.3"/>
    <row r="157" s="12" customFormat="1" x14ac:dyDescent="0.3"/>
    <row r="158" s="12" customFormat="1" x14ac:dyDescent="0.3"/>
    <row r="159" s="12" customFormat="1" x14ac:dyDescent="0.3"/>
    <row r="160" s="12" customFormat="1" x14ac:dyDescent="0.3"/>
    <row r="161" s="12" customFormat="1" x14ac:dyDescent="0.3"/>
    <row r="162" s="12" customFormat="1" x14ac:dyDescent="0.3"/>
    <row r="163" s="12" customFormat="1" x14ac:dyDescent="0.3"/>
    <row r="164" s="12" customFormat="1" x14ac:dyDescent="0.3"/>
    <row r="165" s="12" customFormat="1" x14ac:dyDescent="0.3"/>
    <row r="166" s="12" customFormat="1" x14ac:dyDescent="0.3"/>
    <row r="167" s="12" customFormat="1" x14ac:dyDescent="0.3"/>
    <row r="168" s="12" customFormat="1" x14ac:dyDescent="0.3"/>
    <row r="169" s="12" customFormat="1" x14ac:dyDescent="0.3"/>
    <row r="170" s="12" customFormat="1" x14ac:dyDescent="0.3"/>
    <row r="171" s="12" customFormat="1" x14ac:dyDescent="0.3"/>
    <row r="172" s="12" customFormat="1" x14ac:dyDescent="0.3"/>
    <row r="173" s="12" customFormat="1" x14ac:dyDescent="0.3"/>
    <row r="174" s="12" customFormat="1" x14ac:dyDescent="0.3"/>
    <row r="175" s="12" customFormat="1" x14ac:dyDescent="0.3"/>
    <row r="176" s="12" customFormat="1" x14ac:dyDescent="0.3"/>
    <row r="177" s="12" customFormat="1" x14ac:dyDescent="0.3"/>
    <row r="178" s="12" customFormat="1" x14ac:dyDescent="0.3"/>
    <row r="179" s="12" customFormat="1" x14ac:dyDescent="0.3"/>
    <row r="180" s="12" customFormat="1" x14ac:dyDescent="0.3"/>
    <row r="181" s="12" customFormat="1" x14ac:dyDescent="0.3"/>
    <row r="182" s="12" customFormat="1" x14ac:dyDescent="0.3"/>
    <row r="183" s="12" customFormat="1" x14ac:dyDescent="0.3"/>
    <row r="184" s="12" customFormat="1" x14ac:dyDescent="0.3"/>
    <row r="185" s="12" customFormat="1" x14ac:dyDescent="0.3"/>
    <row r="186" s="12" customFormat="1" x14ac:dyDescent="0.3"/>
    <row r="187" s="12" customFormat="1" x14ac:dyDescent="0.3"/>
    <row r="188" s="12" customFormat="1" x14ac:dyDescent="0.3"/>
    <row r="189" s="12" customFormat="1" x14ac:dyDescent="0.3"/>
    <row r="190" s="12" customFormat="1" x14ac:dyDescent="0.3"/>
    <row r="191" s="12" customFormat="1" x14ac:dyDescent="0.3"/>
    <row r="192" s="12" customFormat="1" x14ac:dyDescent="0.3"/>
    <row r="193" s="12" customFormat="1" x14ac:dyDescent="0.3"/>
    <row r="194" s="12" customFormat="1" x14ac:dyDescent="0.3"/>
    <row r="195" s="12" customFormat="1" x14ac:dyDescent="0.3"/>
    <row r="196" s="12" customFormat="1" x14ac:dyDescent="0.3"/>
    <row r="197" s="12" customFormat="1" x14ac:dyDescent="0.3"/>
    <row r="198" s="12" customFormat="1" x14ac:dyDescent="0.3"/>
    <row r="199" s="12" customFormat="1" x14ac:dyDescent="0.3"/>
    <row r="200" s="12" customFormat="1" x14ac:dyDescent="0.3"/>
    <row r="201" s="12" customFormat="1" x14ac:dyDescent="0.3"/>
    <row r="202" s="12" customFormat="1" x14ac:dyDescent="0.3"/>
    <row r="203" s="12" customFormat="1" x14ac:dyDescent="0.3"/>
    <row r="204" s="12" customFormat="1" x14ac:dyDescent="0.3"/>
    <row r="205" s="12" customFormat="1" x14ac:dyDescent="0.3"/>
    <row r="206" s="12" customFormat="1" x14ac:dyDescent="0.3"/>
    <row r="207" s="12" customFormat="1" x14ac:dyDescent="0.3"/>
    <row r="208" s="12" customFormat="1" x14ac:dyDescent="0.3"/>
    <row r="209" s="12" customFormat="1" x14ac:dyDescent="0.3"/>
    <row r="210" s="12" customFormat="1" x14ac:dyDescent="0.3"/>
    <row r="211" s="12" customFormat="1" x14ac:dyDescent="0.3"/>
    <row r="212" s="12" customFormat="1" x14ac:dyDescent="0.3"/>
    <row r="213" s="12" customFormat="1" x14ac:dyDescent="0.3"/>
    <row r="214" s="12" customFormat="1" x14ac:dyDescent="0.3"/>
    <row r="215" s="12" customFormat="1" x14ac:dyDescent="0.3"/>
    <row r="216" s="12" customFormat="1" x14ac:dyDescent="0.3"/>
    <row r="217" s="12" customFormat="1" x14ac:dyDescent="0.3"/>
    <row r="218" s="12" customFormat="1" x14ac:dyDescent="0.3"/>
    <row r="219" s="12" customFormat="1" x14ac:dyDescent="0.3"/>
    <row r="220" s="12" customFormat="1" x14ac:dyDescent="0.3"/>
    <row r="221" s="12" customFormat="1" x14ac:dyDescent="0.3"/>
    <row r="222" s="12" customFormat="1" x14ac:dyDescent="0.3"/>
    <row r="223" s="12" customFormat="1" x14ac:dyDescent="0.3"/>
    <row r="224" s="12" customFormat="1" x14ac:dyDescent="0.3"/>
    <row r="225" s="12" customFormat="1" x14ac:dyDescent="0.3"/>
    <row r="226" s="12" customFormat="1" x14ac:dyDescent="0.3"/>
    <row r="227" s="12" customFormat="1" x14ac:dyDescent="0.3"/>
    <row r="228" s="12" customFormat="1" x14ac:dyDescent="0.3"/>
    <row r="229" s="12" customFormat="1" x14ac:dyDescent="0.3"/>
    <row r="230" s="12" customFormat="1" x14ac:dyDescent="0.3"/>
    <row r="231" s="12" customFormat="1" x14ac:dyDescent="0.3"/>
    <row r="232" s="12" customFormat="1" x14ac:dyDescent="0.3"/>
    <row r="233" s="12" customFormat="1" x14ac:dyDescent="0.3"/>
    <row r="234" s="12" customFormat="1" x14ac:dyDescent="0.3"/>
    <row r="235" s="12" customFormat="1" x14ac:dyDescent="0.3"/>
    <row r="236" s="12" customFormat="1" x14ac:dyDescent="0.3"/>
    <row r="237" s="12" customFormat="1" x14ac:dyDescent="0.3"/>
    <row r="238" s="12" customFormat="1" x14ac:dyDescent="0.3"/>
    <row r="239" s="12" customFormat="1" x14ac:dyDescent="0.3"/>
    <row r="240" s="12" customFormat="1" x14ac:dyDescent="0.3"/>
    <row r="241" s="12" customFormat="1" x14ac:dyDescent="0.3"/>
    <row r="242" s="12" customFormat="1" x14ac:dyDescent="0.3"/>
    <row r="243" s="12" customFormat="1" x14ac:dyDescent="0.3"/>
    <row r="244" s="12" customFormat="1" x14ac:dyDescent="0.3"/>
    <row r="245" s="12" customFormat="1" x14ac:dyDescent="0.3"/>
    <row r="246" s="12" customFormat="1" x14ac:dyDescent="0.3"/>
    <row r="247" s="12" customFormat="1" x14ac:dyDescent="0.3"/>
    <row r="248" s="12" customFormat="1" x14ac:dyDescent="0.3"/>
    <row r="249" s="12" customFormat="1" x14ac:dyDescent="0.3"/>
    <row r="250" s="12" customFormat="1" x14ac:dyDescent="0.3"/>
    <row r="251" s="12" customFormat="1" x14ac:dyDescent="0.3"/>
    <row r="252" s="12" customFormat="1" x14ac:dyDescent="0.3"/>
    <row r="253" s="12" customFormat="1" x14ac:dyDescent="0.3"/>
    <row r="254" s="12" customFormat="1" x14ac:dyDescent="0.3"/>
    <row r="255" s="12" customFormat="1" x14ac:dyDescent="0.3"/>
    <row r="256" s="12" customFormat="1" x14ac:dyDescent="0.3"/>
    <row r="257" s="12" customFormat="1" x14ac:dyDescent="0.3"/>
    <row r="258" s="12" customFormat="1" x14ac:dyDescent="0.3"/>
    <row r="259" s="12" customFormat="1" x14ac:dyDescent="0.3"/>
    <row r="260" s="12" customFormat="1" x14ac:dyDescent="0.3"/>
    <row r="261" s="12" customFormat="1" x14ac:dyDescent="0.3"/>
    <row r="262" s="12" customFormat="1" x14ac:dyDescent="0.3"/>
    <row r="263" s="12" customFormat="1" x14ac:dyDescent="0.3"/>
    <row r="264" s="12" customFormat="1" x14ac:dyDescent="0.3"/>
    <row r="265" s="12" customFormat="1" x14ac:dyDescent="0.3"/>
    <row r="266" s="12" customFormat="1" x14ac:dyDescent="0.3"/>
    <row r="267" s="12" customFormat="1" x14ac:dyDescent="0.3"/>
    <row r="268" s="12" customFormat="1" x14ac:dyDescent="0.3"/>
    <row r="269" s="12" customFormat="1" x14ac:dyDescent="0.3"/>
    <row r="270" s="12" customFormat="1" x14ac:dyDescent="0.3"/>
    <row r="271" s="12" customFormat="1" x14ac:dyDescent="0.3"/>
    <row r="272" s="12" customFormat="1" x14ac:dyDescent="0.3"/>
    <row r="273" s="12" customFormat="1" x14ac:dyDescent="0.3"/>
    <row r="274" s="12" customFormat="1" x14ac:dyDescent="0.3"/>
    <row r="275" s="12" customFormat="1" x14ac:dyDescent="0.3"/>
    <row r="276" s="12" customFormat="1" x14ac:dyDescent="0.3"/>
    <row r="277" s="12" customFormat="1" x14ac:dyDescent="0.3"/>
    <row r="278" s="12" customFormat="1" x14ac:dyDescent="0.3"/>
    <row r="279" s="12" customFormat="1" x14ac:dyDescent="0.3"/>
    <row r="280" s="12" customFormat="1" x14ac:dyDescent="0.3"/>
    <row r="281" s="12" customFormat="1" x14ac:dyDescent="0.3"/>
    <row r="282" s="12" customFormat="1" x14ac:dyDescent="0.3"/>
    <row r="283" s="12" customFormat="1" x14ac:dyDescent="0.3"/>
    <row r="284" s="12" customFormat="1" x14ac:dyDescent="0.3"/>
    <row r="285" s="12" customFormat="1" x14ac:dyDescent="0.3"/>
    <row r="286" s="12" customFormat="1" x14ac:dyDescent="0.3"/>
    <row r="287" s="12" customFormat="1" x14ac:dyDescent="0.3"/>
    <row r="288" s="12" customFormat="1" x14ac:dyDescent="0.3"/>
    <row r="289" s="12" customFormat="1" x14ac:dyDescent="0.3"/>
    <row r="290" s="12" customFormat="1" x14ac:dyDescent="0.3"/>
    <row r="291" s="12" customFormat="1" x14ac:dyDescent="0.3"/>
    <row r="292" s="12" customFormat="1" x14ac:dyDescent="0.3"/>
    <row r="293" s="12" customFormat="1" x14ac:dyDescent="0.3"/>
    <row r="294" s="12" customFormat="1" x14ac:dyDescent="0.3"/>
    <row r="295" s="12" customFormat="1" x14ac:dyDescent="0.3"/>
    <row r="296" s="12" customFormat="1" x14ac:dyDescent="0.3"/>
    <row r="297" s="12" customFormat="1" x14ac:dyDescent="0.3"/>
    <row r="298" s="12" customFormat="1" x14ac:dyDescent="0.3"/>
    <row r="299" s="12" customFormat="1" x14ac:dyDescent="0.3"/>
    <row r="300" s="12" customFormat="1" x14ac:dyDescent="0.3"/>
    <row r="301" s="12" customFormat="1" x14ac:dyDescent="0.3"/>
    <row r="302" s="12" customFormat="1" x14ac:dyDescent="0.3"/>
    <row r="303" s="12" customFormat="1" x14ac:dyDescent="0.3"/>
    <row r="304" s="12" customFormat="1" x14ac:dyDescent="0.3"/>
    <row r="305" s="12" customFormat="1" x14ac:dyDescent="0.3"/>
    <row r="306" s="12" customFormat="1" x14ac:dyDescent="0.3"/>
    <row r="307" s="12" customFormat="1" x14ac:dyDescent="0.3"/>
    <row r="308" s="12" customFormat="1" x14ac:dyDescent="0.3"/>
    <row r="309" s="12" customFormat="1" x14ac:dyDescent="0.3"/>
    <row r="310" s="12" customFormat="1" x14ac:dyDescent="0.3"/>
    <row r="311" s="12" customFormat="1" x14ac:dyDescent="0.3"/>
    <row r="312" s="12" customFormat="1" x14ac:dyDescent="0.3"/>
    <row r="313" s="12" customFormat="1" x14ac:dyDescent="0.3"/>
    <row r="314" s="12" customFormat="1" x14ac:dyDescent="0.3"/>
    <row r="315" s="12" customFormat="1" x14ac:dyDescent="0.3"/>
    <row r="316" s="12" customFormat="1" x14ac:dyDescent="0.3"/>
    <row r="317" s="12" customFormat="1" x14ac:dyDescent="0.3"/>
    <row r="318" s="12" customFormat="1" x14ac:dyDescent="0.3"/>
    <row r="319" s="12" customFormat="1" x14ac:dyDescent="0.3"/>
    <row r="320" s="12" customFormat="1" x14ac:dyDescent="0.3"/>
    <row r="321" s="12" customFormat="1" x14ac:dyDescent="0.3"/>
    <row r="322" s="12" customFormat="1" x14ac:dyDescent="0.3"/>
    <row r="323" s="12" customFormat="1" x14ac:dyDescent="0.3"/>
    <row r="324" s="12" customFormat="1" x14ac:dyDescent="0.3"/>
    <row r="325" s="12" customFormat="1" x14ac:dyDescent="0.3"/>
    <row r="326" s="12" customFormat="1" x14ac:dyDescent="0.3"/>
    <row r="327" s="12" customFormat="1" x14ac:dyDescent="0.3"/>
    <row r="328" s="12" customFormat="1" x14ac:dyDescent="0.3"/>
    <row r="329" s="12" customFormat="1" x14ac:dyDescent="0.3"/>
    <row r="330" s="12" customFormat="1" x14ac:dyDescent="0.3"/>
    <row r="331" s="12" customFormat="1" x14ac:dyDescent="0.3"/>
    <row r="332" s="12" customFormat="1" x14ac:dyDescent="0.3"/>
    <row r="333" s="12" customFormat="1" x14ac:dyDescent="0.3"/>
    <row r="334" s="12" customFormat="1" x14ac:dyDescent="0.3"/>
    <row r="335" s="12" customFormat="1" x14ac:dyDescent="0.3"/>
    <row r="336" s="12" customFormat="1" x14ac:dyDescent="0.3"/>
    <row r="337" s="12" customFormat="1" x14ac:dyDescent="0.3"/>
    <row r="338" s="12" customFormat="1" x14ac:dyDescent="0.3"/>
    <row r="339" s="12" customFormat="1" x14ac:dyDescent="0.3"/>
    <row r="340" s="12" customFormat="1" x14ac:dyDescent="0.3"/>
    <row r="341" s="12" customFormat="1" x14ac:dyDescent="0.3"/>
    <row r="342" s="12" customFormat="1" x14ac:dyDescent="0.3"/>
    <row r="343" s="12" customFormat="1" x14ac:dyDescent="0.3"/>
    <row r="344" s="12" customFormat="1" x14ac:dyDescent="0.3"/>
    <row r="345" s="12" customFormat="1" x14ac:dyDescent="0.3"/>
    <row r="346" s="12" customFormat="1" x14ac:dyDescent="0.3"/>
    <row r="347" s="12" customFormat="1" x14ac:dyDescent="0.3"/>
    <row r="348" s="12" customFormat="1" x14ac:dyDescent="0.3"/>
    <row r="349" s="12" customFormat="1" x14ac:dyDescent="0.3"/>
    <row r="350" s="12" customFormat="1" x14ac:dyDescent="0.3"/>
    <row r="351" s="12" customFormat="1" x14ac:dyDescent="0.3"/>
    <row r="352" s="12" customFormat="1" x14ac:dyDescent="0.3"/>
    <row r="353" s="12" customFormat="1" x14ac:dyDescent="0.3"/>
    <row r="354" s="12" customFormat="1" x14ac:dyDescent="0.3"/>
    <row r="355" s="12" customFormat="1" x14ac:dyDescent="0.3"/>
    <row r="356" s="12" customFormat="1" x14ac:dyDescent="0.3"/>
    <row r="357" s="12" customFormat="1" x14ac:dyDescent="0.3"/>
    <row r="358" s="12" customFormat="1" x14ac:dyDescent="0.3"/>
    <row r="359" s="12" customFormat="1" x14ac:dyDescent="0.3"/>
    <row r="360" s="12" customFormat="1" x14ac:dyDescent="0.3"/>
    <row r="361" s="12" customFormat="1" x14ac:dyDescent="0.3"/>
    <row r="362" s="12" customFormat="1" x14ac:dyDescent="0.3"/>
    <row r="363" s="12" customFormat="1" x14ac:dyDescent="0.3"/>
    <row r="364" s="12" customFormat="1" x14ac:dyDescent="0.3"/>
    <row r="365" s="12" customFormat="1" x14ac:dyDescent="0.3"/>
    <row r="366" s="12" customFormat="1" x14ac:dyDescent="0.3"/>
    <row r="367" s="12" customFormat="1" x14ac:dyDescent="0.3"/>
    <row r="368" s="12" customFormat="1" x14ac:dyDescent="0.3"/>
    <row r="369" s="12" customFormat="1" x14ac:dyDescent="0.3"/>
    <row r="370" s="12" customFormat="1" x14ac:dyDescent="0.3"/>
    <row r="371" s="12" customFormat="1" x14ac:dyDescent="0.3"/>
    <row r="372" s="12" customFormat="1" x14ac:dyDescent="0.3"/>
    <row r="373" s="12" customFormat="1" x14ac:dyDescent="0.3"/>
    <row r="374" s="12" customFormat="1" x14ac:dyDescent="0.3"/>
    <row r="375" s="12" customFormat="1" x14ac:dyDescent="0.3"/>
    <row r="376" s="12" customFormat="1" x14ac:dyDescent="0.3"/>
    <row r="377" s="12" customFormat="1" x14ac:dyDescent="0.3"/>
    <row r="378" s="12" customFormat="1" x14ac:dyDescent="0.3"/>
    <row r="379" s="12" customFormat="1" x14ac:dyDescent="0.3"/>
    <row r="380" s="12" customFormat="1" x14ac:dyDescent="0.3"/>
    <row r="381" s="12" customFormat="1" x14ac:dyDescent="0.3"/>
    <row r="382" s="12" customFormat="1" x14ac:dyDescent="0.3"/>
    <row r="383" s="12" customFormat="1" x14ac:dyDescent="0.3"/>
    <row r="384" s="12" customFormat="1" x14ac:dyDescent="0.3"/>
    <row r="385" s="12" customFormat="1" x14ac:dyDescent="0.3"/>
    <row r="386" s="12" customFormat="1" x14ac:dyDescent="0.3"/>
    <row r="387" s="12" customFormat="1" x14ac:dyDescent="0.3"/>
    <row r="388" s="12" customFormat="1" x14ac:dyDescent="0.3"/>
    <row r="389" s="12" customFormat="1" x14ac:dyDescent="0.3"/>
    <row r="390" s="12" customFormat="1" x14ac:dyDescent="0.3"/>
    <row r="391" s="12" customFormat="1" x14ac:dyDescent="0.3"/>
    <row r="392" s="12" customFormat="1" x14ac:dyDescent="0.3"/>
    <row r="393" s="12" customFormat="1" x14ac:dyDescent="0.3"/>
    <row r="394" s="12" customFormat="1" x14ac:dyDescent="0.3"/>
    <row r="395" s="12" customFormat="1" x14ac:dyDescent="0.3"/>
    <row r="396" s="12" customFormat="1" x14ac:dyDescent="0.3"/>
    <row r="397" s="12" customFormat="1" x14ac:dyDescent="0.3"/>
    <row r="398" s="12" customFormat="1" x14ac:dyDescent="0.3"/>
    <row r="399" s="12" customFormat="1" x14ac:dyDescent="0.3"/>
    <row r="400" s="12" customFormat="1" x14ac:dyDescent="0.3"/>
    <row r="401" s="12" customFormat="1" x14ac:dyDescent="0.3"/>
    <row r="402" s="12" customFormat="1" x14ac:dyDescent="0.3"/>
    <row r="403" s="12" customFormat="1" x14ac:dyDescent="0.3"/>
    <row r="404" s="12" customFormat="1" x14ac:dyDescent="0.3"/>
    <row r="405" s="12" customFormat="1" x14ac:dyDescent="0.3"/>
    <row r="406" s="12" customFormat="1" x14ac:dyDescent="0.3"/>
    <row r="407" s="12" customFormat="1" x14ac:dyDescent="0.3"/>
    <row r="408" s="12" customFormat="1" x14ac:dyDescent="0.3"/>
    <row r="409" s="12" customFormat="1" x14ac:dyDescent="0.3"/>
    <row r="410" s="12" customFormat="1" x14ac:dyDescent="0.3"/>
    <row r="411" s="12" customFormat="1" x14ac:dyDescent="0.3"/>
    <row r="412" s="12" customFormat="1" x14ac:dyDescent="0.3"/>
    <row r="413" s="12" customFormat="1" x14ac:dyDescent="0.3"/>
    <row r="414" s="12" customFormat="1" x14ac:dyDescent="0.3"/>
    <row r="415" s="12" customFormat="1" x14ac:dyDescent="0.3"/>
    <row r="416" s="12" customFormat="1" x14ac:dyDescent="0.3"/>
    <row r="417" s="12" customFormat="1" x14ac:dyDescent="0.3"/>
    <row r="418" s="12" customFormat="1" x14ac:dyDescent="0.3"/>
    <row r="419" s="12" customFormat="1" x14ac:dyDescent="0.3"/>
    <row r="420" s="12" customFormat="1" x14ac:dyDescent="0.3"/>
    <row r="421" s="12" customFormat="1" x14ac:dyDescent="0.3"/>
    <row r="422" s="12" customFormat="1" x14ac:dyDescent="0.3"/>
    <row r="423" s="12" customFormat="1" x14ac:dyDescent="0.3"/>
    <row r="424" s="12" customFormat="1" x14ac:dyDescent="0.3"/>
    <row r="425" s="12" customFormat="1" x14ac:dyDescent="0.3"/>
    <row r="426" s="12" customFormat="1" x14ac:dyDescent="0.3"/>
    <row r="427" s="12" customFormat="1" x14ac:dyDescent="0.3"/>
    <row r="428" s="12" customFormat="1" x14ac:dyDescent="0.3"/>
    <row r="429" s="12" customFormat="1" x14ac:dyDescent="0.3"/>
    <row r="430" s="12" customFormat="1" x14ac:dyDescent="0.3"/>
    <row r="431" s="12" customFormat="1" x14ac:dyDescent="0.3"/>
    <row r="432" s="12" customFormat="1" x14ac:dyDescent="0.3"/>
    <row r="433" s="12" customFormat="1" x14ac:dyDescent="0.3"/>
    <row r="434" s="12" customFormat="1" x14ac:dyDescent="0.3"/>
    <row r="435" s="12" customFormat="1" x14ac:dyDescent="0.3"/>
    <row r="436" s="12" customFormat="1" x14ac:dyDescent="0.3"/>
    <row r="437" s="12" customFormat="1" x14ac:dyDescent="0.3"/>
    <row r="438" s="12" customFormat="1" x14ac:dyDescent="0.3"/>
    <row r="439" s="12" customFormat="1" x14ac:dyDescent="0.3"/>
    <row r="440" s="12" customFormat="1" x14ac:dyDescent="0.3"/>
    <row r="441" s="12" customFormat="1" x14ac:dyDescent="0.3"/>
    <row r="442" s="12" customFormat="1" x14ac:dyDescent="0.3"/>
    <row r="443" s="12" customFormat="1" x14ac:dyDescent="0.3"/>
    <row r="444" s="12" customFormat="1" x14ac:dyDescent="0.3"/>
    <row r="445" s="12" customFormat="1" x14ac:dyDescent="0.3"/>
    <row r="446" s="12" customFormat="1" x14ac:dyDescent="0.3"/>
    <row r="447" s="12" customFormat="1" x14ac:dyDescent="0.3"/>
    <row r="448" s="12" customFormat="1" x14ac:dyDescent="0.3"/>
    <row r="449" s="12" customFormat="1" x14ac:dyDescent="0.3"/>
    <row r="450" s="12" customFormat="1" x14ac:dyDescent="0.3"/>
    <row r="451" s="12" customFormat="1" x14ac:dyDescent="0.3"/>
    <row r="452" s="12" customFormat="1" x14ac:dyDescent="0.3"/>
    <row r="453" s="12" customFormat="1" x14ac:dyDescent="0.3"/>
    <row r="454" s="12" customFormat="1" x14ac:dyDescent="0.3"/>
    <row r="455" s="12" customFormat="1" x14ac:dyDescent="0.3"/>
    <row r="456" s="12" customFormat="1" x14ac:dyDescent="0.3"/>
    <row r="457" s="12" customFormat="1" x14ac:dyDescent="0.3"/>
    <row r="458" s="12" customFormat="1" x14ac:dyDescent="0.3"/>
    <row r="459" s="12" customFormat="1" x14ac:dyDescent="0.3"/>
    <row r="460" s="12" customFormat="1" x14ac:dyDescent="0.3"/>
    <row r="461" s="12" customFormat="1" x14ac:dyDescent="0.3"/>
    <row r="462" s="12" customFormat="1" x14ac:dyDescent="0.3"/>
    <row r="463" s="12" customFormat="1" x14ac:dyDescent="0.3"/>
    <row r="464" s="12" customFormat="1" x14ac:dyDescent="0.3"/>
    <row r="465" s="12" customFormat="1" x14ac:dyDescent="0.3"/>
    <row r="466" s="12" customFormat="1" x14ac:dyDescent="0.3"/>
    <row r="467" s="12" customFormat="1" x14ac:dyDescent="0.3"/>
    <row r="468" s="12" customFormat="1" x14ac:dyDescent="0.3"/>
    <row r="469" s="12" customFormat="1" x14ac:dyDescent="0.3"/>
    <row r="470" s="12" customFormat="1" x14ac:dyDescent="0.3"/>
    <row r="471" s="12" customFormat="1" x14ac:dyDescent="0.3"/>
    <row r="472" s="12" customFormat="1" x14ac:dyDescent="0.3"/>
    <row r="473" s="12" customFormat="1" x14ac:dyDescent="0.3"/>
    <row r="474" s="12" customFormat="1" x14ac:dyDescent="0.3"/>
    <row r="475" s="12" customFormat="1" x14ac:dyDescent="0.3"/>
    <row r="476" s="12" customFormat="1" x14ac:dyDescent="0.3"/>
    <row r="477" s="12" customFormat="1" x14ac:dyDescent="0.3"/>
    <row r="478" s="12" customFormat="1" x14ac:dyDescent="0.3"/>
    <row r="479" s="12" customFormat="1" x14ac:dyDescent="0.3"/>
    <row r="480" s="12" customFormat="1" x14ac:dyDescent="0.3"/>
    <row r="481" s="12" customFormat="1" x14ac:dyDescent="0.3"/>
    <row r="482" s="12" customFormat="1" x14ac:dyDescent="0.3"/>
    <row r="483" s="12" customFormat="1" x14ac:dyDescent="0.3"/>
    <row r="484" s="12" customFormat="1" x14ac:dyDescent="0.3"/>
    <row r="485" s="12" customFormat="1" x14ac:dyDescent="0.3"/>
    <row r="486" s="12" customFormat="1" x14ac:dyDescent="0.3"/>
    <row r="487" s="12" customFormat="1" x14ac:dyDescent="0.3"/>
    <row r="488" s="12" customFormat="1" x14ac:dyDescent="0.3"/>
    <row r="489" s="12" customFormat="1" x14ac:dyDescent="0.3"/>
    <row r="490" s="12" customFormat="1" x14ac:dyDescent="0.3"/>
    <row r="491" s="12" customFormat="1" x14ac:dyDescent="0.3"/>
    <row r="492" s="12" customFormat="1" x14ac:dyDescent="0.3"/>
    <row r="493" s="12" customFormat="1" x14ac:dyDescent="0.3"/>
    <row r="494" s="12" customFormat="1" x14ac:dyDescent="0.3"/>
    <row r="495" s="12" customFormat="1" x14ac:dyDescent="0.3"/>
    <row r="496" s="12" customFormat="1" x14ac:dyDescent="0.3"/>
    <row r="497" s="12" customFormat="1" x14ac:dyDescent="0.3"/>
    <row r="498" s="12" customFormat="1" x14ac:dyDescent="0.3"/>
    <row r="499" s="12" customFormat="1" x14ac:dyDescent="0.3"/>
    <row r="500" s="12" customFormat="1" x14ac:dyDescent="0.3"/>
    <row r="501" s="12" customFormat="1" x14ac:dyDescent="0.3"/>
    <row r="502" s="12" customFormat="1" x14ac:dyDescent="0.3"/>
    <row r="503" s="12" customFormat="1" x14ac:dyDescent="0.3"/>
    <row r="504" s="12" customFormat="1" x14ac:dyDescent="0.3"/>
    <row r="505" s="12" customFormat="1" x14ac:dyDescent="0.3"/>
    <row r="506" s="12" customFormat="1" x14ac:dyDescent="0.3"/>
    <row r="507" s="12" customFormat="1" x14ac:dyDescent="0.3"/>
    <row r="508" s="12" customFormat="1" x14ac:dyDescent="0.3"/>
    <row r="509" s="12" customFormat="1" x14ac:dyDescent="0.3"/>
    <row r="510" s="12" customFormat="1" x14ac:dyDescent="0.3"/>
    <row r="511" s="12" customFormat="1" x14ac:dyDescent="0.3"/>
    <row r="512" s="12" customFormat="1" x14ac:dyDescent="0.3"/>
    <row r="513" s="12" customFormat="1" x14ac:dyDescent="0.3"/>
    <row r="514" s="12" customFormat="1" x14ac:dyDescent="0.3"/>
    <row r="515" s="12" customFormat="1" x14ac:dyDescent="0.3"/>
    <row r="516" s="12" customFormat="1" x14ac:dyDescent="0.3"/>
    <row r="517" s="12" customFormat="1" x14ac:dyDescent="0.3"/>
    <row r="518" s="12" customFormat="1" x14ac:dyDescent="0.3"/>
    <row r="519" s="12" customFormat="1" x14ac:dyDescent="0.3"/>
    <row r="520" s="12" customFormat="1" x14ac:dyDescent="0.3"/>
    <row r="521" s="12" customFormat="1" x14ac:dyDescent="0.3"/>
    <row r="522" s="12" customFormat="1" x14ac:dyDescent="0.3"/>
    <row r="523" s="12" customFormat="1" x14ac:dyDescent="0.3"/>
    <row r="524" s="12" customFormat="1" x14ac:dyDescent="0.3"/>
    <row r="525" s="12" customFormat="1" x14ac:dyDescent="0.3"/>
    <row r="526" s="12" customFormat="1" x14ac:dyDescent="0.3"/>
    <row r="527" s="12" customFormat="1" x14ac:dyDescent="0.3"/>
    <row r="528" s="12" customFormat="1" x14ac:dyDescent="0.3"/>
    <row r="529" s="12" customFormat="1" x14ac:dyDescent="0.3"/>
    <row r="530" s="12" customFormat="1" x14ac:dyDescent="0.3"/>
    <row r="531" s="12" customFormat="1" x14ac:dyDescent="0.3"/>
    <row r="532" s="12" customFormat="1" x14ac:dyDescent="0.3"/>
    <row r="533" s="12" customFormat="1" x14ac:dyDescent="0.3"/>
    <row r="534" s="12" customFormat="1" x14ac:dyDescent="0.3"/>
    <row r="535" s="12" customFormat="1" x14ac:dyDescent="0.3"/>
    <row r="536" s="12" customFormat="1" x14ac:dyDescent="0.3"/>
    <row r="537" s="12" customFormat="1" x14ac:dyDescent="0.3"/>
    <row r="538" s="12" customFormat="1" x14ac:dyDescent="0.3"/>
    <row r="539" s="12" customFormat="1" x14ac:dyDescent="0.3"/>
    <row r="540" s="12" customFormat="1" x14ac:dyDescent="0.3"/>
    <row r="541" s="12" customFormat="1" x14ac:dyDescent="0.3"/>
    <row r="542" s="12" customFormat="1" x14ac:dyDescent="0.3"/>
    <row r="543" s="12" customFormat="1" x14ac:dyDescent="0.3"/>
    <row r="544" s="12" customFormat="1" x14ac:dyDescent="0.3"/>
    <row r="545" s="12" customFormat="1" x14ac:dyDescent="0.3"/>
    <row r="546" s="12" customFormat="1" x14ac:dyDescent="0.3"/>
    <row r="547" s="12" customFormat="1" x14ac:dyDescent="0.3"/>
    <row r="548" s="12" customFormat="1" x14ac:dyDescent="0.3"/>
    <row r="549" s="12" customFormat="1" x14ac:dyDescent="0.3"/>
    <row r="550" s="12" customFormat="1" x14ac:dyDescent="0.3"/>
    <row r="551" s="12" customFormat="1" x14ac:dyDescent="0.3"/>
    <row r="552" s="12" customFormat="1" x14ac:dyDescent="0.3"/>
    <row r="553" s="12" customFormat="1" x14ac:dyDescent="0.3"/>
    <row r="554" s="12" customFormat="1" x14ac:dyDescent="0.3"/>
    <row r="555" s="12" customFormat="1" x14ac:dyDescent="0.3"/>
    <row r="556" s="12" customFormat="1" x14ac:dyDescent="0.3"/>
    <row r="557" s="12" customFormat="1" x14ac:dyDescent="0.3"/>
    <row r="558" s="12" customFormat="1" x14ac:dyDescent="0.3"/>
    <row r="559" s="12" customFormat="1" x14ac:dyDescent="0.3"/>
    <row r="560" s="12" customFormat="1" x14ac:dyDescent="0.3"/>
    <row r="561" s="12" customFormat="1" x14ac:dyDescent="0.3"/>
    <row r="562" s="12" customFormat="1" x14ac:dyDescent="0.3"/>
    <row r="563" s="12" customFormat="1" x14ac:dyDescent="0.3"/>
    <row r="564" s="12" customFormat="1" x14ac:dyDescent="0.3"/>
    <row r="565" s="12" customFormat="1" x14ac:dyDescent="0.3"/>
    <row r="566" s="12" customFormat="1" x14ac:dyDescent="0.3"/>
    <row r="567" s="12" customFormat="1" x14ac:dyDescent="0.3"/>
    <row r="568" s="12" customFormat="1" x14ac:dyDescent="0.3"/>
    <row r="569" s="12" customFormat="1" x14ac:dyDescent="0.3"/>
    <row r="570" s="12" customFormat="1" x14ac:dyDescent="0.3"/>
    <row r="571" s="12" customFormat="1" x14ac:dyDescent="0.3"/>
    <row r="572" s="12" customFormat="1" x14ac:dyDescent="0.3"/>
    <row r="573" s="12" customFormat="1" x14ac:dyDescent="0.3"/>
    <row r="574" s="12" customFormat="1" x14ac:dyDescent="0.3"/>
    <row r="575" s="12" customFormat="1" x14ac:dyDescent="0.3"/>
    <row r="576" s="12" customFormat="1" x14ac:dyDescent="0.3"/>
    <row r="577" s="12" customFormat="1" x14ac:dyDescent="0.3"/>
    <row r="578" s="12" customFormat="1" x14ac:dyDescent="0.3"/>
    <row r="579" s="12" customFormat="1" x14ac:dyDescent="0.3"/>
    <row r="580" s="12" customFormat="1" x14ac:dyDescent="0.3"/>
    <row r="581" s="12" customFormat="1" x14ac:dyDescent="0.3"/>
    <row r="582" s="12" customFormat="1" x14ac:dyDescent="0.3"/>
    <row r="583" s="12" customFormat="1" x14ac:dyDescent="0.3"/>
    <row r="584" s="12" customFormat="1" x14ac:dyDescent="0.3"/>
    <row r="585" s="12" customFormat="1" x14ac:dyDescent="0.3"/>
    <row r="586" s="12" customFormat="1" x14ac:dyDescent="0.3"/>
    <row r="587" s="12" customFormat="1" x14ac:dyDescent="0.3"/>
    <row r="588" s="12" customFormat="1" x14ac:dyDescent="0.3"/>
    <row r="589" s="12" customFormat="1" x14ac:dyDescent="0.3"/>
    <row r="590" s="12" customFormat="1" x14ac:dyDescent="0.3"/>
    <row r="591" s="12" customFormat="1" x14ac:dyDescent="0.3"/>
    <row r="592" s="12" customFormat="1" x14ac:dyDescent="0.3"/>
    <row r="593" s="12" customFormat="1" x14ac:dyDescent="0.3"/>
    <row r="594" s="12" customFormat="1" x14ac:dyDescent="0.3"/>
    <row r="595" s="12" customFormat="1" x14ac:dyDescent="0.3"/>
    <row r="596" s="12" customFormat="1" x14ac:dyDescent="0.3"/>
    <row r="597" s="12" customFormat="1" x14ac:dyDescent="0.3"/>
    <row r="598" s="12" customFormat="1" x14ac:dyDescent="0.3"/>
    <row r="599" s="12" customFormat="1" x14ac:dyDescent="0.3"/>
    <row r="600" s="12" customFormat="1" x14ac:dyDescent="0.3"/>
    <row r="601" s="12" customFormat="1" x14ac:dyDescent="0.3"/>
    <row r="602" s="12" customFormat="1" x14ac:dyDescent="0.3"/>
    <row r="603" s="12" customFormat="1" x14ac:dyDescent="0.3"/>
    <row r="604" s="12" customFormat="1" x14ac:dyDescent="0.3"/>
    <row r="605" s="12" customFormat="1" x14ac:dyDescent="0.3"/>
    <row r="606" s="12" customFormat="1" x14ac:dyDescent="0.3"/>
    <row r="607" s="12" customFormat="1" x14ac:dyDescent="0.3"/>
    <row r="608" s="12" customFormat="1" x14ac:dyDescent="0.3"/>
    <row r="609" s="12" customFormat="1" x14ac:dyDescent="0.3"/>
    <row r="610" s="12" customFormat="1" x14ac:dyDescent="0.3"/>
    <row r="611" s="12" customFormat="1" x14ac:dyDescent="0.3"/>
    <row r="612" s="12" customFormat="1" x14ac:dyDescent="0.3"/>
    <row r="613" s="12" customFormat="1" x14ac:dyDescent="0.3"/>
    <row r="614" s="12" customFormat="1" x14ac:dyDescent="0.3"/>
    <row r="615" s="12" customFormat="1" x14ac:dyDescent="0.3"/>
    <row r="616" s="12" customFormat="1" x14ac:dyDescent="0.3"/>
    <row r="617" s="12" customFormat="1" x14ac:dyDescent="0.3"/>
    <row r="618" s="12" customFormat="1" x14ac:dyDescent="0.3"/>
    <row r="619" s="12" customFormat="1" x14ac:dyDescent="0.3"/>
    <row r="620" s="12" customFormat="1" x14ac:dyDescent="0.3"/>
    <row r="621" s="12" customFormat="1" x14ac:dyDescent="0.3"/>
    <row r="622" s="12" customFormat="1" x14ac:dyDescent="0.3"/>
    <row r="623" s="12" customFormat="1" x14ac:dyDescent="0.3"/>
    <row r="624" s="12" customFormat="1" x14ac:dyDescent="0.3"/>
    <row r="625" s="12" customFormat="1" x14ac:dyDescent="0.3"/>
    <row r="626" s="12" customFormat="1" x14ac:dyDescent="0.3"/>
    <row r="627" s="12" customFormat="1" x14ac:dyDescent="0.3"/>
    <row r="628" s="12" customFormat="1" x14ac:dyDescent="0.3"/>
    <row r="629" s="12" customFormat="1" x14ac:dyDescent="0.3"/>
    <row r="630" s="12" customFormat="1" x14ac:dyDescent="0.3"/>
    <row r="631" s="12" customFormat="1" x14ac:dyDescent="0.3"/>
    <row r="632" s="12" customFormat="1" x14ac:dyDescent="0.3"/>
    <row r="633" s="12" customFormat="1" x14ac:dyDescent="0.3"/>
    <row r="634" s="12" customFormat="1" x14ac:dyDescent="0.3"/>
    <row r="635" s="12" customFormat="1" x14ac:dyDescent="0.3"/>
    <row r="636" s="12" customFormat="1" x14ac:dyDescent="0.3"/>
    <row r="637" s="12" customFormat="1" x14ac:dyDescent="0.3"/>
    <row r="638" s="12" customFormat="1" x14ac:dyDescent="0.3"/>
    <row r="639" s="12" customFormat="1" x14ac:dyDescent="0.3"/>
    <row r="640" s="12" customFormat="1" x14ac:dyDescent="0.3"/>
    <row r="641" s="12" customFormat="1" x14ac:dyDescent="0.3"/>
    <row r="642" s="12" customFormat="1" x14ac:dyDescent="0.3"/>
    <row r="643" s="12" customFormat="1" x14ac:dyDescent="0.3"/>
    <row r="644" s="12" customFormat="1" x14ac:dyDescent="0.3"/>
    <row r="645" s="12" customFormat="1" x14ac:dyDescent="0.3"/>
    <row r="646" s="12" customFormat="1" x14ac:dyDescent="0.3"/>
    <row r="647" s="12" customFormat="1" x14ac:dyDescent="0.3"/>
    <row r="648" s="12" customFormat="1" x14ac:dyDescent="0.3"/>
    <row r="649" s="12" customFormat="1" x14ac:dyDescent="0.3"/>
    <row r="650" s="12" customFormat="1" x14ac:dyDescent="0.3"/>
    <row r="651" s="12" customFormat="1" x14ac:dyDescent="0.3"/>
    <row r="652" s="12" customFormat="1" x14ac:dyDescent="0.3"/>
    <row r="653" s="12" customFormat="1" x14ac:dyDescent="0.3"/>
    <row r="654" s="12" customFormat="1" x14ac:dyDescent="0.3"/>
    <row r="655" s="12" customFormat="1" x14ac:dyDescent="0.3"/>
    <row r="656" s="12" customFormat="1" x14ac:dyDescent="0.3"/>
    <row r="657" s="12" customFormat="1" x14ac:dyDescent="0.3"/>
    <row r="658" s="12" customFormat="1" x14ac:dyDescent="0.3"/>
    <row r="659" s="12" customFormat="1" x14ac:dyDescent="0.3"/>
    <row r="660" s="12" customFormat="1" x14ac:dyDescent="0.3"/>
    <row r="661" s="12" customFormat="1" x14ac:dyDescent="0.3"/>
    <row r="662" s="12" customFormat="1" x14ac:dyDescent="0.3"/>
    <row r="663" s="12" customFormat="1" x14ac:dyDescent="0.3"/>
    <row r="664" s="12" customFormat="1" x14ac:dyDescent="0.3"/>
    <row r="665" s="12" customFormat="1" x14ac:dyDescent="0.3"/>
    <row r="666" s="12" customFormat="1" x14ac:dyDescent="0.3"/>
    <row r="667" s="12" customFormat="1" x14ac:dyDescent="0.3"/>
    <row r="668" s="12" customFormat="1" x14ac:dyDescent="0.3"/>
    <row r="669" s="12" customFormat="1" x14ac:dyDescent="0.3"/>
    <row r="670" s="12" customFormat="1" x14ac:dyDescent="0.3"/>
    <row r="671" s="12" customFormat="1" x14ac:dyDescent="0.3"/>
    <row r="672" s="12" customFormat="1" x14ac:dyDescent="0.3"/>
    <row r="673" s="12" customFormat="1" x14ac:dyDescent="0.3"/>
    <row r="674" s="12" customFormat="1" x14ac:dyDescent="0.3"/>
    <row r="675" s="12" customFormat="1" x14ac:dyDescent="0.3"/>
    <row r="676" s="12" customFormat="1" x14ac:dyDescent="0.3"/>
    <row r="677" s="12" customFormat="1" x14ac:dyDescent="0.3"/>
    <row r="678" s="12" customFormat="1" x14ac:dyDescent="0.3"/>
    <row r="679" s="12" customFormat="1" x14ac:dyDescent="0.3"/>
    <row r="680" s="12" customFormat="1" x14ac:dyDescent="0.3"/>
    <row r="681" s="12" customFormat="1" x14ac:dyDescent="0.3"/>
    <row r="682" s="12" customFormat="1" x14ac:dyDescent="0.3"/>
    <row r="683" s="12" customFormat="1" x14ac:dyDescent="0.3"/>
    <row r="684" s="12" customFormat="1" x14ac:dyDescent="0.3"/>
    <row r="685" s="12" customFormat="1" x14ac:dyDescent="0.3"/>
    <row r="686" s="12" customFormat="1" x14ac:dyDescent="0.3"/>
    <row r="687" s="12" customFormat="1" x14ac:dyDescent="0.3"/>
    <row r="688" s="12" customFormat="1" x14ac:dyDescent="0.3"/>
    <row r="689" s="12" customFormat="1" x14ac:dyDescent="0.3"/>
    <row r="690" s="12" customFormat="1" x14ac:dyDescent="0.3"/>
    <row r="691" s="12" customFormat="1" x14ac:dyDescent="0.3"/>
    <row r="692" s="12" customFormat="1" x14ac:dyDescent="0.3"/>
    <row r="693" s="12" customFormat="1" x14ac:dyDescent="0.3"/>
    <row r="694" s="12" customFormat="1" x14ac:dyDescent="0.3"/>
    <row r="695" s="12" customFormat="1" x14ac:dyDescent="0.3"/>
    <row r="696" s="12" customFormat="1" x14ac:dyDescent="0.3"/>
    <row r="697" s="12" customFormat="1" x14ac:dyDescent="0.3"/>
    <row r="698" s="12" customFormat="1" x14ac:dyDescent="0.3"/>
    <row r="699" s="12" customFormat="1" x14ac:dyDescent="0.3"/>
    <row r="700" s="12" customFormat="1" x14ac:dyDescent="0.3"/>
    <row r="701" s="12" customFormat="1" x14ac:dyDescent="0.3"/>
    <row r="702" s="12" customFormat="1" x14ac:dyDescent="0.3"/>
    <row r="703" s="12" customFormat="1" x14ac:dyDescent="0.3"/>
    <row r="704" s="12" customFormat="1" x14ac:dyDescent="0.3"/>
    <row r="705" s="12" customFormat="1" x14ac:dyDescent="0.3"/>
    <row r="706" s="12" customFormat="1" x14ac:dyDescent="0.3"/>
    <row r="707" s="12" customFormat="1" x14ac:dyDescent="0.3"/>
    <row r="708" s="12" customFormat="1" x14ac:dyDescent="0.3"/>
    <row r="709" s="12" customFormat="1" x14ac:dyDescent="0.3"/>
    <row r="710" s="12" customFormat="1" x14ac:dyDescent="0.3"/>
    <row r="711" s="12" customFormat="1" x14ac:dyDescent="0.3"/>
    <row r="712" s="12" customFormat="1" x14ac:dyDescent="0.3"/>
    <row r="713" s="12" customFormat="1" x14ac:dyDescent="0.3"/>
    <row r="714" s="12" customFormat="1" x14ac:dyDescent="0.3"/>
    <row r="715" s="12" customFormat="1" x14ac:dyDescent="0.3"/>
    <row r="716" s="12" customFormat="1" x14ac:dyDescent="0.3"/>
    <row r="717" s="12" customFormat="1" x14ac:dyDescent="0.3"/>
    <row r="718" s="12" customFormat="1" x14ac:dyDescent="0.3"/>
    <row r="719" s="12" customFormat="1" x14ac:dyDescent="0.3"/>
    <row r="720" s="12" customFormat="1" x14ac:dyDescent="0.3"/>
    <row r="721" s="12" customFormat="1" x14ac:dyDescent="0.3"/>
    <row r="722" s="12" customFormat="1" x14ac:dyDescent="0.3"/>
    <row r="723" s="12" customFormat="1" x14ac:dyDescent="0.3"/>
    <row r="724" s="12" customFormat="1" x14ac:dyDescent="0.3"/>
    <row r="725" s="12" customFormat="1" x14ac:dyDescent="0.3"/>
    <row r="726" s="12" customFormat="1" x14ac:dyDescent="0.3"/>
    <row r="727" s="12" customFormat="1" x14ac:dyDescent="0.3"/>
    <row r="728" s="12" customFormat="1" x14ac:dyDescent="0.3"/>
    <row r="729" s="12" customFormat="1" x14ac:dyDescent="0.3"/>
    <row r="730" s="12" customFormat="1" x14ac:dyDescent="0.3"/>
    <row r="731" s="12" customFormat="1" x14ac:dyDescent="0.3"/>
    <row r="732" s="12" customFormat="1" x14ac:dyDescent="0.3"/>
    <row r="733" s="12" customFormat="1" x14ac:dyDescent="0.3"/>
    <row r="734" s="12" customFormat="1" x14ac:dyDescent="0.3"/>
    <row r="735" s="12" customFormat="1" x14ac:dyDescent="0.3"/>
    <row r="736" s="12" customFormat="1" x14ac:dyDescent="0.3"/>
    <row r="737" s="12" customFormat="1" x14ac:dyDescent="0.3"/>
    <row r="738" s="12" customFormat="1" x14ac:dyDescent="0.3"/>
    <row r="739" s="12" customFormat="1" x14ac:dyDescent="0.3"/>
    <row r="740" s="12" customFormat="1" x14ac:dyDescent="0.3"/>
    <row r="741" s="12" customFormat="1" x14ac:dyDescent="0.3"/>
    <row r="742" s="12" customFormat="1" x14ac:dyDescent="0.3"/>
    <row r="743" s="12" customFormat="1" x14ac:dyDescent="0.3"/>
    <row r="744" s="12" customFormat="1" x14ac:dyDescent="0.3"/>
    <row r="745" s="12" customFormat="1" x14ac:dyDescent="0.3"/>
    <row r="746" s="12" customFormat="1" x14ac:dyDescent="0.3"/>
    <row r="747" s="12" customFormat="1" x14ac:dyDescent="0.3"/>
    <row r="748" s="12" customFormat="1" x14ac:dyDescent="0.3"/>
    <row r="749" s="12" customFormat="1" x14ac:dyDescent="0.3"/>
    <row r="750" s="12" customFormat="1" x14ac:dyDescent="0.3"/>
    <row r="751" s="12" customFormat="1" x14ac:dyDescent="0.3"/>
    <row r="752" s="12" customFormat="1" x14ac:dyDescent="0.3"/>
    <row r="753" s="12" customFormat="1" x14ac:dyDescent="0.3"/>
    <row r="754" s="12" customFormat="1" x14ac:dyDescent="0.3"/>
    <row r="755" s="12" customFormat="1" x14ac:dyDescent="0.3"/>
    <row r="756" s="12" customFormat="1" x14ac:dyDescent="0.3"/>
    <row r="757" s="12" customFormat="1" x14ac:dyDescent="0.3"/>
    <row r="758" s="12" customFormat="1" x14ac:dyDescent="0.3"/>
    <row r="759" s="12" customFormat="1" x14ac:dyDescent="0.3"/>
    <row r="760" s="12" customFormat="1" x14ac:dyDescent="0.3"/>
    <row r="761" s="12" customFormat="1" x14ac:dyDescent="0.3"/>
    <row r="762" s="12" customFormat="1" x14ac:dyDescent="0.3"/>
    <row r="763" s="12" customFormat="1" x14ac:dyDescent="0.3"/>
    <row r="764" s="12" customFormat="1" x14ac:dyDescent="0.3"/>
    <row r="765" s="12" customFormat="1" x14ac:dyDescent="0.3"/>
    <row r="766" s="12" customFormat="1" x14ac:dyDescent="0.3"/>
    <row r="767" s="12" customFormat="1" x14ac:dyDescent="0.3"/>
    <row r="768" s="12" customFormat="1" x14ac:dyDescent="0.3"/>
    <row r="769" s="12" customFormat="1" x14ac:dyDescent="0.3"/>
    <row r="770" s="12" customFormat="1" x14ac:dyDescent="0.3"/>
    <row r="771" s="12" customFormat="1" x14ac:dyDescent="0.3"/>
    <row r="772" s="12" customFormat="1" x14ac:dyDescent="0.3"/>
    <row r="773" s="12" customFormat="1" x14ac:dyDescent="0.3"/>
    <row r="774" s="12" customFormat="1" x14ac:dyDescent="0.3"/>
    <row r="775" s="12" customFormat="1" x14ac:dyDescent="0.3"/>
    <row r="776" s="12" customFormat="1" x14ac:dyDescent="0.3"/>
    <row r="777" s="12" customFormat="1" x14ac:dyDescent="0.3"/>
    <row r="778" s="12" customFormat="1" x14ac:dyDescent="0.3"/>
    <row r="779" s="12" customFormat="1" x14ac:dyDescent="0.3"/>
    <row r="780" s="12" customFormat="1" x14ac:dyDescent="0.3"/>
    <row r="781" s="12" customFormat="1" x14ac:dyDescent="0.3"/>
    <row r="782" s="12" customFormat="1" x14ac:dyDescent="0.3"/>
    <row r="783" s="12" customFormat="1" x14ac:dyDescent="0.3"/>
    <row r="784" s="12" customFormat="1" x14ac:dyDescent="0.3"/>
    <row r="785" s="12" customFormat="1" x14ac:dyDescent="0.3"/>
    <row r="786" s="12" customFormat="1" x14ac:dyDescent="0.3"/>
    <row r="787" s="12" customFormat="1" x14ac:dyDescent="0.3"/>
    <row r="788" s="12" customFormat="1" x14ac:dyDescent="0.3"/>
    <row r="789" s="12" customFormat="1" x14ac:dyDescent="0.3"/>
    <row r="790" s="12" customFormat="1" x14ac:dyDescent="0.3"/>
    <row r="791" s="12" customFormat="1" x14ac:dyDescent="0.3"/>
    <row r="792" s="12" customFormat="1" x14ac:dyDescent="0.3"/>
    <row r="793" s="12" customFormat="1" x14ac:dyDescent="0.3"/>
    <row r="794" s="12" customFormat="1" x14ac:dyDescent="0.3"/>
    <row r="795" s="12" customFormat="1" x14ac:dyDescent="0.3"/>
    <row r="796" s="12" customFormat="1" x14ac:dyDescent="0.3"/>
    <row r="797" s="12" customFormat="1" x14ac:dyDescent="0.3"/>
    <row r="798" s="12" customFormat="1" x14ac:dyDescent="0.3"/>
    <row r="799" s="12" customFormat="1" x14ac:dyDescent="0.3"/>
  </sheetData>
  <sheetProtection selectLockedCells="1"/>
  <mergeCells count="20">
    <mergeCell ref="A1:F1"/>
    <mergeCell ref="A2:F2"/>
    <mergeCell ref="A3:G3"/>
    <mergeCell ref="Q22:V22"/>
    <mergeCell ref="F8:F9"/>
    <mergeCell ref="B8:B9"/>
    <mergeCell ref="C8:C9"/>
    <mergeCell ref="D8:D9"/>
    <mergeCell ref="E8:E9"/>
    <mergeCell ref="B7:F7"/>
    <mergeCell ref="G7:W7"/>
    <mergeCell ref="X8:AB8"/>
    <mergeCell ref="X7:AB7"/>
    <mergeCell ref="B6:AB6"/>
    <mergeCell ref="Q23:V23"/>
    <mergeCell ref="Q24:V24"/>
    <mergeCell ref="G8:M8"/>
    <mergeCell ref="N8:R8"/>
    <mergeCell ref="Q19:V19"/>
    <mergeCell ref="S8:W8"/>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Dropdowns!$B$6:$B$8</xm:f>
          </x14:formula1>
          <xm:sqref>G10:AB10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F116"/>
  <sheetViews>
    <sheetView topLeftCell="B1" zoomScale="80" zoomScaleNormal="80" workbookViewId="0">
      <pane xSplit="3" ySplit="5" topLeftCell="E6" activePane="bottomRight" state="frozen"/>
      <selection activeCell="B1" sqref="B1"/>
      <selection pane="topRight" activeCell="E1" sqref="E1"/>
      <selection pane="bottomLeft" activeCell="B6" sqref="B6"/>
      <selection pane="bottomRight" activeCell="I11" sqref="I11"/>
    </sheetView>
  </sheetViews>
  <sheetFormatPr defaultColWidth="9.296875" defaultRowHeight="15.5" x14ac:dyDescent="0.3"/>
  <cols>
    <col min="1" max="1" width="9.296875" style="1386"/>
    <col min="2" max="3" width="43.796875" style="1386" customWidth="1"/>
    <col min="4" max="4" width="34.19921875" style="1386" customWidth="1"/>
    <col min="5" max="5" width="9.796875" style="1386" hidden="1" customWidth="1"/>
    <col min="6" max="6" width="9.296875" style="1386" hidden="1" customWidth="1"/>
    <col min="7" max="7" width="10.19921875" style="1386" hidden="1" customWidth="1"/>
    <col min="8" max="8" width="9.69921875" style="1386" hidden="1" customWidth="1"/>
    <col min="9" max="9" width="64.19921875" style="1386" customWidth="1"/>
    <col min="10" max="10" width="9.3984375" style="1386" hidden="1" customWidth="1"/>
    <col min="11" max="11" width="8.796875" style="1386" hidden="1" customWidth="1"/>
    <col min="12" max="12" width="33.296875" style="1386" customWidth="1"/>
    <col min="13" max="13" width="29.3984375" style="1386" customWidth="1"/>
    <col min="14" max="14" width="32.796875" style="2759" customWidth="1"/>
    <col min="15" max="15" width="13.796875" style="1386" hidden="1" customWidth="1"/>
    <col min="16" max="16" width="36.3984375" style="1386" customWidth="1"/>
    <col min="17" max="17" width="35.796875" style="1386" customWidth="1"/>
    <col min="18" max="18" width="0" style="1386" hidden="1" customWidth="1"/>
    <col min="19" max="19" width="37.8984375" style="1386" customWidth="1"/>
    <col min="20" max="20" width="30.296875" style="1386" customWidth="1"/>
    <col min="21" max="21" width="40" style="1386" customWidth="1"/>
    <col min="22" max="22" width="33.3984375" style="2760" customWidth="1"/>
    <col min="23" max="23" width="10.19921875" style="1559" hidden="1" customWidth="1"/>
    <col min="24" max="24" width="51.69921875" style="1386" customWidth="1"/>
    <col min="25" max="25" width="30.69921875" style="1386" customWidth="1"/>
    <col min="26" max="26" width="27.296875" style="1386" customWidth="1"/>
    <col min="27" max="16384" width="9.296875" style="1386"/>
  </cols>
  <sheetData>
    <row r="1" spans="1:26" s="3993" customFormat="1" ht="75" customHeight="1" x14ac:dyDescent="0.3">
      <c r="B1" s="4460"/>
      <c r="C1" s="4460"/>
      <c r="D1" s="4460"/>
      <c r="N1" s="4323"/>
      <c r="V1" s="4326"/>
      <c r="W1" s="3652"/>
    </row>
    <row r="2" spans="1:26" s="3993" customFormat="1" ht="96.75" customHeight="1" x14ac:dyDescent="0.3">
      <c r="B2" s="4461" t="s">
        <v>2280</v>
      </c>
      <c r="C2" s="4462"/>
      <c r="D2" s="4462"/>
      <c r="N2" s="4323"/>
      <c r="V2" s="4326"/>
      <c r="W2" s="3652"/>
    </row>
    <row r="3" spans="1:26" s="3993" customFormat="1" x14ac:dyDescent="0.3">
      <c r="B3" s="4746"/>
      <c r="C3" s="4746"/>
      <c r="D3" s="4746"/>
      <c r="N3" s="4323"/>
      <c r="V3" s="4326"/>
      <c r="W3" s="3652"/>
    </row>
    <row r="4" spans="1:26" s="3993" customFormat="1" ht="42.75" customHeight="1" thickBot="1" x14ac:dyDescent="0.35">
      <c r="A4" s="4320"/>
      <c r="B4" s="4939" t="s">
        <v>2285</v>
      </c>
      <c r="C4" s="4940"/>
      <c r="D4" s="4940"/>
      <c r="E4" s="3755"/>
      <c r="F4" s="4324"/>
      <c r="G4" s="4324"/>
      <c r="H4" s="4324"/>
      <c r="I4" s="4324"/>
      <c r="J4" s="4324"/>
      <c r="K4" s="4324"/>
      <c r="L4" s="4324"/>
      <c r="M4" s="4324"/>
      <c r="N4" s="4339"/>
      <c r="O4" s="4324"/>
      <c r="P4" s="4324"/>
      <c r="Q4" s="4324"/>
      <c r="R4" s="4324"/>
      <c r="S4" s="4324"/>
      <c r="T4" s="4324"/>
      <c r="U4" s="4324"/>
      <c r="V4" s="4326"/>
      <c r="W4" s="3652"/>
      <c r="X4" s="4324"/>
      <c r="Y4" s="4324"/>
      <c r="Z4" s="4324"/>
    </row>
    <row r="5" spans="1:26" s="3993" customFormat="1" ht="48" customHeight="1" thickTop="1" thickBot="1" x14ac:dyDescent="0.35">
      <c r="A5" s="4340"/>
      <c r="B5" s="4340" t="s">
        <v>1872</v>
      </c>
      <c r="C5" s="4340" t="s">
        <v>1873</v>
      </c>
      <c r="D5" s="4340" t="s">
        <v>1236</v>
      </c>
      <c r="E5" s="4340"/>
      <c r="F5" s="4340"/>
      <c r="G5" s="4340"/>
      <c r="H5" s="4340"/>
      <c r="I5" s="4340" t="s">
        <v>458</v>
      </c>
      <c r="J5" s="4340"/>
      <c r="K5" s="4340"/>
      <c r="L5" s="4340" t="s">
        <v>408</v>
      </c>
      <c r="M5" s="4340" t="s">
        <v>466</v>
      </c>
      <c r="N5" s="4341" t="s">
        <v>465</v>
      </c>
      <c r="O5" s="4340"/>
      <c r="P5" s="4340" t="s">
        <v>1221</v>
      </c>
      <c r="Q5" s="4340" t="s">
        <v>1212</v>
      </c>
      <c r="R5" s="4340"/>
      <c r="S5" s="4340" t="s">
        <v>396</v>
      </c>
      <c r="T5" s="4340" t="s">
        <v>409</v>
      </c>
      <c r="U5" s="4340" t="s">
        <v>1211</v>
      </c>
      <c r="V5" s="4342" t="s">
        <v>1801</v>
      </c>
      <c r="W5" s="4103"/>
      <c r="X5" s="4340" t="s">
        <v>10</v>
      </c>
      <c r="Y5" s="4340" t="s">
        <v>11</v>
      </c>
      <c r="Z5" s="4340" t="s">
        <v>12</v>
      </c>
    </row>
    <row r="6" spans="1:26" s="3993" customFormat="1" ht="19" thickTop="1" x14ac:dyDescent="0.3">
      <c r="B6" s="4343" t="s">
        <v>900</v>
      </c>
      <c r="C6" s="4344"/>
      <c r="D6" s="4344"/>
      <c r="E6" s="4345"/>
      <c r="F6" s="4345"/>
      <c r="G6" s="4345"/>
      <c r="H6" s="4345"/>
      <c r="I6" s="4345"/>
      <c r="J6" s="4345"/>
      <c r="K6" s="4345"/>
      <c r="L6" s="4345"/>
      <c r="M6" s="4345"/>
      <c r="N6" s="4346"/>
      <c r="O6" s="4345"/>
      <c r="P6" s="4345"/>
      <c r="Q6" s="4345"/>
      <c r="R6" s="4345"/>
      <c r="S6" s="4345"/>
      <c r="T6" s="4345"/>
      <c r="U6" s="4347"/>
      <c r="V6" s="4348"/>
      <c r="W6" s="4349"/>
      <c r="X6" s="4345"/>
      <c r="Y6" s="4345"/>
      <c r="Z6" s="4347"/>
    </row>
    <row r="7" spans="1:26" s="3993" customFormat="1" ht="331.75" customHeight="1" thickBot="1" x14ac:dyDescent="0.35">
      <c r="A7" s="4350"/>
      <c r="B7" s="4944" t="s">
        <v>2292</v>
      </c>
      <c r="C7" s="4945"/>
      <c r="D7" s="4945"/>
      <c r="E7" s="4351"/>
      <c r="F7" s="4351"/>
      <c r="G7" s="4351"/>
      <c r="H7" s="4351"/>
      <c r="I7" s="4351"/>
      <c r="J7" s="4351"/>
      <c r="K7" s="4351"/>
      <c r="L7" s="4351"/>
      <c r="M7" s="4351"/>
      <c r="N7" s="4352"/>
      <c r="O7" s="4351"/>
      <c r="P7" s="4351"/>
      <c r="Q7" s="4351"/>
      <c r="R7" s="4351"/>
      <c r="S7" s="4351"/>
      <c r="T7" s="4351"/>
      <c r="U7" s="4351"/>
      <c r="V7" s="4353"/>
      <c r="W7" s="4354"/>
      <c r="X7" s="4351"/>
      <c r="Y7" s="4351"/>
      <c r="Z7" s="4355"/>
    </row>
    <row r="8" spans="1:26" s="3993" customFormat="1" ht="19" thickTop="1" x14ac:dyDescent="0.3">
      <c r="B8" s="4324"/>
      <c r="C8" s="4324"/>
      <c r="D8" s="4324"/>
      <c r="N8" s="4323"/>
      <c r="U8" s="4356"/>
      <c r="V8" s="4326"/>
      <c r="W8" s="3652"/>
    </row>
    <row r="9" spans="1:26" s="3993" customFormat="1" ht="18.5" x14ac:dyDescent="0.3">
      <c r="A9" s="4636" t="s">
        <v>2080</v>
      </c>
      <c r="B9" s="4636"/>
      <c r="C9" s="4636"/>
      <c r="D9" s="4636"/>
      <c r="E9" s="4636"/>
      <c r="F9" s="4636"/>
      <c r="G9" s="4636"/>
      <c r="H9" s="4636"/>
      <c r="I9" s="4636"/>
      <c r="J9" s="4636"/>
      <c r="K9" s="4636"/>
      <c r="L9" s="4636"/>
      <c r="M9" s="4636"/>
      <c r="N9" s="4636"/>
      <c r="O9" s="3646"/>
      <c r="P9" s="4946"/>
      <c r="Q9" s="4946"/>
      <c r="R9" s="4946"/>
      <c r="S9" s="4946"/>
      <c r="T9" s="4946"/>
      <c r="U9" s="4946"/>
      <c r="V9" s="4327"/>
      <c r="W9" s="3805"/>
      <c r="X9" s="4636"/>
      <c r="Y9" s="4636"/>
      <c r="Z9" s="3810"/>
    </row>
    <row r="10" spans="1:26" s="3993" customFormat="1" ht="16" thickBot="1" x14ac:dyDescent="0.35">
      <c r="B10" s="4325"/>
      <c r="N10" s="4323"/>
      <c r="U10" s="4356"/>
      <c r="V10" s="4326"/>
      <c r="W10" s="3652"/>
    </row>
    <row r="11" spans="1:26" ht="44.5" thickTop="1" thickBot="1" x14ac:dyDescent="0.35">
      <c r="A11" s="57"/>
      <c r="B11" s="4193" t="s">
        <v>824</v>
      </c>
      <c r="C11" s="1809" t="s">
        <v>475</v>
      </c>
      <c r="D11" s="1925" t="s">
        <v>1233</v>
      </c>
      <c r="E11" s="138" t="b">
        <f>E18</f>
        <v>0</v>
      </c>
      <c r="F11" s="111"/>
      <c r="G11" s="2764"/>
      <c r="H11" s="2764"/>
      <c r="I11" s="2765"/>
      <c r="J11" s="2765"/>
      <c r="K11" s="2765"/>
      <c r="L11" s="2765"/>
      <c r="M11" s="2766"/>
      <c r="N11" s="4183" t="s">
        <v>1233</v>
      </c>
      <c r="O11" s="697" t="b">
        <f>O18</f>
        <v>0</v>
      </c>
      <c r="P11" s="2767"/>
      <c r="Q11" s="4183" t="s">
        <v>1233</v>
      </c>
      <c r="R11" s="697" t="b">
        <f>R18</f>
        <v>0</v>
      </c>
      <c r="S11" s="616"/>
      <c r="T11" s="616"/>
      <c r="U11" s="3564"/>
      <c r="V11" s="4380" t="s">
        <v>1233</v>
      </c>
      <c r="W11" s="697" t="b">
        <f>W18</f>
        <v>0</v>
      </c>
      <c r="X11" s="2769"/>
      <c r="Y11" s="2571"/>
      <c r="Z11" s="2572"/>
    </row>
    <row r="12" spans="1:26" ht="30" thickTop="1" thickBot="1" x14ac:dyDescent="0.35">
      <c r="A12" s="57"/>
      <c r="B12" s="4193" t="s">
        <v>825</v>
      </c>
      <c r="C12" s="1809" t="s">
        <v>474</v>
      </c>
      <c r="D12" s="1925" t="s">
        <v>1233</v>
      </c>
      <c r="E12" s="67" t="b">
        <f>E25</f>
        <v>0</v>
      </c>
      <c r="F12" s="44"/>
      <c r="G12" s="2587"/>
      <c r="H12" s="2587"/>
      <c r="I12" s="2765"/>
      <c r="J12" s="2765"/>
      <c r="K12" s="2765"/>
      <c r="L12" s="2765"/>
      <c r="M12" s="2766"/>
      <c r="N12" s="4184" t="s">
        <v>1233</v>
      </c>
      <c r="O12" s="205" t="b">
        <f>O25</f>
        <v>0</v>
      </c>
      <c r="P12" s="2770"/>
      <c r="Q12" s="4184" t="s">
        <v>1233</v>
      </c>
      <c r="R12" s="205" t="b">
        <f>R25</f>
        <v>0</v>
      </c>
      <c r="S12" s="361"/>
      <c r="T12" s="361"/>
      <c r="U12" s="362"/>
      <c r="V12" s="4381" t="s">
        <v>1233</v>
      </c>
      <c r="W12" s="205" t="b">
        <f>W25</f>
        <v>0</v>
      </c>
      <c r="X12" s="2771"/>
      <c r="Y12" s="2574"/>
      <c r="Z12" s="2575"/>
    </row>
    <row r="13" spans="1:26" ht="44.5" thickTop="1" thickBot="1" x14ac:dyDescent="0.35">
      <c r="A13" s="57"/>
      <c r="B13" s="4193" t="s">
        <v>826</v>
      </c>
      <c r="C13" s="1809" t="s">
        <v>822</v>
      </c>
      <c r="D13" s="1925" t="s">
        <v>1233</v>
      </c>
      <c r="E13" s="594" t="b">
        <f>E32</f>
        <v>0</v>
      </c>
      <c r="F13" s="361"/>
      <c r="G13" s="361"/>
      <c r="H13" s="361"/>
      <c r="I13" s="396"/>
      <c r="J13" s="396"/>
      <c r="K13" s="396"/>
      <c r="L13" s="396"/>
      <c r="M13" s="1002"/>
      <c r="N13" s="4184" t="s">
        <v>1233</v>
      </c>
      <c r="O13" s="205" t="b">
        <f>O54</f>
        <v>0</v>
      </c>
      <c r="P13" s="2772"/>
      <c r="Q13" s="4184" t="s">
        <v>1233</v>
      </c>
      <c r="R13" s="205" t="b">
        <f>R54</f>
        <v>0</v>
      </c>
      <c r="S13" s="361"/>
      <c r="T13" s="361"/>
      <c r="U13" s="362"/>
      <c r="V13" s="4381" t="s">
        <v>1233</v>
      </c>
      <c r="W13" s="205" t="b">
        <f>W32</f>
        <v>0</v>
      </c>
      <c r="X13" s="594"/>
      <c r="Y13" s="361"/>
      <c r="Z13" s="362"/>
    </row>
    <row r="14" spans="1:26" ht="30" thickTop="1" thickBot="1" x14ac:dyDescent="0.35">
      <c r="A14" s="57"/>
      <c r="B14" s="4357" t="s">
        <v>827</v>
      </c>
      <c r="C14" s="2147" t="s">
        <v>823</v>
      </c>
      <c r="D14" s="2205" t="s">
        <v>1233</v>
      </c>
      <c r="E14" s="595" t="b">
        <f>E54</f>
        <v>0</v>
      </c>
      <c r="F14" s="258"/>
      <c r="G14" s="258"/>
      <c r="H14" s="258"/>
      <c r="I14" s="408"/>
      <c r="J14" s="408"/>
      <c r="K14" s="408"/>
      <c r="L14" s="408"/>
      <c r="M14" s="2221"/>
      <c r="N14" s="4185" t="s">
        <v>1233</v>
      </c>
      <c r="O14" s="590" t="b">
        <f>O55</f>
        <v>0</v>
      </c>
      <c r="P14" s="2773"/>
      <c r="Q14" s="4185" t="s">
        <v>1233</v>
      </c>
      <c r="R14" s="590" t="b">
        <f>R55</f>
        <v>0</v>
      </c>
      <c r="S14" s="258"/>
      <c r="T14" s="258"/>
      <c r="U14" s="363"/>
      <c r="V14" s="4382" t="s">
        <v>1233</v>
      </c>
      <c r="W14" s="590" t="b">
        <f>W55</f>
        <v>0</v>
      </c>
      <c r="X14" s="595"/>
      <c r="Y14" s="258"/>
      <c r="Z14" s="363"/>
    </row>
    <row r="15" spans="1:26" s="3993" customFormat="1" ht="16" thickTop="1" x14ac:dyDescent="0.3">
      <c r="A15" s="3634"/>
      <c r="B15" s="3652"/>
      <c r="C15" s="3634"/>
      <c r="D15" s="3652"/>
      <c r="E15" s="3634"/>
      <c r="F15" s="3634"/>
      <c r="G15" s="3634"/>
      <c r="H15" s="3634"/>
      <c r="I15" s="3635"/>
      <c r="J15" s="3635"/>
      <c r="K15" s="3635"/>
      <c r="L15" s="3635"/>
      <c r="M15" s="3635"/>
      <c r="N15" s="3826"/>
      <c r="O15" s="3634"/>
      <c r="P15" s="3652"/>
      <c r="Q15" s="3652"/>
      <c r="R15" s="3635"/>
      <c r="S15" s="3635"/>
      <c r="T15" s="3635"/>
      <c r="U15" s="3692"/>
      <c r="V15" s="4328"/>
      <c r="W15" s="3634"/>
      <c r="X15" s="3635"/>
      <c r="Y15" s="3635"/>
      <c r="Z15" s="3635"/>
    </row>
    <row r="16" spans="1:26" s="3652" customFormat="1" ht="18.5" x14ac:dyDescent="0.3">
      <c r="A16" s="4636" t="s">
        <v>1135</v>
      </c>
      <c r="B16" s="4636"/>
      <c r="C16" s="4636"/>
      <c r="D16" s="4636"/>
      <c r="E16" s="4636"/>
      <c r="F16" s="4636"/>
      <c r="G16" s="4636"/>
      <c r="H16" s="4636"/>
      <c r="I16" s="4636"/>
      <c r="J16" s="4636"/>
      <c r="K16" s="4636"/>
      <c r="L16" s="4636"/>
      <c r="M16" s="4636"/>
      <c r="N16" s="4636"/>
      <c r="O16" s="3646"/>
      <c r="P16" s="3646"/>
      <c r="Q16" s="3646"/>
      <c r="R16" s="3646"/>
      <c r="S16" s="3646"/>
      <c r="T16" s="3646"/>
      <c r="U16" s="4358"/>
      <c r="V16" s="4327"/>
      <c r="W16" s="3805"/>
      <c r="X16" s="3646"/>
      <c r="Y16" s="3646"/>
      <c r="Z16" s="3646"/>
    </row>
    <row r="17" spans="1:27" s="4324" customFormat="1" ht="19" thickBot="1" x14ac:dyDescent="0.35">
      <c r="A17" s="3652"/>
      <c r="B17" s="3652"/>
      <c r="C17" s="3652"/>
      <c r="D17" s="3652"/>
      <c r="E17" s="3652"/>
      <c r="F17" s="3652"/>
      <c r="G17" s="3652"/>
      <c r="H17" s="3652"/>
      <c r="I17" s="3652"/>
      <c r="J17" s="3652"/>
      <c r="K17" s="3652"/>
      <c r="L17" s="3652"/>
      <c r="M17" s="3652"/>
      <c r="N17" s="3825"/>
      <c r="O17" s="3652"/>
      <c r="P17" s="3652"/>
      <c r="Q17" s="3652"/>
      <c r="R17" s="3652"/>
      <c r="S17" s="3652"/>
      <c r="T17" s="3652"/>
      <c r="U17" s="4354"/>
      <c r="V17" s="4326"/>
      <c r="W17" s="3652"/>
      <c r="X17" s="3652"/>
      <c r="Y17" s="3652"/>
      <c r="Z17" s="3652"/>
    </row>
    <row r="18" spans="1:27" s="1559" customFormat="1" ht="44.5" thickTop="1" thickBot="1" x14ac:dyDescent="0.35">
      <c r="A18" s="28"/>
      <c r="B18" s="4359" t="s">
        <v>1546</v>
      </c>
      <c r="C18" s="1734" t="s">
        <v>2081</v>
      </c>
      <c r="D18" s="1925" t="s">
        <v>565</v>
      </c>
      <c r="E18" s="2800" t="b">
        <f>IF(AND(E19=TRUE,OR(E20=TRUE,E21=TRUE)),TRUE,FALSE)</f>
        <v>0</v>
      </c>
      <c r="F18" s="2801">
        <f>COUNTIFS(E19:E20,"TRUE")</f>
        <v>0</v>
      </c>
      <c r="G18" s="2801">
        <f>COUNTIFS(E19:E20,TRUE,G19:G20,"Not Blank")</f>
        <v>0</v>
      </c>
      <c r="H18" s="2801">
        <f>COUNTIFS(E19:E20,FALSE,G19:G20,"Not Blank")</f>
        <v>0</v>
      </c>
      <c r="I18" s="2801" t="str">
        <f xml:space="preserve">
IF(F18&gt;2,"Too Many Entries - Check Red Lines",
IF(AND(E18=FALSE,G18=0,H18=0,E18=TRUE),"Nothing Required Below",
IF(G18&lt;F18,"Valid Entry required below - Check Amber Line/s",
IF(AND(E18=FALSE,G18=0,H18=0),"Nothing Entered below Yet",
IF(G18&lt;F18,"Valid Entry required below - Check Amber Line/s",
IF(AND(G18=0,H18&gt;0),"**Non-Valid Entry/ies below - Check Yellow Line/s",
IF(AND(G18&gt;0,H18&gt;0),"**Valid and Non-Valid Entries made below - Check Yellow Line/s",
IF(AND(E18=FALSE,F18&lt;2),"Not all requirements addressed below - Check Pink Line/s",
IF(AND(E18=FALSE,G18&lt;2,G18&gt;0,H18=0),"More entries to come",
IF(AND(E18,TRUE,G18=2,H18=0),"Valid Entries made below"
))))))))))</f>
        <v>Nothing Entered below Yet</v>
      </c>
      <c r="J18" s="1993">
        <f>COUNTIFS(E19:E20,TRUE,J19:J20,"Not Blank")</f>
        <v>0</v>
      </c>
      <c r="K18" s="1993">
        <f>COUNTIFS(E19:E20,FALSE,J19:J20,"Not Blank")</f>
        <v>0</v>
      </c>
      <c r="L18" s="2801" t="str">
        <f xml:space="preserve">
IF(J18&gt;2,"Too Many Entries - Check Red Lines",
IF(AND(E18=FALSE,J18=0,K18=0,E18=TRUE),"Nothing Required Below",
IF(J18&lt;F18,"Valid Entry required below - Check Amber Line/s",
IF(AND(E18=FALSE,J18=0,K18=0),"Nothing Entered below Yet",
IF(AND(J18=0,K18&gt;0),"**Non-Valid Entry/ies below - Check Yellow Line/s",
IF(AND(J18&gt;0,K18&gt;0),"**Valid and Non-Valid Entries made below - Check Yellow Line/s",
IF(AND(E18=FALSE,J18&lt;2),"Not all requirements addressed below - Check Pink Line/s",
IF(AND(E18=FALSE,J18&lt;2,J18&gt;0,K18=0),"More entries to come",
IF(AND(E18,TRUE,J18=2,K18=0),"Valid Entries made below"
)))))))))</f>
        <v>Nothing Entered below Yet</v>
      </c>
      <c r="M18" s="134"/>
      <c r="N18" s="4171" t="s">
        <v>565</v>
      </c>
      <c r="O18" s="704" t="b">
        <f>IF(O19,TRUE)</f>
        <v>0</v>
      </c>
      <c r="P18" s="1554"/>
      <c r="Q18" s="4171" t="s">
        <v>565</v>
      </c>
      <c r="R18" s="3531" t="b">
        <f>IF(AND(R19=TRUE,OR(R20=TRUE,R21=TRUE)),TRUE,FALSE)</f>
        <v>0</v>
      </c>
      <c r="S18" s="3597"/>
      <c r="T18" s="336"/>
      <c r="U18" s="337"/>
      <c r="V18" s="3971" t="s">
        <v>565</v>
      </c>
      <c r="W18" s="703" t="b">
        <f>IF(W19,TRUE)</f>
        <v>0</v>
      </c>
      <c r="X18" s="464"/>
      <c r="Y18" s="336"/>
      <c r="Z18" s="337"/>
    </row>
    <row r="19" spans="1:27" s="1559" customFormat="1" ht="39.5" thickTop="1" x14ac:dyDescent="0.3">
      <c r="A19" s="3525"/>
      <c r="B19" s="4195"/>
      <c r="C19" s="2797" t="s">
        <v>2295</v>
      </c>
      <c r="D19" s="2096" t="s">
        <v>3</v>
      </c>
      <c r="E19" s="41" t="b">
        <f>IF(D19="Compliant",TRUE,FALSE)</f>
        <v>0</v>
      </c>
      <c r="F19" s="42"/>
      <c r="G19" s="42" t="str">
        <f t="shared" ref="G19:G21" si="0">IF(I19&lt;&gt;"", "Not Blank", "")</f>
        <v/>
      </c>
      <c r="H19" s="42"/>
      <c r="I19" s="42"/>
      <c r="J19" s="44" t="str">
        <f t="shared" ref="J19:J21" si="1">IF(L19&lt;&gt;"", "Not Blank", "")</f>
        <v/>
      </c>
      <c r="K19" s="44"/>
      <c r="L19" s="42"/>
      <c r="M19" s="144"/>
      <c r="N19" s="4942" t="s">
        <v>3</v>
      </c>
      <c r="O19" s="4949" t="b">
        <f>IF(OR(N19="Compliant",N19="FE with work-a-round",N19="Functionally Equivalent"),TRUE,FALSE)</f>
        <v>0</v>
      </c>
      <c r="P19" s="2775"/>
      <c r="Q19" s="2096" t="s">
        <v>3</v>
      </c>
      <c r="R19" s="41" t="b">
        <f>IF(Q19="Compliant",TRUE,FALSE)</f>
        <v>0</v>
      </c>
      <c r="S19" s="1551"/>
      <c r="T19" s="1551"/>
      <c r="U19" s="1550"/>
      <c r="V19" s="4947" t="s">
        <v>3</v>
      </c>
      <c r="W19" s="4950" t="b">
        <f>IF(OR(V19="Compliant",V19="FE with work-a-round",V19="Functionally Equivalent"),TRUE,FALSE)</f>
        <v>0</v>
      </c>
      <c r="X19" s="3532"/>
      <c r="Y19" s="1421"/>
      <c r="Z19" s="1422"/>
    </row>
    <row r="20" spans="1:27" ht="26" x14ac:dyDescent="0.3">
      <c r="A20" s="3525"/>
      <c r="B20" s="4195"/>
      <c r="C20" s="2797" t="s">
        <v>2293</v>
      </c>
      <c r="D20" s="699" t="s">
        <v>3</v>
      </c>
      <c r="E20" s="67" t="b">
        <f>IF(D20="Compliant",TRUE,FALSE)</f>
        <v>0</v>
      </c>
      <c r="F20" s="44"/>
      <c r="G20" s="44" t="str">
        <f t="shared" si="0"/>
        <v/>
      </c>
      <c r="H20" s="44"/>
      <c r="I20" s="392"/>
      <c r="J20" s="44" t="str">
        <f t="shared" si="1"/>
        <v/>
      </c>
      <c r="K20" s="44"/>
      <c r="L20" s="44"/>
      <c r="M20" s="68"/>
      <c r="N20" s="4942"/>
      <c r="O20" s="4950"/>
      <c r="P20" s="2777"/>
      <c r="Q20" s="699" t="s">
        <v>3</v>
      </c>
      <c r="R20" s="67" t="b">
        <f>IF(Q20="Compliant",TRUE,FALSE)</f>
        <v>0</v>
      </c>
      <c r="S20" s="471"/>
      <c r="T20" s="471"/>
      <c r="U20" s="1406"/>
      <c r="V20" s="4947"/>
      <c r="W20" s="4950"/>
      <c r="X20" s="2776"/>
      <c r="Y20" s="1431"/>
      <c r="Z20" s="1432"/>
    </row>
    <row r="21" spans="1:27" ht="16" thickBot="1" x14ac:dyDescent="0.35">
      <c r="B21" s="4195"/>
      <c r="C21" s="2799" t="s">
        <v>2294</v>
      </c>
      <c r="D21" s="700" t="s">
        <v>3</v>
      </c>
      <c r="E21" s="161" t="b">
        <f>IF(D21="Compliant",TRUE,FALSE)</f>
        <v>0</v>
      </c>
      <c r="F21" s="124"/>
      <c r="G21" s="124" t="str">
        <f t="shared" si="0"/>
        <v/>
      </c>
      <c r="H21" s="124"/>
      <c r="I21" s="124"/>
      <c r="J21" s="124" t="str">
        <f t="shared" si="1"/>
        <v/>
      </c>
      <c r="K21" s="124"/>
      <c r="L21" s="124"/>
      <c r="M21" s="246"/>
      <c r="N21" s="4943"/>
      <c r="O21" s="4951"/>
      <c r="P21" s="2778"/>
      <c r="Q21" s="700" t="s">
        <v>3</v>
      </c>
      <c r="R21" s="161" t="b">
        <f>IF(Q21="Compliant",TRUE,FALSE)</f>
        <v>0</v>
      </c>
      <c r="S21" s="1224"/>
      <c r="T21" s="1224"/>
      <c r="U21" s="1411"/>
      <c r="V21" s="4948"/>
      <c r="W21" s="4951"/>
      <c r="X21" s="2779"/>
      <c r="Y21" s="1435"/>
      <c r="Z21" s="1436"/>
    </row>
    <row r="22" spans="1:27" s="3993" customFormat="1" ht="16" thickTop="1" x14ac:dyDescent="0.3">
      <c r="A22" s="3636"/>
      <c r="B22" s="4360"/>
      <c r="C22" s="3636"/>
      <c r="D22" s="3636"/>
      <c r="E22" s="3636"/>
      <c r="F22" s="3636"/>
      <c r="G22" s="3652"/>
      <c r="H22" s="3652"/>
      <c r="I22" s="3652"/>
      <c r="J22" s="3634"/>
      <c r="K22" s="3634"/>
      <c r="L22" s="3634"/>
      <c r="M22" s="3634"/>
      <c r="N22" s="3826"/>
      <c r="O22" s="3634"/>
      <c r="P22" s="3634"/>
      <c r="Q22" s="3634"/>
      <c r="R22" s="3634"/>
      <c r="S22" s="3634"/>
      <c r="T22" s="3634"/>
      <c r="U22" s="3729"/>
      <c r="V22" s="4328"/>
      <c r="W22" s="3634"/>
      <c r="X22" s="3634"/>
      <c r="Y22" s="3634"/>
      <c r="Z22" s="3634"/>
    </row>
    <row r="23" spans="1:27" s="3634" customFormat="1" ht="18.5" x14ac:dyDescent="0.3">
      <c r="A23" s="4636" t="s">
        <v>1137</v>
      </c>
      <c r="B23" s="4636"/>
      <c r="C23" s="4636"/>
      <c r="D23" s="4636"/>
      <c r="E23" s="4636"/>
      <c r="F23" s="4636"/>
      <c r="G23" s="4636"/>
      <c r="H23" s="4636"/>
      <c r="I23" s="4636"/>
      <c r="J23" s="4636"/>
      <c r="K23" s="4636"/>
      <c r="L23" s="4636"/>
      <c r="M23" s="4636"/>
      <c r="N23" s="4636"/>
      <c r="O23" s="3646"/>
      <c r="P23" s="3806"/>
      <c r="Q23" s="3806"/>
      <c r="R23" s="3806"/>
      <c r="S23" s="3806"/>
      <c r="T23" s="3806"/>
      <c r="U23" s="4361"/>
      <c r="V23" s="4327"/>
      <c r="W23" s="3805"/>
      <c r="X23" s="3656"/>
      <c r="Y23" s="3656"/>
      <c r="Z23" s="3656"/>
    </row>
    <row r="24" spans="1:27" s="3993" customFormat="1" ht="16" thickBot="1" x14ac:dyDescent="0.35">
      <c r="A24" s="3636"/>
      <c r="B24" s="3636"/>
      <c r="C24" s="3634"/>
      <c r="D24" s="3634"/>
      <c r="E24" s="3636"/>
      <c r="F24" s="3636"/>
      <c r="G24" s="3636"/>
      <c r="H24" s="3636"/>
      <c r="I24" s="3634"/>
      <c r="J24" s="3634"/>
      <c r="K24" s="3634"/>
      <c r="L24" s="3634"/>
      <c r="M24" s="3634"/>
      <c r="N24" s="3821"/>
      <c r="O24" s="3636"/>
      <c r="P24" s="3639"/>
      <c r="Q24" s="3639"/>
      <c r="R24" s="3639"/>
      <c r="S24" s="3639"/>
      <c r="T24" s="3639"/>
      <c r="U24" s="3642"/>
      <c r="V24" s="4328"/>
      <c r="W24" s="3634"/>
      <c r="X24" s="3660"/>
      <c r="Y24" s="3660"/>
      <c r="Z24" s="3660"/>
      <c r="AA24" s="4356"/>
    </row>
    <row r="25" spans="1:27" ht="30" thickTop="1" thickBot="1" x14ac:dyDescent="0.35">
      <c r="A25" s="28"/>
      <c r="B25" s="4362" t="s">
        <v>474</v>
      </c>
      <c r="C25" s="1709" t="s">
        <v>670</v>
      </c>
      <c r="D25" s="1925" t="s">
        <v>1195</v>
      </c>
      <c r="E25" s="1937" t="b">
        <f>IF(AND(E26=TRUE,E27=TRUE,E28=TRUE),TRUE,FALSE)</f>
        <v>0</v>
      </c>
      <c r="F25" s="1934">
        <f>COUNTIF(E26:E28,TRUE)</f>
        <v>0</v>
      </c>
      <c r="G25" s="1934">
        <f>COUNTIFS(E26:E28,TRUE,G26:G28,"Not Blank")</f>
        <v>0</v>
      </c>
      <c r="H25" s="1934">
        <f>COUNTIFS(E26:E28,FALSE,G26:G28,"Not Blank")</f>
        <v>0</v>
      </c>
      <c r="I25" s="149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Nothing Entered below Yet</v>
      </c>
      <c r="J25" s="1497">
        <f>COUNTIFS(E26:E28,TRUE,J26:J28,"Not Blank")</f>
        <v>0</v>
      </c>
      <c r="K25" s="1497">
        <f>COUNTIFS(E26:E28,FALSE,J26:J28,"Not Blank")</f>
        <v>0</v>
      </c>
      <c r="L25" s="1497" t="str">
        <f xml:space="preserve">
IF(J25&gt;4,"Too Many Entries - Check Red Lines",
IF(AND(E25=FALSE,J25=0,K25=0,E25=TRUE),"Nothing Required Below",
IF(J25&lt;F25,"Valid Entry required below - Check Amber Line/s",
IF(AND(E25=FALSE,J25=0,K25=0),"Nothing Entered below Yet",
IF(AND(J25=0,K25&gt;0),"**Non-Valid Entry/ies below - Check Yellow Line/s",
IF(AND(J25&gt;0,K25&gt;0),"**Valid and Non-Valid Entries made below - Check Yellow Line/s",
IF(AND(E25=FALSE,J25&lt;4),"Not all requirements addressed below - Check Pink Line/s",
IF(AND(E25=FALSE,J25&lt;4,J25&gt;0,K25=0),"More entries to come",
IF(AND(E25,TRUE,J25=4,K25=0),"Valid Entries made below"
)))))))))</f>
        <v>Nothing Entered below Yet</v>
      </c>
      <c r="M25" s="861"/>
      <c r="N25" s="4138" t="s">
        <v>565</v>
      </c>
      <c r="O25" s="704" t="b">
        <f>IF(OR(O26=TRUE,O27=TRUE),TRUE,FALSE)</f>
        <v>0</v>
      </c>
      <c r="P25" s="1778"/>
      <c r="Q25" s="4138" t="s">
        <v>1195</v>
      </c>
      <c r="R25" s="3501" t="b">
        <f>IF(OR(R26=TRUE,R27=TRUE),TRUE,FALSE)</f>
        <v>0</v>
      </c>
      <c r="S25" s="842"/>
      <c r="T25" s="842"/>
      <c r="U25" s="3504"/>
      <c r="V25" s="4178" t="s">
        <v>565</v>
      </c>
      <c r="W25" s="3501" t="b">
        <f>IF(OR(W26=TRUE,W27=TRUE),TRUE,FALSE)</f>
        <v>0</v>
      </c>
      <c r="X25" s="3508"/>
      <c r="Y25" s="231"/>
      <c r="Z25" s="134"/>
      <c r="AA25" s="3534"/>
    </row>
    <row r="26" spans="1:27" s="28" customFormat="1" ht="87.5" thickTop="1" x14ac:dyDescent="0.3">
      <c r="B26" s="4195"/>
      <c r="C26" s="2194" t="s">
        <v>2296</v>
      </c>
      <c r="D26" s="2096" t="s">
        <v>3</v>
      </c>
      <c r="E26" s="594" t="b">
        <f>IF(D26="Compliant",TRUE,FALSE)</f>
        <v>0</v>
      </c>
      <c r="F26" s="361"/>
      <c r="G26" s="2587" t="str">
        <f>IF(I26&lt;&gt;"", "Not Blank", "")</f>
        <v/>
      </c>
      <c r="H26" s="2587"/>
      <c r="I26" s="2705"/>
      <c r="J26" s="42" t="str">
        <f>IF(L26&lt;&gt;"", "Not Blank", "")</f>
        <v/>
      </c>
      <c r="K26" s="42"/>
      <c r="L26" s="42"/>
      <c r="M26" s="2222"/>
      <c r="N26" s="4870" t="s">
        <v>3</v>
      </c>
      <c r="O26" s="4899" t="b">
        <f>IF(OR(N26="Compliant",N26="FE with work-a-round",N26="Functionally Equivalent"),TRUE,FALSE)</f>
        <v>0</v>
      </c>
      <c r="P26" s="497"/>
      <c r="Q26" s="1035" t="s">
        <v>3</v>
      </c>
      <c r="R26" s="3511" t="b">
        <f t="shared" ref="R26:R28" si="2">IF(OR(Q26="Compliant",Q26="FE with work-a-round",Q26="Functionally Equivalent"),TRUE,FALSE)</f>
        <v>0</v>
      </c>
      <c r="S26" s="111"/>
      <c r="T26" s="111"/>
      <c r="U26" s="120"/>
      <c r="V26" s="4471" t="s">
        <v>3</v>
      </c>
      <c r="W26" s="4886" t="b">
        <f>IF(OR(V26="Compliant",V26="FE with work-a-round",V26="Functionally Equivalent"),TRUE,FALSE)</f>
        <v>0</v>
      </c>
      <c r="X26" s="138"/>
      <c r="Y26" s="3509"/>
      <c r="Z26" s="3505"/>
      <c r="AA26" s="3506"/>
    </row>
    <row r="27" spans="1:27" s="28" customFormat="1" ht="72.650000000000006" customHeight="1" x14ac:dyDescent="0.3">
      <c r="B27" s="4195"/>
      <c r="C27" s="1717" t="s">
        <v>2082</v>
      </c>
      <c r="D27" s="699" t="s">
        <v>3</v>
      </c>
      <c r="E27" s="594" t="b">
        <f>IF(D27="Compliant",TRUE,FALSE)</f>
        <v>0</v>
      </c>
      <c r="F27" s="361"/>
      <c r="G27" s="2587" t="str">
        <f>IF(I27&lt;&gt;"", "Not Blank", "")</f>
        <v/>
      </c>
      <c r="H27" s="2587"/>
      <c r="I27" s="2780"/>
      <c r="J27" s="44" t="str">
        <f>IF(L27&lt;&gt;"", "Not Blank", "")</f>
        <v/>
      </c>
      <c r="K27" s="44"/>
      <c r="L27" s="44"/>
      <c r="M27" s="68"/>
      <c r="N27" s="4871"/>
      <c r="O27" s="4887"/>
      <c r="P27" s="205"/>
      <c r="Q27" s="699" t="s">
        <v>3</v>
      </c>
      <c r="R27" s="3506" t="b">
        <f t="shared" si="2"/>
        <v>0</v>
      </c>
      <c r="S27" s="44"/>
      <c r="T27" s="44"/>
      <c r="U27" s="122"/>
      <c r="V27" s="4472"/>
      <c r="W27" s="4887"/>
      <c r="X27" s="67"/>
      <c r="Y27" s="67"/>
      <c r="Z27" s="68"/>
      <c r="AA27" s="3506"/>
    </row>
    <row r="28" spans="1:27" s="28" customFormat="1" ht="58.5" thickBot="1" x14ac:dyDescent="0.35">
      <c r="A28" s="1386"/>
      <c r="B28" s="4191"/>
      <c r="C28" s="2802" t="s">
        <v>2083</v>
      </c>
      <c r="D28" s="700" t="s">
        <v>3</v>
      </c>
      <c r="E28" s="595" t="b">
        <f>IF(D28="Compliant",TRUE,FALSE)</f>
        <v>0</v>
      </c>
      <c r="F28" s="258"/>
      <c r="G28" s="2588" t="str">
        <f>IF(I28&lt;&gt;"", "Not Blank", "")</f>
        <v/>
      </c>
      <c r="H28" s="2588"/>
      <c r="I28" s="2781"/>
      <c r="J28" s="124" t="str">
        <f>IF(L28&lt;&gt;"", "Not Blank", "")</f>
        <v/>
      </c>
      <c r="K28" s="124"/>
      <c r="L28" s="124"/>
      <c r="M28" s="246"/>
      <c r="N28" s="4873"/>
      <c r="O28" s="4888"/>
      <c r="P28" s="590"/>
      <c r="Q28" s="700" t="s">
        <v>3</v>
      </c>
      <c r="R28" s="3507" t="b">
        <f t="shared" si="2"/>
        <v>0</v>
      </c>
      <c r="S28" s="124"/>
      <c r="T28" s="124"/>
      <c r="U28" s="125"/>
      <c r="V28" s="4473"/>
      <c r="W28" s="4888"/>
      <c r="X28" s="161"/>
      <c r="Y28" s="161"/>
      <c r="Z28" s="125"/>
    </row>
    <row r="29" spans="1:27" s="3634" customFormat="1" ht="16" thickTop="1" x14ac:dyDescent="0.3">
      <c r="A29" s="3993"/>
      <c r="C29" s="3652"/>
      <c r="E29" s="3636"/>
      <c r="F29" s="3636"/>
      <c r="G29" s="3993"/>
      <c r="H29" s="3993"/>
      <c r="I29" s="3993"/>
      <c r="N29" s="3826"/>
      <c r="U29" s="3729"/>
      <c r="V29" s="4328"/>
    </row>
    <row r="30" spans="1:27" s="3634" customFormat="1" ht="18.5" x14ac:dyDescent="0.3">
      <c r="A30" s="4636" t="s">
        <v>1138</v>
      </c>
      <c r="B30" s="4636"/>
      <c r="C30" s="4636"/>
      <c r="D30" s="4636"/>
      <c r="E30" s="4636"/>
      <c r="F30" s="4636"/>
      <c r="G30" s="4636"/>
      <c r="H30" s="4636"/>
      <c r="I30" s="4636"/>
      <c r="J30" s="4636"/>
      <c r="K30" s="4636"/>
      <c r="L30" s="4636"/>
      <c r="M30" s="4636"/>
      <c r="N30" s="4636"/>
      <c r="O30" s="3646"/>
      <c r="P30" s="3806"/>
      <c r="Q30" s="3806"/>
      <c r="R30" s="3806"/>
      <c r="S30" s="3806"/>
      <c r="T30" s="3806"/>
      <c r="U30" s="4361"/>
      <c r="V30" s="4327"/>
      <c r="W30" s="3805"/>
      <c r="X30" s="3656"/>
      <c r="Y30" s="3656"/>
      <c r="Z30" s="3656"/>
    </row>
    <row r="31" spans="1:27" s="3993" customFormat="1" ht="16" thickBot="1" x14ac:dyDescent="0.35">
      <c r="N31" s="4323"/>
      <c r="U31" s="4351"/>
      <c r="V31" s="4326"/>
      <c r="W31" s="3652"/>
    </row>
    <row r="32" spans="1:27" ht="32" thickTop="1" thickBot="1" x14ac:dyDescent="0.35">
      <c r="A32" s="2782"/>
      <c r="B32" s="4362" t="s">
        <v>1564</v>
      </c>
      <c r="C32" s="2097" t="s">
        <v>1782</v>
      </c>
      <c r="D32" s="2098" t="s">
        <v>565</v>
      </c>
      <c r="E32" s="2099" t="b">
        <f>IF(AND(TRUE,E33,E37,E45,E50,TRUE),TRUE,FALSE)</f>
        <v>0</v>
      </c>
      <c r="F32" s="1927">
        <f>SUM(F33,F37,F45,F50)</f>
        <v>0</v>
      </c>
      <c r="G32" s="1927">
        <f>SUM(G33,G37,G45,G50)</f>
        <v>0</v>
      </c>
      <c r="H32" s="1927">
        <f>SUM(H33,H37,H45,H50)</f>
        <v>0</v>
      </c>
      <c r="I32" s="1927" t="str">
        <f xml:space="preserve">
IF(F32&gt;15,"Too Many Entries - Check Red Lines",
IF(AND(E32=FALSE,G32=0,H32=0,E32=TRUE),"Nothing Required Below",
IF(G32&lt;F32,"Valid Entry required below - Check Amber Line/s",
IF(AND(E32=FALSE,G32=0,H32=0),"Nothing Entered below Yet",
IF(G32&lt;F32,"Valid Entry required below - Check Amber Line/s",
IF(AND(G32=0,H32&gt;0),"**Non-Valid Entry/ies below - Check Yellow Line/s",
IF(AND(G32&gt;0,H32&gt;0),"**Valid and Non-Valid Entries made below - Check Yellow Line/s",
IF(AND(E32=FALSE,F32&lt;15),"Not all requirements addressed below - Check Pink Line/s",
IF(AND(E32=FALSE,G32&lt;15,G32&gt;0,H32=0),"More entries to come",
IF(AND(E32,TRUE,G32=15,H32=0),"Valid Entries made below"
))))))))))</f>
        <v>Nothing Entered below Yet</v>
      </c>
      <c r="J32" s="1927">
        <f>SUM(J33,J37,J45,J50)</f>
        <v>0</v>
      </c>
      <c r="K32" s="1927">
        <f>SUM(K33,K37,K45,K50)</f>
        <v>0</v>
      </c>
      <c r="L32" s="1927" t="str">
        <f xml:space="preserve">
IF(J32&gt;15,"Too Many Entries - Check Red Lines",
IF(AND(E32=FALSE,J32=0,K32=0,E32=TRUE),"Nothing Required Below",
IF(J32&lt;F32,"Valid Entry required below - Check Amber Line/s",
IF(AND(E32=FALSE,J32=0,K32=0),"Nothing Entered below Yet",
IF(AND(J32=0,K32&gt;0),"**Non-Valid Entry/ies below - Check Yellow Line/s",
IF(AND(J32&gt;0,K32&gt;0),"**Valid and Non-Valid Entries made below - Check Yellow Line/s",
IF(AND(E32=FALSE,J32&lt;15),"Not all requirements addressed below - Check Pink Line/s",
IF(AND(E32=FALSE,J32&lt;15,J32&gt;0,K32=0),"More entries to come",
IF(AND(E32,TRUE,J32=15,K32=0),"Valid Entries made below"
)))))))))</f>
        <v>Nothing Entered below Yet</v>
      </c>
      <c r="M32" s="2783"/>
      <c r="N32" s="4200" t="s">
        <v>565</v>
      </c>
      <c r="O32" s="704" t="b">
        <f>IF(AND(O33=TRUE,O37=TRUE,O45=TRUE,O50=TRUE),TRUE,FALSE)</f>
        <v>0</v>
      </c>
      <c r="P32" s="697"/>
      <c r="Q32" s="4200" t="s">
        <v>565</v>
      </c>
      <c r="R32" s="2099" t="b">
        <f>IF(AND(TRUE,R33,R37,R45,R50,TRUE),TRUE,FALSE)</f>
        <v>0</v>
      </c>
      <c r="S32" s="111"/>
      <c r="T32" s="111"/>
      <c r="U32" s="120"/>
      <c r="V32" s="4179" t="s">
        <v>565</v>
      </c>
      <c r="W32" s="704" t="b">
        <f>IF(AND(W33=TRUE,W37=TRUE,W45=TRUE,W50=TRUE),TRUE,FALSE)</f>
        <v>0</v>
      </c>
      <c r="X32" s="2784"/>
      <c r="Y32" s="2785"/>
      <c r="Z32" s="2786"/>
    </row>
    <row r="33" spans="1:26" s="2787" customFormat="1" ht="29.5" thickTop="1" x14ac:dyDescent="0.3">
      <c r="A33" s="28"/>
      <c r="B33" s="4363" t="s">
        <v>2297</v>
      </c>
      <c r="C33" s="2175" t="s">
        <v>2298</v>
      </c>
      <c r="D33" s="2149" t="s">
        <v>565</v>
      </c>
      <c r="E33" s="1929" t="b">
        <f>IF(AND(E34=TRUE,E35=TRUE,E36=TRUE),TRUE,FALSE)</f>
        <v>0</v>
      </c>
      <c r="F33" s="1514">
        <f>COUNTIF(E34:E36,TRUE)</f>
        <v>0</v>
      </c>
      <c r="G33" s="1514">
        <f>COUNTIFS(E34:E36,TRUE,G34:G36,"Not Blank")</f>
        <v>0</v>
      </c>
      <c r="H33" s="1514">
        <f>COUNTIFS(E34:E36,FALSE,G34:G36,"Not Blank")</f>
        <v>0</v>
      </c>
      <c r="I33" s="2155" t="str">
        <f xml:space="preserve">
IF(F33&gt;3,"Too Many Entries - Check Red Lines",
IF(AND(E33=FALSE,G33=0,H33=0,E33=TRUE),"Nothing Required Below",
IF(G33&lt;F33,"Valid Entry required below - Check Amber Line/s",
IF(AND(E33=FALSE,G33=0,H33=0),"Nothing Entered below Yet",
IF(G33&lt;F33,"Valid Entry required below - Check Amber Line/s",
IF(AND(G33=0,H33&gt;0),"**Non-Valid Entry/ies below - Check Yellow Line/s",
IF(AND(G33&gt;0,H33&gt;0),"**Valid and Non-Valid Entries made below - Check Yellow Line/s",
IF(AND(E33=FALSE,F33&lt;3),"Not all requirements addressed below - Check Pink Line/s",
IF(AND(E33=FALSE,G33&lt;3,G33&gt;0,H33=0),"More entries to come",
IF(AND(E33,TRUE,G33=3,H33=0),"Valid Entries made below"
))))))))))</f>
        <v>Nothing Entered below Yet</v>
      </c>
      <c r="J33" s="2155">
        <f>COUNTIFS(E34:E36,TRUE,J34:J36,"Not Blank")</f>
        <v>0</v>
      </c>
      <c r="K33" s="2155">
        <f>COUNTIFS(E34:E36,FALSE,J34:J36,"Not Blank")</f>
        <v>0</v>
      </c>
      <c r="L33" s="2155" t="str">
        <f xml:space="preserve">
IF(J33&gt;3,"Too Many Entries - Check Red Lines",
IF(AND(E33=FALSE,J33=0,K33=0,E33=TRUE),"Nothing Required Below",
IF(J33&lt;F33,"Valid Entry required below - Check Amber Line/s",
IF(AND(E33=FALSE,J33=0,K33=0),"Nothing Entered below Yet",
IF(AND(J33=0,K33&gt;0),"**Non-Valid Entry/ies below - Check Yellow Line/s",
IF(AND(J33&gt;0,K33&gt;0),"**Valid and Non-Valid Entries made below - Check Yellow Line/s",
IF(AND(E33=FALSE,J33&lt;3),"Not all requirements addressed below - Check Pink Line/s",
IF(AND(E33=FALSE,J33&lt;3,J33&gt;0,K33=0),"More entries to come",
IF(AND(E33,TRUE,J33=3,K33=0),"Valid Entries made below"
)))))))))</f>
        <v>Nothing Entered below Yet</v>
      </c>
      <c r="M33" s="2176"/>
      <c r="N33" s="4932" t="s">
        <v>3</v>
      </c>
      <c r="O33" s="4934" t="b">
        <f>IF(OR(N33="Compliant",N33="FE with work-a-round",N33="Functionally Equivalent"),TRUE,FALSE)</f>
        <v>0</v>
      </c>
      <c r="P33" s="2224"/>
      <c r="Q33" s="4200" t="s">
        <v>565</v>
      </c>
      <c r="R33" s="1929" t="b">
        <f>IF(AND(R34=TRUE,R35=TRUE,R36=TRUE),TRUE,FALSE)</f>
        <v>0</v>
      </c>
      <c r="S33" s="111"/>
      <c r="T33" s="111"/>
      <c r="U33" s="120"/>
      <c r="V33" s="4952" t="s">
        <v>3</v>
      </c>
      <c r="W33" s="4934" t="b">
        <f>IF(OR(V33="Compliant",V33="FE with work-a-round",V33="Functionally Equivalent"),TRUE,FALSE)</f>
        <v>0</v>
      </c>
      <c r="X33" s="138"/>
      <c r="Y33" s="111"/>
      <c r="Z33" s="120"/>
    </row>
    <row r="34" spans="1:26" s="28" customFormat="1" ht="29" x14ac:dyDescent="0.3">
      <c r="B34" s="4195"/>
      <c r="C34" s="1806" t="s">
        <v>2299</v>
      </c>
      <c r="D34" s="1826" t="s">
        <v>3</v>
      </c>
      <c r="E34" s="67" t="b">
        <f>IF(D34="Compliant",TRUE,FALSE)</f>
        <v>0</v>
      </c>
      <c r="F34" s="44"/>
      <c r="G34" s="44" t="str">
        <f>IF(I34&lt;&gt;"", "Not Blank", "")</f>
        <v/>
      </c>
      <c r="H34" s="44"/>
      <c r="I34" s="42"/>
      <c r="J34" s="42" t="str">
        <f>IF(L34&lt;&gt;"", "Not Blank", "")</f>
        <v/>
      </c>
      <c r="K34" s="42"/>
      <c r="L34" s="42"/>
      <c r="M34" s="144"/>
      <c r="N34" s="4933"/>
      <c r="O34" s="4935"/>
      <c r="P34" s="497"/>
      <c r="Q34" s="1826" t="s">
        <v>3</v>
      </c>
      <c r="R34" s="67" t="b">
        <f>IF(Q34="Compliant",TRUE,FALSE)</f>
        <v>0</v>
      </c>
      <c r="S34" s="44"/>
      <c r="T34" s="44"/>
      <c r="U34" s="122"/>
      <c r="V34" s="4953"/>
      <c r="W34" s="4935"/>
      <c r="X34" s="67"/>
      <c r="Y34" s="44"/>
      <c r="Z34" s="122"/>
    </row>
    <row r="35" spans="1:26" s="28" customFormat="1" ht="43.5" x14ac:dyDescent="0.3">
      <c r="B35" s="4195"/>
      <c r="C35" s="1717" t="s">
        <v>2084</v>
      </c>
      <c r="D35" s="690" t="s">
        <v>3</v>
      </c>
      <c r="E35" s="67" t="b">
        <f>IF(D35="Compliant",TRUE,FALSE)</f>
        <v>0</v>
      </c>
      <c r="F35" s="44"/>
      <c r="G35" s="44" t="str">
        <f>IF(I35&lt;&gt;"", "Not Blank", "")</f>
        <v/>
      </c>
      <c r="H35" s="44"/>
      <c r="I35" s="44"/>
      <c r="J35" s="44" t="str">
        <f>IF(L35&lt;&gt;"", "Not Blank", "")</f>
        <v/>
      </c>
      <c r="K35" s="44"/>
      <c r="L35" s="44"/>
      <c r="M35" s="68"/>
      <c r="N35" s="4933"/>
      <c r="O35" s="4935"/>
      <c r="P35" s="205"/>
      <c r="Q35" s="690" t="s">
        <v>3</v>
      </c>
      <c r="R35" s="67" t="b">
        <f>IF(Q35="Compliant",TRUE,FALSE)</f>
        <v>0</v>
      </c>
      <c r="S35" s="44"/>
      <c r="T35" s="44"/>
      <c r="U35" s="122"/>
      <c r="V35" s="4953"/>
      <c r="W35" s="4935"/>
      <c r="X35" s="67"/>
      <c r="Y35" s="44"/>
      <c r="Z35" s="122"/>
    </row>
    <row r="36" spans="1:26" s="28" customFormat="1" ht="44" thickBot="1" x14ac:dyDescent="0.35">
      <c r="B36" s="4195"/>
      <c r="C36" s="1807" t="s">
        <v>2300</v>
      </c>
      <c r="D36" s="692" t="s">
        <v>3</v>
      </c>
      <c r="E36" s="78" t="b">
        <f>IF(D36="Compliant",TRUE,FALSE)</f>
        <v>0</v>
      </c>
      <c r="F36" s="79"/>
      <c r="G36" s="79" t="str">
        <f>IF(I36&lt;&gt;"", "Not Blank", "")</f>
        <v/>
      </c>
      <c r="H36" s="79"/>
      <c r="I36" s="79"/>
      <c r="J36" s="79" t="str">
        <f>IF(L36&lt;&gt;"", "Not Blank", "")</f>
        <v/>
      </c>
      <c r="K36" s="79"/>
      <c r="L36" s="79"/>
      <c r="M36" s="143"/>
      <c r="N36" s="4933"/>
      <c r="O36" s="4936"/>
      <c r="P36" s="206"/>
      <c r="Q36" s="692" t="s">
        <v>3</v>
      </c>
      <c r="R36" s="78" t="b">
        <f>IF(Q36="Compliant",TRUE,FALSE)</f>
        <v>0</v>
      </c>
      <c r="S36" s="79"/>
      <c r="T36" s="79"/>
      <c r="U36" s="127"/>
      <c r="V36" s="4953"/>
      <c r="W36" s="4936"/>
      <c r="X36" s="78"/>
      <c r="Y36" s="79"/>
      <c r="Z36" s="127"/>
    </row>
    <row r="37" spans="1:26" s="28" customFormat="1" ht="29.5" thickTop="1" x14ac:dyDescent="0.3">
      <c r="B37" s="4363" t="s">
        <v>2301</v>
      </c>
      <c r="C37" s="2148" t="s">
        <v>2302</v>
      </c>
      <c r="D37" s="2149" t="s">
        <v>565</v>
      </c>
      <c r="E37" s="1929" t="b">
        <f>IF(AND(E38=TRUE,E39=TRUE,E40=TRUE,E41=TRUE,E42=TRUE,E43=TRUE,E44=TRUE),TRUE,FALSE)</f>
        <v>0</v>
      </c>
      <c r="F37" s="1514">
        <f>COUNTIFS(E38:E44,TRUE)</f>
        <v>0</v>
      </c>
      <c r="G37" s="1514">
        <f>COUNTIFS(E38:E44,TRUE,G38:G44,"Not Blank")</f>
        <v>0</v>
      </c>
      <c r="H37" s="1514">
        <f>COUNTIFS(E38:E44,FALSE,G38:G44,"Not Blank")</f>
        <v>0</v>
      </c>
      <c r="I37" s="2155" t="str">
        <f xml:space="preserve">
IF(F37&gt;7,"Too Many Entries - Check Red Lines",
IF(AND(E37=FALSE,G37=0,H37=0,E37=TRUE),"Nothing Required Below",
IF(G37&lt;F37,"Valid Entry required below - Check Amber Line/s",
IF(AND(E37=FALSE,G37=0,H37=0),"Nothing Entered below Yet",
IF(G37&lt;F37,"Valid Entry required below - Check Amber Line/s",
IF(AND(G37=0,H37&gt;0),"**Non-Valid Entry/ies below - Check Yellow Line/s",
IF(AND(G37&gt;0,H37&gt;0),"**Valid and Non-Valid Entries made below - Check Yellow Line/s",
IF(AND(E37=FALSE,F37&lt;7),"Not all requirements addressed below - Check Pink Line/s",
IF(AND(E37=FALSE,G37&lt;7,G37&gt;0,H37=0),"More entries to come",
IF(AND(E37,TRUE,G37=7,H37=0),"Valid Entries made below"
))))))))))</f>
        <v>Nothing Entered below Yet</v>
      </c>
      <c r="J37" s="2155">
        <f>COUNTIFS(E38:E44,TRUE,J38:J44,"Not Blank")</f>
        <v>0</v>
      </c>
      <c r="K37" s="2155">
        <f>COUNTIFS(E38:E44,FALSE,J38:J44,"Not Blank")</f>
        <v>0</v>
      </c>
      <c r="L37" s="2155" t="str">
        <f xml:space="preserve">
IF(J37&gt;7,"Too Many Entries - Check Red Lines",
IF(AND(E37=FALSE,J37=0,K37=0,E37=TRUE),"Nothing Required Below",
IF(J37&lt;F37,"Valid Entry required below - Check Amber Line/s",
IF(AND(E37=FALSE,J37=0,K37=0),"Nothing Entered below Yet",
IF(AND(J37=0,K37&gt;0),"**Non-Valid Entry/ies below - Check Yellow Line/s",
IF(AND(J37&gt;0,K37&gt;0),"**Valid and Non-Valid Entries made below - Check Yellow Line/s",
IF(AND(E37=FALSE,J37&lt;7),"Not all requirements addressed below - Check Pink Line/s",
IF(AND(E37=FALSE,J37&lt;7,J37&gt;0,K37=0),"More entries to come",
IF(AND(E37,TRUE,J37=7,K37=0),"Valid Entries made below"
)))))))))</f>
        <v>Nothing Entered below Yet</v>
      </c>
      <c r="M37" s="2176"/>
      <c r="N37" s="4923" t="s">
        <v>3</v>
      </c>
      <c r="O37" s="4929" t="b">
        <f>IF(OR(N37="Compliant",N37="FE with work-a-round",N37="Functionally Equivalent"),TRUE,FALSE)</f>
        <v>0</v>
      </c>
      <c r="P37" s="66"/>
      <c r="Q37" s="4200" t="s">
        <v>565</v>
      </c>
      <c r="R37" s="1929" t="b">
        <f>IF(AND(R38=TRUE,R39=TRUE,R40=TRUE,R41=TRUE,R42=TRUE,R43=TRUE,R44=TRUE),TRUE,FALSE)</f>
        <v>0</v>
      </c>
      <c r="S37" s="111"/>
      <c r="T37" s="111"/>
      <c r="U37" s="120"/>
      <c r="V37" s="4954" t="s">
        <v>3</v>
      </c>
      <c r="W37" s="4929" t="b">
        <f>IF(OR(V37="Compliant",V37="FE with work-a-round",V37="Functionally Equivalent"),TRUE,FALSE)</f>
        <v>0</v>
      </c>
      <c r="X37" s="138"/>
      <c r="Y37" s="111"/>
      <c r="Z37" s="120"/>
    </row>
    <row r="38" spans="1:26" s="3503" customFormat="1" ht="87" x14ac:dyDescent="0.3">
      <c r="B38" s="4195"/>
      <c r="C38" s="1806" t="s">
        <v>2303</v>
      </c>
      <c r="D38" s="1826" t="s">
        <v>3</v>
      </c>
      <c r="E38" s="67" t="b">
        <f>IF(D38="Compliant",TRUE,FALSE)</f>
        <v>0</v>
      </c>
      <c r="F38" s="44"/>
      <c r="G38" s="44" t="str">
        <f t="shared" ref="G38:G44" si="3">IF(I38&lt;&gt;"", "Not Blank", "")</f>
        <v/>
      </c>
      <c r="H38" s="44"/>
      <c r="I38" s="42"/>
      <c r="J38" s="42" t="str">
        <f t="shared" ref="J38:J44" si="4">IF(L38&lt;&gt;"", "Not Blank", "")</f>
        <v/>
      </c>
      <c r="K38" s="42"/>
      <c r="L38" s="42"/>
      <c r="M38" s="144"/>
      <c r="N38" s="4924"/>
      <c r="O38" s="4930"/>
      <c r="P38" s="2225"/>
      <c r="Q38" s="1826" t="s">
        <v>3</v>
      </c>
      <c r="R38" s="67" t="b">
        <f>IF(Q38="Compliant",TRUE,FALSE)</f>
        <v>0</v>
      </c>
      <c r="S38" s="44"/>
      <c r="T38" s="44"/>
      <c r="U38" s="122"/>
      <c r="V38" s="4955"/>
      <c r="W38" s="4930"/>
      <c r="X38" s="67"/>
      <c r="Y38" s="44"/>
      <c r="Z38" s="122"/>
    </row>
    <row r="39" spans="1:26" s="3503" customFormat="1" ht="29" x14ac:dyDescent="0.3">
      <c r="B39" s="4195"/>
      <c r="C39" s="1806" t="s">
        <v>2304</v>
      </c>
      <c r="D39" s="1826" t="s">
        <v>3</v>
      </c>
      <c r="E39" s="67" t="b">
        <f>IF(D39="Compliant",TRUE,FALSE)</f>
        <v>0</v>
      </c>
      <c r="F39" s="44"/>
      <c r="G39" s="44" t="str">
        <f t="shared" si="3"/>
        <v/>
      </c>
      <c r="H39" s="44"/>
      <c r="I39" s="42"/>
      <c r="J39" s="42" t="str">
        <f t="shared" si="4"/>
        <v/>
      </c>
      <c r="K39" s="42"/>
      <c r="L39" s="42"/>
      <c r="M39" s="144"/>
      <c r="N39" s="4924"/>
      <c r="O39" s="4930"/>
      <c r="P39" s="2225"/>
      <c r="Q39" s="1826" t="s">
        <v>3</v>
      </c>
      <c r="R39" s="67" t="b">
        <f>IF(Q39="Compliant",TRUE,FALSE)</f>
        <v>0</v>
      </c>
      <c r="S39" s="44"/>
      <c r="T39" s="44"/>
      <c r="U39" s="122"/>
      <c r="V39" s="4955"/>
      <c r="W39" s="4930"/>
      <c r="X39" s="67"/>
      <c r="Y39" s="44"/>
      <c r="Z39" s="122"/>
    </row>
    <row r="40" spans="1:26" s="3503" customFormat="1" ht="29" x14ac:dyDescent="0.3">
      <c r="B40" s="4195"/>
      <c r="C40" s="1806" t="s">
        <v>2305</v>
      </c>
      <c r="D40" s="1826" t="s">
        <v>3</v>
      </c>
      <c r="E40" s="67" t="b">
        <f>IF(D40="Compliant",TRUE,FALSE)</f>
        <v>0</v>
      </c>
      <c r="F40" s="44"/>
      <c r="G40" s="44" t="str">
        <f t="shared" si="3"/>
        <v/>
      </c>
      <c r="H40" s="44"/>
      <c r="I40" s="42"/>
      <c r="J40" s="42" t="str">
        <f t="shared" si="4"/>
        <v/>
      </c>
      <c r="K40" s="42"/>
      <c r="L40" s="42"/>
      <c r="M40" s="144"/>
      <c r="N40" s="4924"/>
      <c r="O40" s="4930"/>
      <c r="P40" s="2225"/>
      <c r="Q40" s="1826" t="s">
        <v>3</v>
      </c>
      <c r="R40" s="67" t="b">
        <f>IF(Q40="Compliant",TRUE,FALSE)</f>
        <v>0</v>
      </c>
      <c r="S40" s="44"/>
      <c r="T40" s="44"/>
      <c r="U40" s="122"/>
      <c r="V40" s="4955"/>
      <c r="W40" s="4930"/>
      <c r="X40" s="67"/>
      <c r="Y40" s="44"/>
      <c r="Z40" s="122"/>
    </row>
    <row r="41" spans="1:26" s="3503" customFormat="1" ht="43.5" x14ac:dyDescent="0.3">
      <c r="B41" s="4195"/>
      <c r="C41" s="1806" t="s">
        <v>2306</v>
      </c>
      <c r="D41" s="1826" t="s">
        <v>3</v>
      </c>
      <c r="E41" s="67" t="b">
        <f>IF(D41="Compliant",TRUE,FALSE)</f>
        <v>0</v>
      </c>
      <c r="F41" s="44"/>
      <c r="G41" s="44" t="str">
        <f t="shared" si="3"/>
        <v/>
      </c>
      <c r="H41" s="44"/>
      <c r="I41" s="42"/>
      <c r="J41" s="42" t="str">
        <f t="shared" si="4"/>
        <v/>
      </c>
      <c r="K41" s="42"/>
      <c r="L41" s="42"/>
      <c r="M41" s="144"/>
      <c r="N41" s="4924"/>
      <c r="O41" s="4930"/>
      <c r="P41" s="2225"/>
      <c r="Q41" s="1826" t="s">
        <v>3</v>
      </c>
      <c r="R41" s="67" t="b">
        <f>IF(Q41="Compliant",TRUE,FALSE)</f>
        <v>0</v>
      </c>
      <c r="S41" s="44"/>
      <c r="T41" s="44"/>
      <c r="U41" s="122"/>
      <c r="V41" s="4955"/>
      <c r="W41" s="4930"/>
      <c r="X41" s="67"/>
      <c r="Y41" s="44"/>
      <c r="Z41" s="122"/>
    </row>
    <row r="42" spans="1:26" s="28" customFormat="1" ht="116" x14ac:dyDescent="0.3">
      <c r="B42" s="4195"/>
      <c r="C42" s="1806" t="s">
        <v>2307</v>
      </c>
      <c r="D42" s="1826" t="s">
        <v>3</v>
      </c>
      <c r="E42" s="67" t="b">
        <f>IF(D42="Compliant",TRUE,FALSE)</f>
        <v>0</v>
      </c>
      <c r="F42" s="44"/>
      <c r="G42" s="44" t="str">
        <f t="shared" si="3"/>
        <v/>
      </c>
      <c r="H42" s="44"/>
      <c r="I42" s="42"/>
      <c r="J42" s="42" t="str">
        <f t="shared" si="4"/>
        <v/>
      </c>
      <c r="K42" s="42"/>
      <c r="L42" s="42"/>
      <c r="M42" s="144"/>
      <c r="N42" s="4924"/>
      <c r="O42" s="4930"/>
      <c r="P42" s="2225"/>
      <c r="Q42" s="1826" t="s">
        <v>3</v>
      </c>
      <c r="R42" s="67" t="b">
        <f>IF(Q42="Compliant",TRUE,FALSE)</f>
        <v>0</v>
      </c>
      <c r="S42" s="44"/>
      <c r="T42" s="44"/>
      <c r="U42" s="122"/>
      <c r="V42" s="4955"/>
      <c r="W42" s="4930"/>
      <c r="X42" s="67"/>
      <c r="Y42" s="44"/>
      <c r="Z42" s="122"/>
    </row>
    <row r="43" spans="1:26" s="28" customFormat="1" ht="29" x14ac:dyDescent="0.3">
      <c r="B43" s="4195"/>
      <c r="C43" s="1717" t="s">
        <v>2308</v>
      </c>
      <c r="D43" s="690" t="s">
        <v>3</v>
      </c>
      <c r="E43" s="67" t="b">
        <f t="shared" ref="E43:E49" si="5">IF(D43="Compliant",TRUE,FALSE)</f>
        <v>0</v>
      </c>
      <c r="F43" s="44"/>
      <c r="G43" s="44" t="str">
        <f t="shared" si="3"/>
        <v/>
      </c>
      <c r="H43" s="44"/>
      <c r="I43" s="44"/>
      <c r="J43" s="44" t="str">
        <f t="shared" si="4"/>
        <v/>
      </c>
      <c r="K43" s="44"/>
      <c r="L43" s="44"/>
      <c r="M43" s="68"/>
      <c r="N43" s="4924"/>
      <c r="O43" s="4930"/>
      <c r="P43" s="205"/>
      <c r="Q43" s="690" t="s">
        <v>3</v>
      </c>
      <c r="R43" s="67" t="b">
        <f t="shared" ref="R43:R50" si="6">IF(Q43="Compliant",TRUE,FALSE)</f>
        <v>0</v>
      </c>
      <c r="S43" s="44"/>
      <c r="T43" s="44"/>
      <c r="U43" s="122"/>
      <c r="V43" s="4955"/>
      <c r="W43" s="4930"/>
      <c r="X43" s="67"/>
      <c r="Y43" s="44"/>
      <c r="Z43" s="122"/>
    </row>
    <row r="44" spans="1:26" s="28" customFormat="1" ht="29.5" thickBot="1" x14ac:dyDescent="0.35">
      <c r="B44" s="4195"/>
      <c r="C44" s="1807" t="s">
        <v>2309</v>
      </c>
      <c r="D44" s="692" t="s">
        <v>3</v>
      </c>
      <c r="E44" s="78" t="b">
        <f t="shared" si="5"/>
        <v>0</v>
      </c>
      <c r="F44" s="79"/>
      <c r="G44" s="79" t="str">
        <f t="shared" si="3"/>
        <v/>
      </c>
      <c r="H44" s="79"/>
      <c r="I44" s="79"/>
      <c r="J44" s="79" t="str">
        <f t="shared" si="4"/>
        <v/>
      </c>
      <c r="K44" s="79"/>
      <c r="L44" s="79"/>
      <c r="M44" s="2128"/>
      <c r="N44" s="4924"/>
      <c r="O44" s="4931"/>
      <c r="P44" s="206"/>
      <c r="Q44" s="692" t="s">
        <v>3</v>
      </c>
      <c r="R44" s="78" t="b">
        <f t="shared" si="6"/>
        <v>0</v>
      </c>
      <c r="S44" s="79"/>
      <c r="T44" s="79"/>
      <c r="U44" s="127"/>
      <c r="V44" s="4955"/>
      <c r="W44" s="4931"/>
      <c r="X44" s="78"/>
      <c r="Y44" s="79"/>
      <c r="Z44" s="127"/>
    </row>
    <row r="45" spans="1:26" s="28" customFormat="1" ht="29.5" thickTop="1" x14ac:dyDescent="0.3">
      <c r="B45" s="4363" t="s">
        <v>2310</v>
      </c>
      <c r="C45" s="2148" t="s">
        <v>2314</v>
      </c>
      <c r="D45" s="2149" t="s">
        <v>565</v>
      </c>
      <c r="E45" s="1929" t="b">
        <f>IF(AND(E46=TRUE,E47=TRUE,E48=TRUE,E49=TRUE),TRUE,FALSE)</f>
        <v>0</v>
      </c>
      <c r="F45" s="1514">
        <f>COUNTIFS(E46:E49,TRUE)</f>
        <v>0</v>
      </c>
      <c r="G45" s="1514">
        <f>COUNTIFS(E46:E49,TRUE,G46:G49,"Not Blank")</f>
        <v>0</v>
      </c>
      <c r="H45" s="1514">
        <f>COUNTIFS(E46:E49,FALSE,G46:G49,"Not Blank")</f>
        <v>0</v>
      </c>
      <c r="I45" s="2155" t="str">
        <f xml:space="preserve">
IF(F45&gt;4,"Too Many Entries - Check Red Lines",
IF(AND(E45=FALSE,G45=0,H45=0,E45=TRUE),"Nothing Required Below",
IF(G45&lt;F45,"Valid Entry required below - Check Amber Line/s",
IF(AND(E45=FALSE,G45=0,H45=0),"Nothing Entered below Yet",
IF(G45&lt;F45,"Valid Entry required below - Check Amber Line/s",
IF(AND(G45=0,H45&gt;0),"**Non-Valid Entry/ies below - Check Yellow Line/s",
IF(AND(G45&gt;0,H45&gt;0),"**Valid and Non-Valid Entries made below - Check Yellow Line/s",
IF(AND(E45=FALSE,F45&lt;4),"Not all requirements addressed below - Check Pink Line/s",
IF(AND(E45=FALSE,G45&lt;4,G45&gt;0,H45=0),"More entries to come",
IF(AND(E45,TRUE,G45=4,H45=0),"Valid Entries made below"
))))))))))</f>
        <v>Nothing Entered below Yet</v>
      </c>
      <c r="J45" s="2155">
        <f>COUNTIFS(E46:E49,TRUE,J46:J49,"Not Blank")</f>
        <v>0</v>
      </c>
      <c r="K45" s="2155">
        <f>COUNTIFS(E46:E49,FALSE,J46:J49,"Not Blank")</f>
        <v>0</v>
      </c>
      <c r="L45" s="2155" t="str">
        <f xml:space="preserve">
IF(J45&gt;4,"Too Many Entries - Check Red Lines",
IF(AND(E45=FALSE,J45=0,K45=0,E45=TRUE),"Nothing Required Below",
IF(J45&lt;F45,"Valid Entry required below - Check Amber Line/s",
IF(AND(E45=FALSE,J45=0,K45=0),"Nothing Entered below Yet",
IF(AND(J45=0,K45&gt;0),"**Non-Valid Entry/ies below - Check Yellow Line/s",
IF(AND(J45&gt;0,K45&gt;0),"**Valid and Non-Valid Entries made below - Check Yellow Line/s",
IF(AND(E45=FALSE,J45&lt;4),"Not all requirements addressed below - Check Pink Line/s",
IF(AND(E45=FALSE,J45&lt;4,J45&gt;0,K45=0),"More entries to come",
IF(AND(E45,TRUE,J45=4,K45=0),"Valid Entries made below"
)))))))))</f>
        <v>Nothing Entered below Yet</v>
      </c>
      <c r="M45" s="2176"/>
      <c r="N45" s="4923" t="s">
        <v>3</v>
      </c>
      <c r="O45" s="4929" t="b">
        <f>IF(OR(N45="Compliant",N45="FE with work-a-round",N45="Functionally Equivalent"),TRUE,FALSE)</f>
        <v>0</v>
      </c>
      <c r="P45" s="66"/>
      <c r="Q45" s="4379" t="s">
        <v>565</v>
      </c>
      <c r="R45" s="1929" t="b">
        <f>IF(AND(R46=TRUE,R47=TRUE,R48=TRUE,R49=TRUE),TRUE,FALSE)</f>
        <v>0</v>
      </c>
      <c r="S45" s="111"/>
      <c r="T45" s="111"/>
      <c r="U45" s="120"/>
      <c r="V45" s="4954" t="s">
        <v>3</v>
      </c>
      <c r="W45" s="4929" t="b">
        <f>IF(OR(V45="Compliant",V45="FE with work-a-round",V45="Functionally Equivalent"),TRUE,FALSE)</f>
        <v>0</v>
      </c>
      <c r="X45" s="138"/>
      <c r="Y45" s="111"/>
      <c r="Z45" s="120"/>
    </row>
    <row r="46" spans="1:26" s="3503" customFormat="1" ht="174" x14ac:dyDescent="0.3">
      <c r="B46" s="4363"/>
      <c r="C46" s="2275" t="s">
        <v>2315</v>
      </c>
      <c r="D46" s="1826" t="s">
        <v>3</v>
      </c>
      <c r="E46" s="3529" t="b">
        <f t="shared" ref="E46" si="7">IF(D46="Compliant",TRUE,FALSE)</f>
        <v>0</v>
      </c>
      <c r="F46" s="3530"/>
      <c r="G46" s="3530" t="str">
        <f>IF(I46&lt;&gt;"", "Not Blank", "")</f>
        <v/>
      </c>
      <c r="H46" s="3530"/>
      <c r="I46" s="4378"/>
      <c r="J46" s="4378" t="str">
        <f>IF(L46&lt;&gt;"", "Not Blank", "")</f>
        <v/>
      </c>
      <c r="K46" s="4378"/>
      <c r="L46" s="4378"/>
      <c r="M46" s="987"/>
      <c r="N46" s="4924"/>
      <c r="O46" s="4930"/>
      <c r="P46" s="3527"/>
      <c r="Q46" s="1826" t="s">
        <v>3</v>
      </c>
      <c r="R46" s="1922" t="b">
        <f t="shared" ref="R46" si="8">IF(Q46="Compliant",TRUE,FALSE)</f>
        <v>0</v>
      </c>
      <c r="S46" s="42"/>
      <c r="T46" s="42"/>
      <c r="U46" s="128"/>
      <c r="V46" s="4955"/>
      <c r="W46" s="4930"/>
      <c r="X46" s="41"/>
      <c r="Y46" s="42"/>
      <c r="Z46" s="128"/>
    </row>
    <row r="47" spans="1:26" s="28" customFormat="1" ht="101.5" x14ac:dyDescent="0.3">
      <c r="B47" s="4195"/>
      <c r="C47" s="2803" t="s">
        <v>2311</v>
      </c>
      <c r="D47" s="1826" t="s">
        <v>3</v>
      </c>
      <c r="E47" s="67" t="b">
        <f t="shared" si="5"/>
        <v>0</v>
      </c>
      <c r="F47" s="44"/>
      <c r="G47" s="44" t="str">
        <f>IF(I47&lt;&gt;"", "Not Blank", "")</f>
        <v/>
      </c>
      <c r="H47" s="44"/>
      <c r="I47" s="42"/>
      <c r="J47" s="42" t="str">
        <f>IF(L47&lt;&gt;"", "Not Blank", "")</f>
        <v/>
      </c>
      <c r="K47" s="42"/>
      <c r="L47" s="42"/>
      <c r="M47" s="144"/>
      <c r="N47" s="4924"/>
      <c r="O47" s="4930"/>
      <c r="P47" s="2225"/>
      <c r="Q47" s="1826" t="s">
        <v>3</v>
      </c>
      <c r="R47" s="67" t="b">
        <f t="shared" si="6"/>
        <v>0</v>
      </c>
      <c r="S47" s="44"/>
      <c r="T47" s="44"/>
      <c r="U47" s="122"/>
      <c r="V47" s="4955"/>
      <c r="W47" s="4930"/>
      <c r="X47" s="67"/>
      <c r="Y47" s="44"/>
      <c r="Z47" s="122"/>
    </row>
    <row r="48" spans="1:26" s="28" customFormat="1" ht="116" x14ac:dyDescent="0.3">
      <c r="B48" s="4195"/>
      <c r="C48" s="2804" t="s">
        <v>2312</v>
      </c>
      <c r="D48" s="690" t="s">
        <v>3</v>
      </c>
      <c r="E48" s="67" t="b">
        <f t="shared" si="5"/>
        <v>0</v>
      </c>
      <c r="F48" s="44"/>
      <c r="G48" s="44" t="str">
        <f>IF(I48&lt;&gt;"", "Not Blank", "")</f>
        <v/>
      </c>
      <c r="H48" s="44"/>
      <c r="I48" s="44"/>
      <c r="J48" s="44" t="str">
        <f>IF(L48&lt;&gt;"", "Not Blank", "")</f>
        <v/>
      </c>
      <c r="K48" s="44"/>
      <c r="L48" s="44"/>
      <c r="M48" s="68"/>
      <c r="N48" s="4924"/>
      <c r="O48" s="4930"/>
      <c r="P48" s="205"/>
      <c r="Q48" s="690" t="s">
        <v>3</v>
      </c>
      <c r="R48" s="67" t="b">
        <f t="shared" si="6"/>
        <v>0</v>
      </c>
      <c r="S48" s="44"/>
      <c r="T48" s="44"/>
      <c r="U48" s="122"/>
      <c r="V48" s="4955"/>
      <c r="W48" s="4930"/>
      <c r="X48" s="67"/>
      <c r="Y48" s="44"/>
      <c r="Z48" s="122"/>
    </row>
    <row r="49" spans="1:84" s="28" customFormat="1" ht="44" thickBot="1" x14ac:dyDescent="0.35">
      <c r="B49" s="4195"/>
      <c r="C49" s="1807" t="s">
        <v>2313</v>
      </c>
      <c r="D49" s="692" t="s">
        <v>3</v>
      </c>
      <c r="E49" s="78" t="b">
        <f t="shared" si="5"/>
        <v>0</v>
      </c>
      <c r="F49" s="79"/>
      <c r="G49" s="79" t="str">
        <f>IF(I49&lt;&gt;"", "Not Blank", "")</f>
        <v/>
      </c>
      <c r="H49" s="79"/>
      <c r="I49" s="79"/>
      <c r="J49" s="79" t="str">
        <f>IF(L49&lt;&gt;"", "Not Blank", "")</f>
        <v/>
      </c>
      <c r="K49" s="79"/>
      <c r="L49" s="79"/>
      <c r="M49" s="143"/>
      <c r="N49" s="4924"/>
      <c r="O49" s="4931"/>
      <c r="P49" s="206"/>
      <c r="Q49" s="692" t="s">
        <v>3</v>
      </c>
      <c r="R49" s="78" t="b">
        <f t="shared" si="6"/>
        <v>0</v>
      </c>
      <c r="S49" s="79"/>
      <c r="T49" s="79"/>
      <c r="U49" s="127"/>
      <c r="V49" s="4955"/>
      <c r="W49" s="4931"/>
      <c r="X49" s="78"/>
      <c r="Y49" s="79"/>
      <c r="Z49" s="127"/>
    </row>
    <row r="50" spans="1:84" s="28" customFormat="1" ht="102.5" thickTop="1" thickBot="1" x14ac:dyDescent="0.35">
      <c r="A50" s="1386"/>
      <c r="B50" s="4195" t="s">
        <v>1284</v>
      </c>
      <c r="C50" s="1809" t="s">
        <v>2085</v>
      </c>
      <c r="D50" s="693" t="s">
        <v>3</v>
      </c>
      <c r="E50" s="231" t="b">
        <f t="shared" ref="E50" si="9">IF(D50="Compliant",TRUE,FALSE)</f>
        <v>0</v>
      </c>
      <c r="F50" s="2765">
        <f>COUNTIF(E50,TRUE)</f>
        <v>0</v>
      </c>
      <c r="G50" s="2765">
        <f>IF(AND(E50=TRUE,I50&lt;&gt;""),1,0)</f>
        <v>0</v>
      </c>
      <c r="H50" s="2765">
        <f>IF(AND(E50=FALSE,I50&lt;&gt;""),1,0)</f>
        <v>0</v>
      </c>
      <c r="I50" s="133"/>
      <c r="J50" s="2765">
        <f>IF(AND(E50=TRUE,L50&lt;&gt;""),1,0)</f>
        <v>0</v>
      </c>
      <c r="K50" s="2765">
        <f>IF(AND(E50=FALSE,L50&lt;&gt;""),1,0)</f>
        <v>0</v>
      </c>
      <c r="L50" s="133"/>
      <c r="M50" s="2789"/>
      <c r="N50" s="2790" t="s">
        <v>3</v>
      </c>
      <c r="O50" s="2791" t="b">
        <f>IF(OR(N50="Compliant",N50="FE with work-a-round",N50="Functionally Equivalent"),TRUE,FALSE)</f>
        <v>0</v>
      </c>
      <c r="P50" s="2791"/>
      <c r="Q50" s="2790" t="s">
        <v>3</v>
      </c>
      <c r="R50" s="231" t="b">
        <f t="shared" si="6"/>
        <v>0</v>
      </c>
      <c r="S50" s="2765"/>
      <c r="T50" s="2765"/>
      <c r="U50" s="2766"/>
      <c r="V50" s="3542" t="s">
        <v>3</v>
      </c>
      <c r="W50" s="2791" t="b">
        <f>IF(OR(V50="Compliant",V50="FE with work-a-round",V50="Functionally Equivalent"),TRUE,FALSE)</f>
        <v>0</v>
      </c>
      <c r="X50" s="2792"/>
      <c r="Y50" s="2765"/>
      <c r="Z50" s="2766"/>
    </row>
    <row r="51" spans="1:84" s="3634" customFormat="1" ht="16" thickTop="1" x14ac:dyDescent="0.3">
      <c r="A51" s="3993"/>
      <c r="E51" s="3636"/>
      <c r="F51" s="3636"/>
      <c r="G51" s="3993"/>
      <c r="H51" s="3993"/>
      <c r="I51" s="3993"/>
      <c r="N51" s="3821"/>
      <c r="O51" s="3636"/>
      <c r="U51" s="3729"/>
      <c r="V51" s="4328"/>
    </row>
    <row r="52" spans="1:84" s="3993" customFormat="1" ht="18.5" x14ac:dyDescent="0.3">
      <c r="A52" s="4636" t="s">
        <v>2086</v>
      </c>
      <c r="B52" s="4636"/>
      <c r="C52" s="4636"/>
      <c r="D52" s="4636"/>
      <c r="E52" s="4636"/>
      <c r="F52" s="4636"/>
      <c r="G52" s="4636"/>
      <c r="H52" s="4636"/>
      <c r="I52" s="4636"/>
      <c r="J52" s="4636"/>
      <c r="K52" s="4636"/>
      <c r="L52" s="4636"/>
      <c r="M52" s="4636"/>
      <c r="N52" s="4636"/>
      <c r="O52" s="3646"/>
      <c r="P52" s="3806"/>
      <c r="Q52" s="3806"/>
      <c r="R52" s="3806"/>
      <c r="S52" s="3806"/>
      <c r="T52" s="3806"/>
      <c r="U52" s="4361"/>
      <c r="V52" s="4327"/>
      <c r="W52" s="3805"/>
      <c r="X52" s="3656"/>
      <c r="Y52" s="3656"/>
      <c r="Z52" s="3656"/>
    </row>
    <row r="53" spans="1:84" s="3634" customFormat="1" ht="16" thickBot="1" x14ac:dyDescent="0.35">
      <c r="B53" s="3677"/>
      <c r="C53" s="3677"/>
      <c r="D53" s="3677"/>
      <c r="E53" s="4019"/>
      <c r="F53" s="4019"/>
      <c r="G53" s="4335"/>
      <c r="H53" s="4335"/>
      <c r="I53" s="3677"/>
      <c r="J53" s="3677"/>
      <c r="K53" s="3677"/>
      <c r="M53" s="4364"/>
      <c r="N53" s="4336"/>
      <c r="O53" s="4019"/>
      <c r="P53" s="3677"/>
      <c r="Q53" s="3677"/>
      <c r="R53" s="3677"/>
      <c r="S53" s="3677"/>
      <c r="T53" s="3677"/>
      <c r="U53" s="3638"/>
      <c r="V53" s="4337"/>
      <c r="W53" s="3677"/>
      <c r="X53" s="3677"/>
      <c r="Y53" s="3677"/>
      <c r="Z53" s="3677"/>
    </row>
    <row r="54" spans="1:84" s="3503" customFormat="1" ht="30" thickTop="1" thickBot="1" x14ac:dyDescent="0.35">
      <c r="B54" s="4365" t="s">
        <v>2337</v>
      </c>
      <c r="C54" s="1701" t="s">
        <v>2338</v>
      </c>
      <c r="D54" s="1923" t="s">
        <v>565</v>
      </c>
      <c r="E54" s="2810" t="b">
        <f>IF(AND(E55=TRUE,E56=TRUE,E57=TRUE),TRUE,FALSE)</f>
        <v>0</v>
      </c>
      <c r="F54" s="2811">
        <f>COUNTIF(E55:E57,TRUE)</f>
        <v>0</v>
      </c>
      <c r="G54" s="2812">
        <f>COUNTIFS(E55:E57,TRUE,G55:G57,"Not Blank")</f>
        <v>0</v>
      </c>
      <c r="H54" s="2813">
        <f>COUNTIFS(E55:E57,FALSE,G55:G57,"Not Blank")</f>
        <v>0</v>
      </c>
      <c r="I54" s="1642" t="str">
        <f xml:space="preserve">
IF(F54&gt;3,"Too Many Entries - Check Red Lines",
IF(AND(E54=FALSE,G54=0,H54=0,E54=TRUE),"Nothing Required Below",
IF(G54&lt;F54,"Valid Entry required below - Check Amber Line/s",
IF(AND(E54=FALSE,G54=0,H54=0),"Nothing Entered below Yet",
IF(G54&lt;F54,"Valid Entry required below - Check Amber Line/s",
IF(AND(G54=0,H54&gt;0),"**Non-Valid Entry/ies below - Check Yellow Line/s",
IF(AND(G54&gt;0,H54&gt;0),"**Valid and Non-Valid Entries made below - Check Yellow Line/s",
IF(AND(E54=FALSE,F54&lt;3),"Not all requirements addressed below - Check Pink Line/s",
IF(AND(E54=FALSE,G54&lt;3,G54&gt;0,H54=0),"More entries to come",
IF(AND(E54,TRUE,G54=3,H54=0),"Valid Entries made below"
))))))))))</f>
        <v>Nothing Entered below Yet</v>
      </c>
      <c r="J54" s="2814">
        <f>COUNTIFS(E55:E57,TRUE,J55:J57,"Not Blank")</f>
        <v>0</v>
      </c>
      <c r="K54" s="2814">
        <f>COUNTIFS(E55:E57,FALSE,J55:J57,"Not Blank")</f>
        <v>0</v>
      </c>
      <c r="L54" s="1642" t="str">
        <f xml:space="preserve">
IF(J54&gt;3,"Too Many Entries - Check Red Lines",
IF(AND(E54=FALSE,J54=0,K54=0,E54=TRUE),"Nothing Required Below",
IF(J54&lt;F54,"Valid Entry required below - Check Amber Line/s",
IF(AND(E54=FALSE,J54=0,K54=0),"Nothing Entered below Yet",
IF(AND(J54=0,K54&gt;0),"**Non-Valid Entry/ies below - Check Yellow Line/s",
IF(AND(J54&gt;0,K54&gt;0),"**Valid and Non-Valid Entries made below - Check Yellow Line/s",
IF(AND(E54=FALSE,J54&lt;3),"Not all requirements addressed below - Check Pink Line/s",
IF(AND(E54=FALSE,J54&lt;3,J54&gt;0,K54=0),"More entries to come",
IF(AND(E54,TRUE,J54=3,K54=0),"Valid Entries made below"
)))))))))</f>
        <v>Nothing Entered below Yet</v>
      </c>
      <c r="M54" s="134"/>
      <c r="N54" s="4200" t="s">
        <v>565</v>
      </c>
      <c r="O54" s="704" t="b">
        <f>IF(AND(O55=TRUE),TRUE,FALSE)</f>
        <v>0</v>
      </c>
      <c r="P54" s="697"/>
      <c r="Q54" s="4370" t="s">
        <v>565</v>
      </c>
      <c r="R54" s="2810" t="b">
        <f>IF(AND(R55=TRUE,R56=TRUE,R57=TRUE),TRUE,FALSE)</f>
        <v>0</v>
      </c>
      <c r="S54" s="111"/>
      <c r="T54" s="111"/>
      <c r="U54" s="120"/>
      <c r="V54" s="4179" t="s">
        <v>565</v>
      </c>
      <c r="W54" s="704" t="b">
        <f>IF(AND(W55=TRUE),TRUE,FALSE)</f>
        <v>0</v>
      </c>
      <c r="X54" s="2784"/>
      <c r="Y54" s="2785"/>
      <c r="Z54" s="2786"/>
      <c r="AA54" s="1386"/>
    </row>
    <row r="55" spans="1:84" ht="29.5" thickTop="1" x14ac:dyDescent="0.3">
      <c r="A55" s="204"/>
      <c r="B55" s="4365" t="s">
        <v>1557</v>
      </c>
      <c r="C55" s="1728" t="s">
        <v>991</v>
      </c>
      <c r="D55" s="1904" t="s">
        <v>565</v>
      </c>
      <c r="E55" s="2810" t="b">
        <f>IF(AND(E56=TRUE,E57=TRUE,E58=TRUE),TRUE,FALSE)</f>
        <v>0</v>
      </c>
      <c r="F55" s="2811">
        <f>COUNTIF(E56:E58,TRUE)</f>
        <v>0</v>
      </c>
      <c r="G55" s="2812">
        <f>COUNTIFS(E56:E58,TRUE,G56:G58,"Not Blank")</f>
        <v>0</v>
      </c>
      <c r="H55" s="2813">
        <f>COUNTIFS(E56:E58,FALSE,G56:G58,"Not Blank")</f>
        <v>0</v>
      </c>
      <c r="I55" s="1677" t="str">
        <f xml:space="preserve">
IF(F55&gt;3,"Too Many Entries - Check Red Lines",
IF(AND(E55=FALSE,G55=0,H55=0,E55=TRUE),"Nothing Required Below",
IF(G55&lt;F55,"Valid Entry required below - Check Amber Line/s",
IF(AND(E55=FALSE,G55=0,H55=0),"Nothing Entered below Yet",
IF(G55&lt;F55,"Valid Entry required below - Check Amber Line/s",
IF(AND(G55=0,H55&gt;0),"**Non-Valid Entry/ies below - Check Yellow Line/s",
IF(AND(G55&gt;0,H55&gt;0),"**Valid and Non-Valid Entries made below - Check Yellow Line/s",
IF(AND(E55=FALSE,F55&lt;3),"Not all requirements addressed below - Check Pink Line/s",
IF(AND(E55=FALSE,G55&lt;3,G55&gt;0,H55=0),"More entries to come",
IF(AND(E55,TRUE,G55=3,H55=0),"Valid Entries made below"
))))))))))</f>
        <v>Nothing Entered below Yet</v>
      </c>
      <c r="J55" s="2814">
        <f>COUNTIFS(E56:E58,TRUE,J56:J58,"Not Blank")</f>
        <v>0</v>
      </c>
      <c r="K55" s="2814">
        <f>COUNTIFS(E56:E58,FALSE,J56:J58,"Not Blank")</f>
        <v>0</v>
      </c>
      <c r="L55" s="1677" t="str">
        <f xml:space="preserve">
IF(J55&gt;3,"Too Many Entries - Check Red Lines",
IF(AND(E55=FALSE,J55=0,K55=0,E55=TRUE),"Nothing Required Below",
IF(J55&lt;F55,"Valid Entry required below - Check Amber Line/s",
IF(AND(E55=FALSE,J55=0,K55=0),"Nothing Entered below Yet",
IF(AND(J55=0,K55&gt;0),"**Non-Valid Entry/ies below - Check Yellow Line/s",
IF(AND(J55&gt;0,K55&gt;0),"**Valid and Non-Valid Entries made below - Check Yellow Line/s",
IF(AND(E55=FALSE,J55&lt;3),"Not all requirements addressed below - Check Pink Line/s",
IF(AND(E55=FALSE,J55&lt;3,J55&gt;0,K55=0),"More entries to come",
IF(AND(E55,TRUE,J55=3,K55=0),"Valid Entries made below"
)))))))))</f>
        <v>Nothing Entered below Yet</v>
      </c>
      <c r="M55" s="306"/>
      <c r="N55" s="4923" t="s">
        <v>3</v>
      </c>
      <c r="O55" s="4926" t="b">
        <f>IF(OR(N55="Compliant",N55="FE with work-a-round",N55="Functionally Equivalent"),TRUE,FALSE)</f>
        <v>0</v>
      </c>
      <c r="P55" s="459"/>
      <c r="Q55" s="4374" t="s">
        <v>565</v>
      </c>
      <c r="R55" s="2810" t="b">
        <f>IF(AND(R56=TRUE,R57=TRUE,R58=TRUE),TRUE,FALSE)</f>
        <v>0</v>
      </c>
      <c r="S55" s="186"/>
      <c r="T55" s="186"/>
      <c r="U55" s="306"/>
      <c r="V55" s="4954" t="s">
        <v>3</v>
      </c>
      <c r="W55" s="4926" t="b">
        <f>IF(OR(V55="Compliant",V55="FE with work-a-round",V55="Functionally Equivalent"),TRUE,FALSE)</f>
        <v>0</v>
      </c>
      <c r="X55" s="338"/>
      <c r="Y55" s="186"/>
      <c r="Z55" s="306"/>
    </row>
    <row r="56" spans="1:84" s="28" customFormat="1" ht="29" x14ac:dyDescent="0.3">
      <c r="B56" s="4366"/>
      <c r="C56" s="1702" t="s">
        <v>1001</v>
      </c>
      <c r="D56" s="2096" t="s">
        <v>3</v>
      </c>
      <c r="E56" s="838" t="b">
        <f>IF(D56="Compliant",TRUE,FALSE)</f>
        <v>0</v>
      </c>
      <c r="F56" s="390"/>
      <c r="G56" s="1566" t="str">
        <f>IF(I56&lt;&gt;"", "Not Blank", "")</f>
        <v/>
      </c>
      <c r="H56" s="1567"/>
      <c r="I56" s="144"/>
      <c r="J56" s="391" t="str">
        <f>IF(L56&lt;&gt;"", "Not Blank", "")</f>
        <v/>
      </c>
      <c r="K56" s="391"/>
      <c r="L56" s="144"/>
      <c r="M56" s="128"/>
      <c r="N56" s="4924"/>
      <c r="O56" s="4927" t="b">
        <f>IF(OR(N56="Compliant",N56="FE with work-a-round",N56="Functionally Equivalent"),TRUE,FALSE)</f>
        <v>0</v>
      </c>
      <c r="P56" s="3578"/>
      <c r="Q56" s="2096" t="s">
        <v>3</v>
      </c>
      <c r="R56" s="838" t="b">
        <f>IF(Q56="Compliant",TRUE,FALSE)</f>
        <v>0</v>
      </c>
      <c r="S56" s="44"/>
      <c r="T56" s="44"/>
      <c r="U56" s="122"/>
      <c r="V56" s="4955"/>
      <c r="W56" s="4927" t="b">
        <f>IF(OR(V56="Compliant",V56="FE with work-a-round",V56="Functionally Equivalent"),TRUE,FALSE)</f>
        <v>0</v>
      </c>
      <c r="X56" s="67"/>
      <c r="Y56" s="705"/>
      <c r="Z56" s="136"/>
    </row>
    <row r="57" spans="1:84" s="310" customFormat="1" ht="87" x14ac:dyDescent="0.3">
      <c r="A57" s="28"/>
      <c r="B57" s="4367"/>
      <c r="C57" s="1686" t="s">
        <v>1566</v>
      </c>
      <c r="D57" s="699" t="s">
        <v>3</v>
      </c>
      <c r="E57" s="594" t="b">
        <f>IF(D57="Compliant",TRUE,FALSE)</f>
        <v>0</v>
      </c>
      <c r="F57" s="361"/>
      <c r="G57" s="1405" t="str">
        <f>IF(I57&lt;&gt;"", "Not Blank", "")</f>
        <v/>
      </c>
      <c r="H57" s="1403"/>
      <c r="I57" s="68"/>
      <c r="J57" s="216" t="str">
        <f>IF(L57&lt;&gt;"", "Not Blank", "")</f>
        <v/>
      </c>
      <c r="K57" s="216"/>
      <c r="L57" s="68"/>
      <c r="M57" s="68"/>
      <c r="N57" s="4924"/>
      <c r="O57" s="4927" t="b">
        <f>IF(OR(N57="Compliant",N57="FE with work-a-round",N57="Functionally Equivalent"),TRUE,FALSE)</f>
        <v>0</v>
      </c>
      <c r="P57" s="205"/>
      <c r="Q57" s="699" t="s">
        <v>3</v>
      </c>
      <c r="R57" s="3500" t="b">
        <f>IF(Q57="Compliant",TRUE,FALSE)</f>
        <v>0</v>
      </c>
      <c r="S57" s="44"/>
      <c r="T57" s="44"/>
      <c r="U57" s="122"/>
      <c r="V57" s="4955"/>
      <c r="W57" s="4927" t="b">
        <f>IF(OR(V57="Compliant",V57="FE with work-a-round",V57="Functionally Equivalent"),TRUE,FALSE)</f>
        <v>0</v>
      </c>
      <c r="X57" s="67"/>
      <c r="Y57" s="44"/>
      <c r="Z57" s="127"/>
      <c r="AA57" s="308"/>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309"/>
    </row>
    <row r="58" spans="1:84" s="27" customFormat="1" ht="290.5" thickBot="1" x14ac:dyDescent="0.35">
      <c r="A58" s="1558"/>
      <c r="B58" s="4368"/>
      <c r="C58" s="1687" t="s">
        <v>2316</v>
      </c>
      <c r="D58" s="2793" t="s">
        <v>3</v>
      </c>
      <c r="E58" s="706" t="b">
        <f>IF(D58="Compliant",TRUE,FALSE)</f>
        <v>0</v>
      </c>
      <c r="F58" s="160"/>
      <c r="G58" s="409" t="str">
        <f>IF(I58&lt;&gt;"", "Not Blank", "")</f>
        <v/>
      </c>
      <c r="H58" s="160"/>
      <c r="I58" s="246"/>
      <c r="J58" s="188" t="str">
        <f>IF(L58&lt;&gt;"", "Not Blank", "")</f>
        <v/>
      </c>
      <c r="K58" s="124"/>
      <c r="L58" s="246"/>
      <c r="M58" s="246"/>
      <c r="N58" s="4925"/>
      <c r="O58" s="4928" t="b">
        <f>IF(OR(N58="Compliant",N58="FE with work-a-round",N58="Functionally Equivalent"),TRUE,FALSE)</f>
        <v>0</v>
      </c>
      <c r="P58" s="1745"/>
      <c r="Q58" s="2793" t="s">
        <v>3</v>
      </c>
      <c r="R58" s="3510" t="b">
        <f>IF(Q58="Compliant",TRUE,FALSE)</f>
        <v>0</v>
      </c>
      <c r="S58" s="2758"/>
      <c r="T58" s="2758"/>
      <c r="U58" s="1780"/>
      <c r="V58" s="4956"/>
      <c r="W58" s="4928" t="b">
        <f>IF(OR(V58="Compliant",V58="FE with work-a-round",V58="Functionally Equivalent"),TRUE,FALSE)</f>
        <v>0</v>
      </c>
      <c r="X58" s="1745"/>
      <c r="Y58" s="1764"/>
      <c r="Z58" s="1780"/>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98" customFormat="1" ht="30" thickTop="1" thickBot="1" x14ac:dyDescent="0.35">
      <c r="A59" s="1386" t="s">
        <v>2317</v>
      </c>
      <c r="B59" s="4365" t="s">
        <v>2323</v>
      </c>
      <c r="C59" s="1687" t="s">
        <v>2318</v>
      </c>
      <c r="D59" s="1923" t="s">
        <v>565</v>
      </c>
      <c r="E59" s="2810" t="b">
        <f>IF(AND(E60=TRUE,E63=TRUE,E68=TRUE,E74=TRUE,E78=TRUE,E87=TRUE,E90=TRUE,E99=TRUE,E102=TRUE,E111=TRUE),TRUE,FALSE)</f>
        <v>0</v>
      </c>
      <c r="F59" s="2811">
        <f>SUM(F60,F63,F78,F87,F90,F99,F102,F111)</f>
        <v>0</v>
      </c>
      <c r="G59" s="2812">
        <f>COUNTIFS(E60:E113,TRUE,G60:G113,"Not Blank")</f>
        <v>0</v>
      </c>
      <c r="H59" s="2813">
        <f>COUNTIFS(E60:E62,FALSE,G60:G62,"Not Blank")</f>
        <v>0</v>
      </c>
      <c r="I59" s="1642" t="str">
        <f xml:space="preserve">
IF(F59&gt;42,"Too Many Entries - Check Red Lines",
IF(AND(E59=FALSE,G59=0,H59=0,E59=TRUE),"Nothing Required Below",
IF(G59&lt;F59,"Valid Entry required below - Check Amber Line/s",
IF(AND(E59=FALSE,G59=0,H59=0),"Nothing Entered below Yet",
IF(G59&lt;F59,"Valid Entry required below - Check Amber Line/s",
IF(AND(G59=0,H59&gt;0),"**Non-Valid Entry/ies below - Check Yellow Line/s",
IF(AND(G59&gt;0,H59&gt;0),"**Valid and Non-Valid Entries made below - Check Yellow Line/s",
IF(AND(E59=FALSE,F59&lt;42),"Not all requirements addressed below - Check Pink Line/s",
IF(AND(E59=FALSE,G59&lt;42,G59&gt;0,H59=0),"More entries to come",
IF(AND(E59,TRUE,G59=42,H59=0),"Valid Entries made below"
))))))))))</f>
        <v>Nothing Entered below Yet</v>
      </c>
      <c r="J59" s="2812">
        <f>COUNTIFS(E60:E113,TRUE,J60:J113,"Not Blank")</f>
        <v>0</v>
      </c>
      <c r="K59" s="2813">
        <f>COUNTIFS(E60:E113,FALSE,J60:J113,"Not Blank")</f>
        <v>0</v>
      </c>
      <c r="L59" s="1642" t="str">
        <f xml:space="preserve">
IF(J59&gt;42,"Too Many Entries - Check Red Lines",
IF(AND(E59=FALSE,J59=0,K59=0,E59=TRUE),"Nothing Required Below",
IF(J59&lt;F59,"Valid Entry required below - Check Amber Line/s",
IF(AND(E59=FALSE,J59=0,K59=0),"Nothing Entered below Yet",
IF(AND(J59=0,K59&gt;0),"**Non-Valid Entry/ies below - Check Yellow Line/s",
IF(AND(J59&gt;0,K59&gt;0),"**Valid and Non-Valid Entries made below - Check Yellow Line/s",
IF(AND(E59=FALSE,J59&lt;42),"Not all requirements addressed below - Check Pink Line/s",
IF(AND(E59=FALSE,J59&lt;42,J59&gt;0,K59=0),"More entries to come",
IF(AND(E59,TRUE,J59=42,K59=0),"Valid Entries made below"
)))))))))</f>
        <v>Nothing Entered below Yet</v>
      </c>
      <c r="M59" s="1386"/>
      <c r="N59" s="4200" t="s">
        <v>565</v>
      </c>
      <c r="O59" s="704" t="b">
        <f>IF(AND(O60=TRUE,O61=TRUE,O62=TRUE),TRUE,FALSE)</f>
        <v>0</v>
      </c>
      <c r="P59" s="3502"/>
      <c r="Q59" s="4200" t="s">
        <v>565</v>
      </c>
      <c r="R59" s="2810" t="b">
        <f>IF(AND(R60=TRUE,R63=TRUE,R68=TRUE,R74=TRUE,R78=TRUE,R87=TRUE,R90=TRUE,R99=TRUE,R102=TRUE,R111=TRUE),TRUE,FALSE)</f>
        <v>0</v>
      </c>
      <c r="S59" s="132"/>
      <c r="T59" s="133"/>
      <c r="U59" s="134"/>
      <c r="V59" s="3971" t="s">
        <v>565</v>
      </c>
      <c r="W59" s="703" t="b">
        <f>IF(AND(W60=TRUE,W61=TRUE,W62=TRUE),TRUE,FALSE)</f>
        <v>0</v>
      </c>
      <c r="X59" s="3536"/>
      <c r="Y59" s="2982"/>
      <c r="Z59" s="2983"/>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row>
    <row r="60" spans="1:84" s="28" customFormat="1" ht="40" thickTop="1" thickBot="1" x14ac:dyDescent="0.35">
      <c r="A60" s="1386" t="s">
        <v>2094</v>
      </c>
      <c r="B60" s="4365" t="s">
        <v>2339</v>
      </c>
      <c r="C60" s="1548" t="s">
        <v>2087</v>
      </c>
      <c r="D60" s="1904" t="s">
        <v>565</v>
      </c>
      <c r="E60" s="1386" t="b">
        <f>IF(AND(E61=TRUE,E62=TRUE),TRUE,FALSE)</f>
        <v>0</v>
      </c>
      <c r="F60" s="1386">
        <f>COUNTIF(E61:E62,TRUE)</f>
        <v>0</v>
      </c>
      <c r="G60" s="1386">
        <f>COUNTIFS(E61:E62,TRUE,G61:G62,"Not Blank")</f>
        <v>0</v>
      </c>
      <c r="H60" s="1386">
        <f>COUNTIFS(E61:E62,FALSE,G61:G62,"Not Blank")</f>
        <v>0</v>
      </c>
      <c r="I60" s="1386" t="str">
        <f xml:space="preserve">
IF(F60&gt;2,"Too Many Entries - Check Red Lines",
IF(AND(E60=FALSE,G60=0,H60=0,E60=TRUE),"Nothing Required Below",
IF(G60&lt;F60,"Valid Entry required below - Check Amber Line/s",
IF(AND(E60=FALSE,G60=0,H60=0),"Nothing Entered below Yet",
IF(G60&lt;F60,"Valid Entry required below - Check Amber Line/s",
IF(AND(G60=0,H60&gt;0),"**Non-Valid Entry/ies below - Check Yellow Line/s",
IF(AND(G60&gt;0,H60&gt;0),"**Valid and Non-Valid Entries made below - Check Yellow Line/s",
IF(AND(E60=FALSE,F60&lt;2),"Not all requirements addressed below - Check Pink Line/s",
IF(AND(E60=FALSE,G60&lt;2,G60&gt;0,H60=0),"More entries to come",
IF(AND(E60,TRUE,G60=2,H60=0),"Valid Entries made below"
))))))))))</f>
        <v>Nothing Entered below Yet</v>
      </c>
      <c r="J60" s="1386">
        <f>COUNTIFS(E61:E62,TRUE,J61:J62,"Not Blank")</f>
        <v>0</v>
      </c>
      <c r="K60" s="1386">
        <f>COUNTIFS(E61:E62,FALSE,J61:J62,"Not Blank")</f>
        <v>0</v>
      </c>
      <c r="L60" s="1386" t="str">
        <f xml:space="preserve">
IF(J60&gt;2,"Too Many Entries - Check Red Lines",
IF(AND(E60=FALSE,J60=0,K60=0,E60=TRUE),"Nothing Required Below",
IF(J60&lt;F60,"Valid Entry required below - Check Amber Line/s",
IF(AND(E60=FALSE,J60=0,K60=0),"Nothing Entered below Yet",
IF(AND(J60=0,K60&gt;0),"**Non-Valid Entry/ies below - Check Yellow Line/s",
IF(AND(J60&gt;0,K60&gt;0),"**Valid and Non-Valid Entries made below - Check Yellow Line/s",
IF(AND(E60=FALSE,J60&lt;2),"Not all requirements addressed below - Check Pink Line/s",
IF(AND(E60=FALSE,J60&lt;2,J60&gt;0,K60=0),"More entries to come",
IF(AND(E60,TRUE,J60=2,K60=0),"Valid Entries made below"
)))))))))</f>
        <v>Nothing Entered below Yet</v>
      </c>
      <c r="M60" s="3577"/>
      <c r="N60" s="3551" t="s">
        <v>3</v>
      </c>
      <c r="O60" s="2791" t="b">
        <f t="shared" ref="O60:O64" si="10">IF(OR(N60="Compliant",N60="FE with work-a-round",N60="Functionally Equivalent"),TRUE,FALSE)</f>
        <v>0</v>
      </c>
      <c r="P60" s="2770"/>
      <c r="Q60" s="3538" t="s">
        <v>3</v>
      </c>
      <c r="R60" s="1386" t="b">
        <f>IF(AND(R61=TRUE,R62=TRUE),TRUE,FALSE)</f>
        <v>0</v>
      </c>
      <c r="S60" s="1386"/>
      <c r="T60" s="1386"/>
      <c r="U60" s="3525"/>
      <c r="V60" s="3560" t="s">
        <v>3</v>
      </c>
      <c r="W60" s="3526" t="b">
        <f t="shared" ref="W60:W62" si="11">IF(OR(V60="Compliant",V60="FE with work-a-round",V60="Functionally Equivalent"),TRUE,FALSE)</f>
        <v>0</v>
      </c>
      <c r="X60" s="1386"/>
      <c r="Y60" s="1386"/>
      <c r="Z60" s="2770"/>
    </row>
    <row r="61" spans="1:84" s="28" customFormat="1" ht="27" thickTop="1" thickBot="1" x14ac:dyDescent="0.35">
      <c r="A61" s="1386"/>
      <c r="B61" s="4366" t="s">
        <v>2324</v>
      </c>
      <c r="C61" s="1386" t="s">
        <v>2088</v>
      </c>
      <c r="D61" s="3550" t="s">
        <v>3</v>
      </c>
      <c r="E61" s="1386" t="b">
        <f t="shared" ref="E61:E62" si="12">IF(D61="Compliant",TRUE,FALSE)</f>
        <v>0</v>
      </c>
      <c r="F61" s="1386"/>
      <c r="G61" s="1386" t="str">
        <f t="shared" ref="G61:G62" si="13">IF(I61&lt;&gt;"", "Not Blank", "")</f>
        <v/>
      </c>
      <c r="H61" s="1386"/>
      <c r="I61" s="1386"/>
      <c r="J61" s="1386" t="str">
        <f t="shared" ref="J61:J62" si="14">IF(L61&lt;&gt;"", "Not Blank", "")</f>
        <v/>
      </c>
      <c r="K61" s="1386"/>
      <c r="L61" s="1386"/>
      <c r="M61" s="1386"/>
      <c r="N61" s="3540" t="s">
        <v>3</v>
      </c>
      <c r="O61" s="2791" t="b">
        <f t="shared" si="10"/>
        <v>0</v>
      </c>
      <c r="P61" s="1386"/>
      <c r="Q61" s="3541" t="s">
        <v>3</v>
      </c>
      <c r="R61" s="1386" t="b">
        <f t="shared" ref="R61:R62" si="15">IF(Q61="Compliant",TRUE,FALSE)</f>
        <v>0</v>
      </c>
      <c r="S61" s="1386"/>
      <c r="T61" s="1386"/>
      <c r="U61" s="3525"/>
      <c r="V61" s="3561" t="s">
        <v>3</v>
      </c>
      <c r="W61" s="2791" t="b">
        <f t="shared" si="11"/>
        <v>0</v>
      </c>
      <c r="X61" s="1386"/>
      <c r="Y61" s="1386"/>
      <c r="Z61" s="3525"/>
    </row>
    <row r="62" spans="1:84" s="28" customFormat="1" ht="105" thickTop="1" thickBot="1" x14ac:dyDescent="0.35">
      <c r="A62" s="1386"/>
      <c r="B62" s="4366" t="s">
        <v>2328</v>
      </c>
      <c r="C62" s="1386" t="s">
        <v>2093</v>
      </c>
      <c r="D62" s="2793" t="s">
        <v>3</v>
      </c>
      <c r="E62" s="1386" t="b">
        <f t="shared" si="12"/>
        <v>0</v>
      </c>
      <c r="F62" s="1386"/>
      <c r="G62" s="1386" t="str">
        <f t="shared" si="13"/>
        <v/>
      </c>
      <c r="H62" s="1386"/>
      <c r="I62" s="1386"/>
      <c r="J62" s="1386" t="str">
        <f t="shared" si="14"/>
        <v/>
      </c>
      <c r="K62" s="1386"/>
      <c r="L62" s="1386"/>
      <c r="M62" s="1386"/>
      <c r="N62" s="3539" t="s">
        <v>3</v>
      </c>
      <c r="O62" s="2791" t="b">
        <f t="shared" si="10"/>
        <v>0</v>
      </c>
      <c r="P62" s="1386"/>
      <c r="Q62" s="3539" t="s">
        <v>3</v>
      </c>
      <c r="R62" s="1386" t="b">
        <f t="shared" si="15"/>
        <v>0</v>
      </c>
      <c r="S62" s="1386"/>
      <c r="T62" s="1386"/>
      <c r="U62" s="3525"/>
      <c r="V62" s="3562" t="s">
        <v>3</v>
      </c>
      <c r="W62" s="2791" t="b">
        <f t="shared" si="11"/>
        <v>0</v>
      </c>
      <c r="X62" s="1386"/>
      <c r="Y62" s="1386"/>
      <c r="Z62" s="3537"/>
    </row>
    <row r="63" spans="1:84" s="3503" customFormat="1" ht="16.5" thickTop="1" thickBot="1" x14ac:dyDescent="0.35">
      <c r="A63" s="1386"/>
      <c r="B63" s="4365" t="s">
        <v>2329</v>
      </c>
      <c r="C63" s="2770" t="s">
        <v>2330</v>
      </c>
      <c r="D63" s="4370" t="s">
        <v>565</v>
      </c>
      <c r="E63" s="4377" t="b">
        <f>IF(AND(E64=TRUE,E68=TRUE,E74=TRUE),TRUE,FALSE)</f>
        <v>0</v>
      </c>
      <c r="F63" s="3993">
        <f>SUM(F64,F68,F74)</f>
        <v>0</v>
      </c>
      <c r="G63" s="3993">
        <f>COUNTIFS(E64:E77,TRUE,G64:G77,"Not Blank")</f>
        <v>0</v>
      </c>
      <c r="H63" s="3993">
        <f>COUNTIFS(E64:E77,FALSE,G64:G77,"Not Blank")</f>
        <v>0</v>
      </c>
      <c r="I63" s="4371" t="str">
        <f xml:space="preserve">
IF(F63&gt;11,"Too Many Entries - Check Red Lines",
IF(AND(E63=FALSE,G63=0,H63=0,E63=TRUE),"Nothing Required Below",
IF(G63&lt;F63,"Valid Entry required below - Check Amber Line/s",
IF(AND(E63=FALSE,G63=0,H63=0),"Nothing Entered below Yet",
IF(G63&lt;F63,"Valid Entry required below - Check Amber Line/s",
IF(AND(G63=0,H63&gt;0),"**Non-Valid Entry/ies below - Check Yellow Line/s",
IF(AND(G63&gt;0,H63&gt;0),"**Valid and Non-Valid Entries made below - Check Yellow Line/s",
IF(AND(E63=FALSE,F63&lt;11),"Not all requirements addressed below - Check Pink Line/s",
IF(AND(E63=FALSE,G63&lt;11,G63&gt;0,H63=0),"More entries to come",
IF(AND(E63,TRUE,G63=11,H63=0),"Valid Entries made below"
))))))))))</f>
        <v>Nothing Entered below Yet</v>
      </c>
      <c r="J63" s="4372">
        <f>COUNTIFS(F64:F77,TRUE,J64:J77,"Not Blank")</f>
        <v>0</v>
      </c>
      <c r="K63" s="4372">
        <f>COUNTIFS(E64:E77,FALSE,J64:J77,"Not Blank")</f>
        <v>0</v>
      </c>
      <c r="L63" s="4372" t="str">
        <f xml:space="preserve">
IF(J63&gt;11,"Too Many Entries - Check Red Lines",
IF(AND(E63=FALSE,J63=0,K63=0,E63=TRUE),"Nothing Required Below",
IF(J63&lt;F63,"Valid Entry required below - Check Amber Line/s",
IF(AND(E63=FALSE,J63=0,K63=0),"Nothing Entered below Yet",
IF(AND(J63=0,K63&gt;0),"**Non-Valid Entry/ies below - Check Yellow Line/s",
IF(AND(J63&gt;0,K63&gt;0),"**Valid and Non-Valid Entries made below - Check Yellow Line/s",
IF(AND(E63=FALSE,J63&lt;11),"Not all requirements addressed below - Check Pink Line/s",
IF(AND(E63=FALSE,J63&lt;11,J63&gt;0,K63=0),"More entries to come",
IF(AND(E63,TRUE,J63=11,K63=0),"Valid Entries made below"
)))))))))</f>
        <v>Nothing Entered below Yet</v>
      </c>
      <c r="M63" s="3544"/>
      <c r="N63" s="4200" t="s">
        <v>565</v>
      </c>
      <c r="O63" s="704" t="b">
        <f>IF(AND(O64=TRUE,O68=TRUE,O74=TRUE),TRUE,FALSE)</f>
        <v>0</v>
      </c>
      <c r="P63" s="3502"/>
      <c r="Q63" s="4200" t="s">
        <v>565</v>
      </c>
      <c r="R63" s="3528" t="b">
        <f>IF(AND(R64=TRUE,R68=TRUE,R74=TRUE),TRUE,FALSE)</f>
        <v>0</v>
      </c>
      <c r="S63" s="133"/>
      <c r="T63" s="133"/>
      <c r="U63" s="134"/>
      <c r="V63" s="3971" t="s">
        <v>565</v>
      </c>
      <c r="W63" s="704" t="b">
        <f>IF(AND(W64=TRUE,W68=TRUE,W74=TRUE),TRUE,FALSE)</f>
        <v>0</v>
      </c>
      <c r="X63" s="3334"/>
      <c r="Y63" s="2982"/>
      <c r="Z63" s="2983"/>
    </row>
    <row r="64" spans="1:84" s="28" customFormat="1" ht="27" thickTop="1" thickBot="1" x14ac:dyDescent="0.35">
      <c r="A64" s="1386" t="s">
        <v>2095</v>
      </c>
      <c r="B64" s="4365" t="s">
        <v>2325</v>
      </c>
      <c r="C64" s="3543" t="s">
        <v>2089</v>
      </c>
      <c r="D64" s="4370" t="s">
        <v>565</v>
      </c>
      <c r="E64" s="3993" t="b">
        <f>IF(AND(E65=TRUE,E66=TRUE,E67=TRUE),TRUE,FALSE)</f>
        <v>0</v>
      </c>
      <c r="F64" s="3993">
        <f>COUNTIF(E65:E67,TRUE)</f>
        <v>0</v>
      </c>
      <c r="G64" s="3993">
        <f>COUNTIFS(E65:E67,TRUE,G65:G67,"Not Blank")</f>
        <v>0</v>
      </c>
      <c r="H64" s="3993">
        <f>COUNTIFS(E65:E67,FALSE,G65:G67,"Not Blank")</f>
        <v>0</v>
      </c>
      <c r="I64" s="3993" t="str">
        <f xml:space="preserve">
IF(F64&gt;3,"Too Many Entries - Check Red Lines",
IF(AND(E64=FALSE,G64=0,H64=0,E64=TRUE),"Nothing Required Below",
IF(G64&lt;F64,"Valid Entry required below - Check Amber Line/s",
IF(AND(E64=FALSE,G64=0,H64=0),"Nothing Entered below Yet",
IF(G64&lt;F64,"Valid Entry required below - Check Amber Line/s",
IF(AND(G64=0,H64&gt;0),"**Non-Valid Entry/ies below - Check Yellow Line/s",
IF(AND(G64&gt;0,H64&gt;0),"**Valid and Non-Valid Entries made below - Check Yellow Line/s",
IF(AND(E64=FALSE,F64&lt;3),"Not all requirements addressed below - Check Pink Line/s",
IF(AND(E64=FALSE,G64&lt;3,G64&gt;0,H64=0),"More entries to come",
IF(AND(E64,TRUE,G64=3,H64=0),"Valid Entries made below"
))))))))))</f>
        <v>Nothing Entered below Yet</v>
      </c>
      <c r="J64" s="3993">
        <f>COUNTIFS(E65:E67,TRUE,J65:J67,"Not Blank")</f>
        <v>0</v>
      </c>
      <c r="K64" s="3993">
        <f>COUNTIFS(E65:E67,FALSE,J65:J67,"Not Blank")</f>
        <v>0</v>
      </c>
      <c r="L64" s="3993" t="str">
        <f xml:space="preserve">
IF(J64&gt;3,"Too Many Entries - Check Red Lines",
IF(AND(E64=FALSE,J64=0,K64=0,E64=TRUE),"Nothing Required Below",
IF(J64&lt;F64,"Valid Entry required below - Check Amber Line/s",
IF(AND(E64=FALSE,J64=0,K64=0),"Nothing Entered below Yet",
IF(AND(J64=0,K64&gt;0),"**Non-Valid Entry/ies below - Check Yellow Line/s",
IF(AND(J64&gt;0,K64&gt;0),"**Valid and Non-Valid Entries made below - Check Yellow Line/s",
IF(AND(E64=FALSE,J64&lt;3),"Not all requirements addressed below - Check Pink Line/s",
IF(AND(E64=FALSE,J64&lt;3,J64&gt;0,K64=0),"More entries to come",
IF(AND(E64,TRUE,J64=3,K64=0),"Valid Entries made below"
)))))))))</f>
        <v>Nothing Entered below Yet</v>
      </c>
      <c r="M64" s="1386"/>
      <c r="N64" s="4959" t="s">
        <v>3</v>
      </c>
      <c r="O64" s="4959" t="b">
        <f t="shared" si="10"/>
        <v>0</v>
      </c>
      <c r="P64" s="2770"/>
      <c r="Q64" s="4200" t="s">
        <v>565</v>
      </c>
      <c r="R64" s="1386" t="b">
        <f>IF(AND(R65=TRUE,R66=TRUE,R67=TRUE),TRUE,FALSE)</f>
        <v>0</v>
      </c>
      <c r="S64" s="1386"/>
      <c r="T64" s="1386"/>
      <c r="U64" s="3525"/>
      <c r="V64" s="4964" t="s">
        <v>3</v>
      </c>
      <c r="W64" s="4959" t="b">
        <f t="shared" ref="W64" si="16">IF(OR(V64="Compliant",V64="FE with work-a-round",V64="Functionally Equivalent"),TRUE,FALSE)</f>
        <v>0</v>
      </c>
      <c r="X64" s="1386"/>
      <c r="Y64" s="1386"/>
      <c r="Z64" s="2770"/>
    </row>
    <row r="65" spans="1:26" s="28" customFormat="1" ht="91.5" thickTop="1" x14ac:dyDescent="0.3">
      <c r="A65" s="1386"/>
      <c r="B65" s="4366"/>
      <c r="C65" s="1386" t="s">
        <v>2090</v>
      </c>
      <c r="D65" s="3552" t="s">
        <v>3</v>
      </c>
      <c r="E65" s="1386" t="b">
        <f t="shared" ref="E65:E67" si="17">IF(D65="Compliant",TRUE,FALSE)</f>
        <v>0</v>
      </c>
      <c r="F65" s="1386"/>
      <c r="G65" s="1386" t="str">
        <f t="shared" ref="G65:G67" si="18">IF(I65&lt;&gt;"", "Not Blank", "")</f>
        <v/>
      </c>
      <c r="H65" s="1386"/>
      <c r="I65" s="1386"/>
      <c r="J65" s="1386" t="str">
        <f t="shared" ref="J65:J67" si="19">IF(L65&lt;&gt;"", "Not Blank", "")</f>
        <v/>
      </c>
      <c r="K65" s="1386"/>
      <c r="L65" s="1386"/>
      <c r="M65" s="1386"/>
      <c r="N65" s="4960"/>
      <c r="O65" s="4960"/>
      <c r="P65" s="1386"/>
      <c r="Q65" s="3554" t="s">
        <v>3</v>
      </c>
      <c r="R65" s="1386" t="b">
        <f t="shared" ref="R65:R67" si="20">IF(Q65="Compliant",TRUE,FALSE)</f>
        <v>0</v>
      </c>
      <c r="S65" s="1386"/>
      <c r="T65" s="1386"/>
      <c r="U65" s="3525"/>
      <c r="V65" s="4965"/>
      <c r="W65" s="4960"/>
      <c r="X65" s="1386"/>
      <c r="Y65" s="1386"/>
      <c r="Z65" s="3525"/>
    </row>
    <row r="66" spans="1:26" s="28" customFormat="1" ht="52" x14ac:dyDescent="0.3">
      <c r="A66" s="1386"/>
      <c r="B66" s="4366"/>
      <c r="C66" s="1386" t="s">
        <v>2091</v>
      </c>
      <c r="D66" s="3550" t="s">
        <v>3</v>
      </c>
      <c r="E66" s="1386" t="b">
        <f t="shared" si="17"/>
        <v>0</v>
      </c>
      <c r="F66" s="1386"/>
      <c r="G66" s="1386" t="str">
        <f t="shared" si="18"/>
        <v/>
      </c>
      <c r="H66" s="1386"/>
      <c r="I66" s="1386"/>
      <c r="J66" s="1386" t="str">
        <f t="shared" si="19"/>
        <v/>
      </c>
      <c r="K66" s="1386"/>
      <c r="L66" s="1386"/>
      <c r="M66" s="1386"/>
      <c r="N66" s="4960"/>
      <c r="O66" s="4960"/>
      <c r="P66" s="1386"/>
      <c r="Q66" s="3554" t="s">
        <v>3</v>
      </c>
      <c r="R66" s="1386" t="b">
        <f t="shared" si="20"/>
        <v>0</v>
      </c>
      <c r="S66" s="1386"/>
      <c r="T66" s="1386"/>
      <c r="U66" s="3525"/>
      <c r="V66" s="4965"/>
      <c r="W66" s="4960"/>
      <c r="X66" s="1386"/>
      <c r="Y66" s="1386"/>
      <c r="Z66" s="3525"/>
    </row>
    <row r="67" spans="1:26" s="28" customFormat="1" ht="52.5" thickBot="1" x14ac:dyDescent="0.35">
      <c r="A67" s="1386"/>
      <c r="B67" s="4366"/>
      <c r="C67" s="3537" t="s">
        <v>2092</v>
      </c>
      <c r="D67" s="2793" t="s">
        <v>3</v>
      </c>
      <c r="E67" s="1386" t="b">
        <f t="shared" si="17"/>
        <v>0</v>
      </c>
      <c r="F67" s="1386"/>
      <c r="G67" s="1386" t="str">
        <f t="shared" si="18"/>
        <v/>
      </c>
      <c r="H67" s="1386"/>
      <c r="I67" s="1386"/>
      <c r="J67" s="1386" t="str">
        <f t="shared" si="19"/>
        <v/>
      </c>
      <c r="K67" s="1386"/>
      <c r="L67" s="1386"/>
      <c r="M67" s="1386"/>
      <c r="N67" s="4960"/>
      <c r="O67" s="4960"/>
      <c r="P67" s="1386"/>
      <c r="Q67" s="2793" t="s">
        <v>3</v>
      </c>
      <c r="R67" s="1386" t="b">
        <f t="shared" si="20"/>
        <v>0</v>
      </c>
      <c r="S67" s="1386"/>
      <c r="T67" s="1386"/>
      <c r="U67" s="3525"/>
      <c r="V67" s="4965"/>
      <c r="W67" s="4960"/>
      <c r="X67" s="3526"/>
      <c r="Y67" s="3526"/>
      <c r="Z67" s="3537"/>
    </row>
    <row r="68" spans="1:26" s="28" customFormat="1" ht="40" thickTop="1" thickBot="1" x14ac:dyDescent="0.35">
      <c r="A68" s="1386" t="s">
        <v>2096</v>
      </c>
      <c r="B68" s="4365" t="s">
        <v>2326</v>
      </c>
      <c r="C68" s="1548" t="s">
        <v>2097</v>
      </c>
      <c r="D68" s="4370" t="s">
        <v>565</v>
      </c>
      <c r="E68" s="3993" t="b">
        <f>IF(AND(E69=TRUE,E70=TRUE,E71=TRUE),TRUE,FALSE)</f>
        <v>0</v>
      </c>
      <c r="F68" s="3993">
        <f>COUNTIF(E69:E73,TRUE)</f>
        <v>0</v>
      </c>
      <c r="G68" s="3993">
        <f>COUNTIFS(E69:E73,TRUE,G69:G73,"Not Blank")</f>
        <v>0</v>
      </c>
      <c r="H68" s="3993">
        <f>COUNTIFS(E69:E73,FALSE,G69:G73,"Not Blank")</f>
        <v>0</v>
      </c>
      <c r="I68" s="4376" t="str">
        <f xml:space="preserve">
IF(F68&gt;5,"Too Many Entries - Check Red Lines",
IF(AND(E68=FALSE,G68=0,H68=0,E68=TRUE),"Nothing Required Below",
IF(G68&lt;F68,"Valid Entry required below - Check Amber Line/s",
IF(AND(E68=FALSE,G68=0,H68=0),"Nothing Entered below Yet",
IF(G68&lt;F68,"Valid Entry required below - Check Amber Line/s",
IF(AND(G68=0,H68&gt;0),"**Non-Valid Entry/ies below - Check Yellow Line/s",
IF(AND(G68&gt;0,H68&gt;0),"**Valid and Non-Valid Entries made below - Check Yellow Line/s",
IF(AND(E68=FALSE,F68&lt;5),"Not all requirements addressed below - Check Pink Line/s",
IF(AND(E68=FALSE,G68&lt;5,G68&gt;0,H68=0),"More entries to come",
IF(AND(E68,TRUE,G68=5,H68=0),"Valid Entries made below"
))))))))))</f>
        <v>Nothing Entered below Yet</v>
      </c>
      <c r="J68" s="4360">
        <f>COUNTIFS(E69:E73,TRUE,J69:J73,"Not Blank")</f>
        <v>0</v>
      </c>
      <c r="K68" s="4360">
        <f>COUNTIFS(E69:E73,FALSE,J69:J73,"Not Blank")</f>
        <v>0</v>
      </c>
      <c r="L68" s="4360" t="str">
        <f xml:space="preserve">
IF(J68&gt;5,"Too Many Entries - Check Red Lines",
IF(AND(E68=FALSE,J68=0,K68=0,E68=TRUE),"Nothing Required Below",
IF(J68&lt;F68,"Valid Entry required below - Check Amber Line/s",
IF(AND(E68=FALSE,J68=0,K68=0),"Nothing Entered below Yet",
IF(AND(J68=0,K68&gt;0),"**Non-Valid Entry/ies below - Check Yellow Line/s",
IF(AND(J68&gt;0,K68&gt;0),"**Valid and Non-Valid Entries made below - Check Yellow Line/s",
IF(AND(E68=FALSE,J68&lt;5),"Not all requirements addressed below - Check Pink Line/s",
IF(AND(E68=FALSE,J68&lt;5,J68&gt;0,K68=0),"More entries to come",
IF(AND(E68,TRUE,J68=5,K68=0),"Valid Entries made below"
)))))))))</f>
        <v>Nothing Entered below Yet</v>
      </c>
      <c r="M68" s="2767"/>
      <c r="N68" s="4959" t="s">
        <v>3</v>
      </c>
      <c r="O68" s="4959" t="b">
        <f t="shared" ref="O68" si="21">IF(OR(N68="Compliant",N68="FE with work-a-round",N68="Functionally Equivalent"),TRUE,FALSE)</f>
        <v>0</v>
      </c>
      <c r="P68" s="2770"/>
      <c r="Q68" s="4200" t="s">
        <v>565</v>
      </c>
      <c r="R68" s="1386" t="b">
        <f>IF(AND(R69=TRUE,R70=TRUE,R71=TRUE),TRUE,FALSE)</f>
        <v>0</v>
      </c>
      <c r="S68" s="3546"/>
      <c r="T68" s="3547"/>
      <c r="U68" s="3548"/>
      <c r="V68" s="4964" t="s">
        <v>3</v>
      </c>
      <c r="W68" s="4959" t="b">
        <f t="shared" ref="W68" si="22">IF(OR(V68="Compliant",V68="FE with work-a-round",V68="Functionally Equivalent"),TRUE,FALSE)</f>
        <v>0</v>
      </c>
      <c r="X68" s="1386"/>
      <c r="Y68" s="1386"/>
      <c r="Z68" s="3525"/>
    </row>
    <row r="69" spans="1:26" s="28" customFormat="1" ht="39.5" thickTop="1" x14ac:dyDescent="0.3">
      <c r="A69" s="1386"/>
      <c r="B69" s="4366"/>
      <c r="C69" s="1386" t="s">
        <v>2098</v>
      </c>
      <c r="D69" s="3552" t="s">
        <v>3</v>
      </c>
      <c r="E69" s="1386" t="b">
        <f t="shared" ref="E69:E73" si="23">IF(D69="Compliant",TRUE,FALSE)</f>
        <v>0</v>
      </c>
      <c r="F69" s="1386"/>
      <c r="G69" s="1386" t="str">
        <f t="shared" ref="G69:G73" si="24">IF(I69&lt;&gt;"", "Not Blank", "")</f>
        <v/>
      </c>
      <c r="H69" s="1386"/>
      <c r="I69" s="3534"/>
      <c r="J69" s="3533" t="str">
        <f t="shared" ref="J69:J73" si="25">IF(L69&lt;&gt;"", "Not Blank", "")</f>
        <v/>
      </c>
      <c r="K69" s="3533"/>
      <c r="L69" s="3533"/>
      <c r="M69" s="3533"/>
      <c r="N69" s="4960"/>
      <c r="O69" s="4960"/>
      <c r="P69" s="3533"/>
      <c r="Q69" s="3553" t="s">
        <v>3</v>
      </c>
      <c r="R69" s="1386" t="b">
        <f t="shared" ref="R69:R73" si="26">IF(Q69="Compliant",TRUE,FALSE)</f>
        <v>0</v>
      </c>
      <c r="S69" s="1386"/>
      <c r="T69" s="1386"/>
      <c r="U69" s="3525"/>
      <c r="V69" s="4965"/>
      <c r="W69" s="4960"/>
      <c r="X69" s="1386"/>
      <c r="Y69" s="1386"/>
      <c r="Z69" s="3525"/>
    </row>
    <row r="70" spans="1:26" s="28" customFormat="1" ht="130" x14ac:dyDescent="0.3">
      <c r="A70" s="1386"/>
      <c r="B70" s="4366"/>
      <c r="C70" s="1386" t="s">
        <v>2099</v>
      </c>
      <c r="D70" s="3550" t="s">
        <v>3</v>
      </c>
      <c r="E70" s="1386" t="b">
        <f t="shared" si="23"/>
        <v>0</v>
      </c>
      <c r="F70" s="1386"/>
      <c r="G70" s="1386" t="str">
        <f t="shared" si="24"/>
        <v/>
      </c>
      <c r="H70" s="1386"/>
      <c r="I70" s="3534"/>
      <c r="J70" s="3533" t="str">
        <f t="shared" si="25"/>
        <v/>
      </c>
      <c r="K70" s="3533"/>
      <c r="L70" s="3533"/>
      <c r="M70" s="3533"/>
      <c r="N70" s="4960"/>
      <c r="O70" s="4960"/>
      <c r="P70" s="3525"/>
      <c r="Q70" s="3555" t="s">
        <v>3</v>
      </c>
      <c r="R70" s="1386" t="b">
        <f t="shared" si="26"/>
        <v>0</v>
      </c>
      <c r="S70" s="1386"/>
      <c r="T70" s="1386"/>
      <c r="U70" s="3525"/>
      <c r="V70" s="4965"/>
      <c r="W70" s="4960"/>
      <c r="X70" s="1386"/>
      <c r="Y70" s="1386"/>
      <c r="Z70" s="3525"/>
    </row>
    <row r="71" spans="1:26" s="28" customFormat="1" ht="116" x14ac:dyDescent="0.3">
      <c r="A71" s="1386"/>
      <c r="B71" s="4366"/>
      <c r="C71" s="3503" t="s">
        <v>2100</v>
      </c>
      <c r="D71" s="3555" t="s">
        <v>3</v>
      </c>
      <c r="E71" s="1386" t="b">
        <f t="shared" si="23"/>
        <v>0</v>
      </c>
      <c r="F71" s="1386"/>
      <c r="G71" s="1386" t="str">
        <f t="shared" si="24"/>
        <v/>
      </c>
      <c r="H71" s="1386"/>
      <c r="I71" s="3534"/>
      <c r="J71" s="3533" t="str">
        <f t="shared" si="25"/>
        <v/>
      </c>
      <c r="K71" s="3533"/>
      <c r="L71" s="3533"/>
      <c r="M71" s="3533"/>
      <c r="N71" s="4960"/>
      <c r="O71" s="4960"/>
      <c r="P71" s="3525"/>
      <c r="Q71" s="3555" t="s">
        <v>3</v>
      </c>
      <c r="R71" s="1386" t="b">
        <f t="shared" si="26"/>
        <v>0</v>
      </c>
      <c r="S71" s="1386"/>
      <c r="T71" s="1386"/>
      <c r="U71" s="3525"/>
      <c r="V71" s="4965"/>
      <c r="W71" s="4960"/>
      <c r="X71" s="1386"/>
      <c r="Y71" s="1386"/>
      <c r="Z71" s="3525"/>
    </row>
    <row r="72" spans="1:26" s="28" customFormat="1" ht="39" x14ac:dyDescent="0.3">
      <c r="A72" s="1386"/>
      <c r="B72" s="4366"/>
      <c r="C72" s="1386" t="s">
        <v>2101</v>
      </c>
      <c r="D72" s="3550" t="s">
        <v>3</v>
      </c>
      <c r="E72" s="1386" t="b">
        <f t="shared" si="23"/>
        <v>0</v>
      </c>
      <c r="F72" s="1386"/>
      <c r="G72" s="1386" t="str">
        <f t="shared" si="24"/>
        <v/>
      </c>
      <c r="H72" s="1386"/>
      <c r="I72" s="3534"/>
      <c r="J72" s="3533" t="str">
        <f t="shared" si="25"/>
        <v/>
      </c>
      <c r="K72" s="3533"/>
      <c r="L72" s="3533"/>
      <c r="M72" s="3533"/>
      <c r="N72" s="4960"/>
      <c r="O72" s="4960"/>
      <c r="P72" s="3525"/>
      <c r="Q72" s="3555" t="s">
        <v>3</v>
      </c>
      <c r="R72" s="1386" t="b">
        <f t="shared" si="26"/>
        <v>0</v>
      </c>
      <c r="S72" s="1386"/>
      <c r="T72" s="1386"/>
      <c r="U72" s="3525"/>
      <c r="V72" s="4965"/>
      <c r="W72" s="4960"/>
      <c r="X72" s="1386"/>
      <c r="Y72" s="1386"/>
      <c r="Z72" s="3525"/>
    </row>
    <row r="73" spans="1:26" s="28" customFormat="1" ht="26.5" thickBot="1" x14ac:dyDescent="0.35">
      <c r="A73" s="1386"/>
      <c r="B73" s="4366"/>
      <c r="C73" s="1386" t="s">
        <v>2102</v>
      </c>
      <c r="D73" s="2793" t="s">
        <v>3</v>
      </c>
      <c r="E73" s="1386" t="b">
        <f t="shared" si="23"/>
        <v>0</v>
      </c>
      <c r="F73" s="1386"/>
      <c r="G73" s="1386" t="str">
        <f t="shared" si="24"/>
        <v/>
      </c>
      <c r="H73" s="1386"/>
      <c r="I73" s="3545"/>
      <c r="J73" s="3526" t="str">
        <f t="shared" si="25"/>
        <v/>
      </c>
      <c r="K73" s="3526"/>
      <c r="L73" s="3526"/>
      <c r="M73" s="3526"/>
      <c r="N73" s="4967"/>
      <c r="O73" s="4967"/>
      <c r="P73" s="3537"/>
      <c r="Q73" s="3550" t="s">
        <v>3</v>
      </c>
      <c r="R73" s="1386" t="b">
        <f t="shared" si="26"/>
        <v>0</v>
      </c>
      <c r="S73" s="3533"/>
      <c r="T73" s="3533"/>
      <c r="U73" s="3525"/>
      <c r="V73" s="4966"/>
      <c r="W73" s="4967"/>
      <c r="X73" s="3526"/>
      <c r="Y73" s="3526"/>
      <c r="Z73" s="3537"/>
    </row>
    <row r="74" spans="1:26" s="28" customFormat="1" ht="40" thickTop="1" thickBot="1" x14ac:dyDescent="0.35">
      <c r="A74" s="1386" t="s">
        <v>2104</v>
      </c>
      <c r="B74" s="4365" t="s">
        <v>2327</v>
      </c>
      <c r="C74" s="3543" t="s">
        <v>2103</v>
      </c>
      <c r="D74" s="4374" t="s">
        <v>565</v>
      </c>
      <c r="E74" s="4335" t="b">
        <f>IF(AND(E75=TRUE,E76=TRUE,E77=TRUE),TRUE,FALSE)</f>
        <v>0</v>
      </c>
      <c r="F74" s="4335">
        <f>COUNTIF(E75:E77,TRUE)</f>
        <v>0</v>
      </c>
      <c r="G74" s="4335">
        <f>COUNTIFS(E75:E77,TRUE,G75:G77,"Not Blank")</f>
        <v>0</v>
      </c>
      <c r="H74" s="4335">
        <f>COUNTIFS(E75:E77,FALSE,G75:G77,"Not Blank")</f>
        <v>0</v>
      </c>
      <c r="I74" s="4375" t="str">
        <f xml:space="preserve">
IF(F74&gt;3,"Too Many Entries - Check Red Lines",
IF(AND(E74=FALSE,G74=0,H74=0,E74=TRUE),"Nothing Required Below",
IF(G74&lt;F74,"Valid Entry required below - Check Amber Line/s",
IF(AND(E74=FALSE,G74=0,H74=0),"Nothing Entered below Yet",
IF(G74&lt;F74,"Valid Entry required below - Check Amber Line/s",
IF(AND(G74=0,H74&gt;0),"**Non-Valid Entry/ies below - Check Yellow Line/s",
IF(AND(G74&gt;0,H74&gt;0),"**Valid and Non-Valid Entries made below - Check Yellow Line/s",
IF(AND(E74=FALSE,F74&lt;3),"Not all requirements addressed below - Check Pink Line/s",
IF(AND(E74=FALSE,G74&lt;3,G74&gt;0,H74=0),"More entries to come",
IF(AND(E74,TRUE,G74=3,H74=0),"Valid Entries made below"
))))))))))</f>
        <v>Nothing Entered below Yet</v>
      </c>
      <c r="J74" s="4375">
        <f>COUNTIFS(E75:E77,TRUE,J75:J77,"Not Blank")</f>
        <v>0</v>
      </c>
      <c r="K74" s="4375">
        <f>COUNTIFS(E75:E77,FALSE,J75:J77,"Not Blank")</f>
        <v>0</v>
      </c>
      <c r="L74" s="4375" t="str">
        <f xml:space="preserve">
IF(J74&gt;3,"Too Many Entries - Check Red Lines",
IF(AND(E74=FALSE,J74=0,K74=0,E74=TRUE),"Nothing Required Below",
IF(J74&lt;F74,"Valid Entry required below - Check Amber Line/s",
IF(AND(E74=FALSE,J74=0,K74=0),"Nothing Entered below Yet",
IF(AND(J74=0,K74&gt;0),"**Non-Valid Entry/ies below - Check Yellow Line/s",
IF(AND(J74&gt;0,K74&gt;0),"**Valid and Non-Valid Entries made below - Check Yellow Line/s",
IF(AND(E74=FALSE,J74&lt;3),"Not all requirements addressed below - Check Pink Line/s",
IF(AND(E74=FALSE,J74&lt;3,J74&gt;0,K74=0),"More entries to come",
IF(AND(E74,TRUE,J74=3,K74=0),"Valid Entries made below"
)))))))))</f>
        <v>Nothing Entered below Yet</v>
      </c>
      <c r="M74" s="3547"/>
      <c r="N74" s="4960" t="s">
        <v>3</v>
      </c>
      <c r="O74" s="4960" t="b">
        <f t="shared" ref="O74" si="27">IF(OR(N74="Compliant",N74="FE with work-a-round",N74="Functionally Equivalent"),TRUE,FALSE)</f>
        <v>0</v>
      </c>
      <c r="P74" s="3548"/>
      <c r="Q74" s="4200" t="s">
        <v>565</v>
      </c>
      <c r="R74" s="2791" t="b">
        <f>IF(AND(R75=TRUE,R76=TRUE,R77=TRUE),TRUE,FALSE)</f>
        <v>0</v>
      </c>
      <c r="S74" s="3547"/>
      <c r="T74" s="3547"/>
      <c r="U74" s="3548"/>
      <c r="V74" s="4957" t="s">
        <v>3</v>
      </c>
      <c r="W74" s="4959" t="b">
        <f t="shared" ref="W74" si="28">IF(OR(V74="Compliant",V74="FE with work-a-round",V74="Functionally Equivalent"),TRUE,FALSE)</f>
        <v>0</v>
      </c>
      <c r="X74" s="2767"/>
      <c r="Y74" s="2767"/>
      <c r="Z74" s="2770"/>
    </row>
    <row r="75" spans="1:26" s="28" customFormat="1" ht="234.5" thickTop="1" x14ac:dyDescent="0.3">
      <c r="A75" s="1386"/>
      <c r="B75" s="4366"/>
      <c r="C75" s="1386" t="s">
        <v>2105</v>
      </c>
      <c r="D75" s="3550" t="s">
        <v>3</v>
      </c>
      <c r="E75" s="1386" t="b">
        <f>IF(D75="Compliant",TRUE,FALSE)</f>
        <v>0</v>
      </c>
      <c r="F75" s="1386"/>
      <c r="G75" s="1386" t="str">
        <f>IF(I75&lt;&gt;"", "Not Blank", "")</f>
        <v/>
      </c>
      <c r="H75" s="1386"/>
      <c r="I75" s="1386"/>
      <c r="J75" s="1386" t="str">
        <f>IF(L75&lt;&gt;"", "Not Blank", "")</f>
        <v/>
      </c>
      <c r="K75" s="1386"/>
      <c r="L75" s="1386"/>
      <c r="M75" s="1386"/>
      <c r="N75" s="4960"/>
      <c r="O75" s="4960"/>
      <c r="P75" s="1386"/>
      <c r="Q75" s="3550" t="s">
        <v>3</v>
      </c>
      <c r="R75" s="1386" t="b">
        <f>IF(Q75="Compliant",TRUE,FALSE)</f>
        <v>0</v>
      </c>
      <c r="S75" s="1386"/>
      <c r="T75" s="1386"/>
      <c r="U75" s="3525"/>
      <c r="V75" s="4963"/>
      <c r="W75" s="4960"/>
      <c r="X75" s="3585"/>
      <c r="Y75" s="3586"/>
      <c r="Z75" s="3587"/>
    </row>
    <row r="76" spans="1:26" s="28" customFormat="1" ht="117" x14ac:dyDescent="0.3">
      <c r="A76" s="1386"/>
      <c r="B76" s="4366"/>
      <c r="C76" s="1386" t="s">
        <v>2106</v>
      </c>
      <c r="D76" s="3554" t="s">
        <v>3</v>
      </c>
      <c r="E76" s="1386" t="b">
        <f t="shared" ref="E76:E77" si="29">IF(D76="Compliant",TRUE,FALSE)</f>
        <v>0</v>
      </c>
      <c r="F76" s="1386"/>
      <c r="G76" s="1386" t="str">
        <f t="shared" ref="G76:G77" si="30">IF(I76&lt;&gt;"", "Not Blank", "")</f>
        <v/>
      </c>
      <c r="H76" s="1386"/>
      <c r="I76" s="1386"/>
      <c r="J76" s="1386" t="str">
        <f t="shared" ref="J76:J77" si="31">IF(L76&lt;&gt;"", "Not Blank", "")</f>
        <v/>
      </c>
      <c r="K76" s="1386"/>
      <c r="L76" s="1386"/>
      <c r="M76" s="1386"/>
      <c r="N76" s="4960"/>
      <c r="O76" s="4960"/>
      <c r="P76" s="1386"/>
      <c r="Q76" s="3554" t="s">
        <v>3</v>
      </c>
      <c r="R76" s="1386" t="b">
        <f t="shared" ref="R76:R77" si="32">IF(Q76="Compliant",TRUE,FALSE)</f>
        <v>0</v>
      </c>
      <c r="S76" s="1386"/>
      <c r="T76" s="1386"/>
      <c r="U76" s="3525"/>
      <c r="V76" s="4963"/>
      <c r="W76" s="4960"/>
      <c r="X76" s="1386"/>
      <c r="Y76" s="1386"/>
      <c r="Z76" s="3525"/>
    </row>
    <row r="77" spans="1:26" s="28" customFormat="1" ht="52.5" thickBot="1" x14ac:dyDescent="0.35">
      <c r="A77" s="1386"/>
      <c r="B77" s="4366"/>
      <c r="C77" s="3537" t="s">
        <v>2107</v>
      </c>
      <c r="D77" s="2793" t="s">
        <v>3</v>
      </c>
      <c r="E77" s="1386" t="b">
        <f t="shared" si="29"/>
        <v>0</v>
      </c>
      <c r="F77" s="1386"/>
      <c r="G77" s="1386" t="str">
        <f t="shared" si="30"/>
        <v/>
      </c>
      <c r="H77" s="1386"/>
      <c r="I77" s="3526"/>
      <c r="J77" s="3526" t="str">
        <f t="shared" si="31"/>
        <v/>
      </c>
      <c r="K77" s="3526"/>
      <c r="L77" s="3526"/>
      <c r="M77" s="3526"/>
      <c r="N77" s="4967"/>
      <c r="O77" s="4967"/>
      <c r="P77" s="1386"/>
      <c r="Q77" s="3554" t="s">
        <v>3</v>
      </c>
      <c r="R77" s="1386" t="b">
        <f t="shared" si="32"/>
        <v>0</v>
      </c>
      <c r="S77" s="1386"/>
      <c r="T77" s="1386"/>
      <c r="U77" s="3525"/>
      <c r="V77" s="4958"/>
      <c r="W77" s="4960"/>
      <c r="X77" s="1386"/>
      <c r="Y77" s="1386"/>
      <c r="Z77" s="3537"/>
    </row>
    <row r="78" spans="1:26" s="28" customFormat="1" ht="92" thickTop="1" thickBot="1" x14ac:dyDescent="0.35">
      <c r="A78" s="1386" t="s">
        <v>2108</v>
      </c>
      <c r="B78" s="4365" t="s">
        <v>2118</v>
      </c>
      <c r="C78" s="1548" t="s">
        <v>2109</v>
      </c>
      <c r="D78" s="4370" t="s">
        <v>565</v>
      </c>
      <c r="E78" s="3993" t="b">
        <f>IF(AND(E79=TRUE,E80=TRUE,E81=TRUE,E82=TRUE,E83=TRUE,E84=TRUE,E85=TRUE,E86=TRUE),TRUE,FALSE)</f>
        <v>0</v>
      </c>
      <c r="F78" s="3993">
        <f>COUNTIF(E79:E86,TRUE)</f>
        <v>0</v>
      </c>
      <c r="G78" s="3993">
        <f>COUNTIFS(E79:E86,TRUE,G79:G86,"Not Blank")</f>
        <v>0</v>
      </c>
      <c r="H78" s="3993">
        <f>COUNTIFS(E79:E86,FALSE,G79:G86,"Not Blank")</f>
        <v>0</v>
      </c>
      <c r="I78" s="3993" t="str">
        <f xml:space="preserve">
IF(F78&gt;8,"Too Many Entries - Check Red Lines",
IF(AND(E78=FALSE,G78=0,H78=0,E78=TRUE),"Nothing Required Below",
IF(G78&lt;F78,"Valid Entry required below - Check Amber Line/s",
IF(AND(E78=FALSE,G78=0,H78=0),"Nothing Entered below Yet",
IF(G78&lt;F78,"Valid Entry required below - Check Amber Line/s",
IF(AND(G78=0,H78&gt;0),"**Non-Valid Entry/ies below - Check Yellow Line/s",
IF(AND(G78&gt;0,H78&gt;0),"**Valid and Non-Valid Entries made below - Check Yellow Line/s",
IF(AND(E78=FALSE,F78&lt;8),"Not all requirements addressed below - Check Pink Line/s",
IF(AND(E78=FALSE,G78&lt;8,G78&gt;0,H78=0),"More entries to come",
IF(AND(E78,TRUE,G78=8,H78=0),"Valid Entries made below"
))))))))))</f>
        <v>Nothing Entered below Yet</v>
      </c>
      <c r="J78" s="3993">
        <f>COUNTIFS(E79:E86,TRUE,J79:J86,"Not Blank")</f>
        <v>0</v>
      </c>
      <c r="K78" s="3993">
        <f>COUNTIFS(E79:E86,FALSE,J79:J86,"Not Blank")</f>
        <v>0</v>
      </c>
      <c r="L78" s="3993" t="str">
        <f xml:space="preserve">
IF(J78&gt;8,"Too Many Entries - Check Red Lines",
IF(AND(E78=FALSE,J78=0,K78=0,E78=TRUE),"Nothing Required Below",
IF(J78&lt;F78,"Valid Entry required below - Check Amber Line/s",
IF(AND(E78=FALSE,J78=0,K78=0),"Nothing Entered below Yet",
IF(AND(J78=0,K78&gt;0),"**Non-Valid Entry/ies below - Check Yellow Line/s",
IF(AND(J78&gt;0,K78&gt;0),"**Valid and Non-Valid Entries made below - Check Yellow Line/s",
IF(AND(E78=FALSE,J78&lt;8),"Not all requirements addressed below - Check Pink Line/s",
IF(AND(E78=FALSE,J78&lt;8,J78&gt;0,K78=0),"More entries to come",
IF(AND(E78,TRUE,J78=8,K78=0),"Valid Entries made below"
)))))))))</f>
        <v>Nothing Entered below Yet</v>
      </c>
      <c r="M78" s="1386"/>
      <c r="N78" s="4200" t="s">
        <v>565</v>
      </c>
      <c r="O78" s="704" t="b">
        <f>IF(AND(O79=TRUE,O80=TRUE,O81=TRUE,O82=TRUE,O83=TRUE,O84=TRUE,O85=TRUE,O86=TRUE),TRUE,FALSE)</f>
        <v>0</v>
      </c>
      <c r="P78" s="697"/>
      <c r="Q78" s="4171" t="s">
        <v>565</v>
      </c>
      <c r="R78" s="2791" t="b">
        <f>IF(AND(R79=TRUE,R80=TRUE,R81=TRUE,R82=TRUE,R83=TRUE,R84=TRUE,R85=TRUE,R86=TRUE),TRUE,FALSE)</f>
        <v>0</v>
      </c>
      <c r="S78" s="133"/>
      <c r="T78" s="133"/>
      <c r="U78" s="134"/>
      <c r="V78" s="3971" t="s">
        <v>565</v>
      </c>
      <c r="W78" s="703" t="b">
        <f>IF(AND(W79=TRUE,W80=TRUE,W81=TRUE,W82=TRUE,W83=TRUE,W84=TRUE,W85=TRUE,W86=TRUE),TRUE,FALSE)</f>
        <v>0</v>
      </c>
      <c r="X78" s="3536"/>
      <c r="Y78" s="2982"/>
      <c r="Z78" s="2983"/>
    </row>
    <row r="79" spans="1:26" s="28" customFormat="1" ht="27" thickTop="1" thickBot="1" x14ac:dyDescent="0.35">
      <c r="A79" s="1386"/>
      <c r="B79" s="4366"/>
      <c r="C79" s="1386" t="s">
        <v>2113</v>
      </c>
      <c r="D79" s="3554" t="s">
        <v>3</v>
      </c>
      <c r="E79" s="1386" t="b">
        <f t="shared" ref="E79:E86" si="33">IF(D79="Compliant",TRUE,FALSE)</f>
        <v>0</v>
      </c>
      <c r="F79" s="1386"/>
      <c r="G79" s="1386" t="str">
        <f t="shared" ref="G79:G86" si="34">IF(I79&lt;&gt;"", "Not Blank", "")</f>
        <v/>
      </c>
      <c r="H79" s="1386"/>
      <c r="I79" s="1386"/>
      <c r="J79" s="1386" t="str">
        <f t="shared" ref="J79:J86" si="35">IF(L79&lt;&gt;"", "Not Blank", "")</f>
        <v/>
      </c>
      <c r="K79" s="1386"/>
      <c r="L79" s="1386"/>
      <c r="M79" s="1386"/>
      <c r="N79" s="3541" t="s">
        <v>3</v>
      </c>
      <c r="O79" s="2791" t="b">
        <f t="shared" ref="O79:O86" si="36">IF(OR(N79="Compliant",N79="FE with work-a-round",N79="Functionally Equivalent"),TRUE,FALSE)</f>
        <v>0</v>
      </c>
      <c r="P79" s="1386"/>
      <c r="Q79" s="3557" t="s">
        <v>3</v>
      </c>
      <c r="R79" s="1386" t="b">
        <f t="shared" ref="R79:R86" si="37">IF(Q79="Compliant",TRUE,FALSE)</f>
        <v>0</v>
      </c>
      <c r="S79" s="1386"/>
      <c r="T79" s="1386"/>
      <c r="U79" s="3525"/>
      <c r="V79" s="3576" t="s">
        <v>3</v>
      </c>
      <c r="W79" s="3526" t="b">
        <f t="shared" ref="W79:W86" si="38">IF(OR(V79="Compliant",V79="FE with work-a-round",V79="Functionally Equivalent"),TRUE,FALSE)</f>
        <v>0</v>
      </c>
      <c r="X79" s="1386"/>
      <c r="Y79" s="1386"/>
      <c r="Z79" s="2770"/>
    </row>
    <row r="80" spans="1:26" s="28" customFormat="1" ht="40" thickTop="1" thickBot="1" x14ac:dyDescent="0.35">
      <c r="A80" s="1386"/>
      <c r="B80" s="4366"/>
      <c r="C80" s="1386" t="s">
        <v>2112</v>
      </c>
      <c r="D80" s="3554" t="s">
        <v>3</v>
      </c>
      <c r="E80" s="1386" t="b">
        <f t="shared" si="33"/>
        <v>0</v>
      </c>
      <c r="F80" s="1386"/>
      <c r="G80" s="1386" t="str">
        <f t="shared" si="34"/>
        <v/>
      </c>
      <c r="H80" s="1386"/>
      <c r="I80" s="1386"/>
      <c r="J80" s="1386" t="str">
        <f t="shared" si="35"/>
        <v/>
      </c>
      <c r="K80" s="1386"/>
      <c r="L80" s="1386"/>
      <c r="M80" s="1386"/>
      <c r="N80" s="3540" t="s">
        <v>3</v>
      </c>
      <c r="O80" s="2791" t="b">
        <f t="shared" si="36"/>
        <v>0</v>
      </c>
      <c r="P80" s="1386"/>
      <c r="Q80" s="3550" t="s">
        <v>3</v>
      </c>
      <c r="R80" s="1386" t="b">
        <f t="shared" si="37"/>
        <v>0</v>
      </c>
      <c r="S80" s="1386"/>
      <c r="T80" s="1386"/>
      <c r="U80" s="3525"/>
      <c r="V80" s="3560" t="s">
        <v>3</v>
      </c>
      <c r="W80" s="2791" t="b">
        <f t="shared" si="38"/>
        <v>0</v>
      </c>
      <c r="X80" s="1386"/>
      <c r="Y80" s="1386"/>
      <c r="Z80" s="3525"/>
    </row>
    <row r="81" spans="1:27" s="28" customFormat="1" ht="131" thickTop="1" thickBot="1" x14ac:dyDescent="0.35">
      <c r="A81" s="1386"/>
      <c r="B81" s="4366"/>
      <c r="C81" s="1386" t="s">
        <v>2111</v>
      </c>
      <c r="D81" s="3554" t="s">
        <v>3</v>
      </c>
      <c r="E81" s="1386" t="b">
        <f t="shared" si="33"/>
        <v>0</v>
      </c>
      <c r="F81" s="1386"/>
      <c r="G81" s="1386" t="str">
        <f t="shared" si="34"/>
        <v/>
      </c>
      <c r="H81" s="1386"/>
      <c r="I81" s="1386"/>
      <c r="J81" s="1386" t="str">
        <f t="shared" si="35"/>
        <v/>
      </c>
      <c r="K81" s="1386"/>
      <c r="L81" s="1386"/>
      <c r="M81" s="1386"/>
      <c r="N81" s="3556" t="s">
        <v>3</v>
      </c>
      <c r="O81" s="2791" t="b">
        <f t="shared" si="36"/>
        <v>0</v>
      </c>
      <c r="P81" s="1386"/>
      <c r="Q81" s="3554" t="s">
        <v>3</v>
      </c>
      <c r="R81" s="1386" t="b">
        <f t="shared" si="37"/>
        <v>0</v>
      </c>
      <c r="S81" s="1386"/>
      <c r="T81" s="1386"/>
      <c r="U81" s="3525"/>
      <c r="V81" s="3561" t="s">
        <v>3</v>
      </c>
      <c r="W81" s="2791" t="b">
        <f t="shared" si="38"/>
        <v>0</v>
      </c>
      <c r="X81" s="1386"/>
      <c r="Y81" s="1386"/>
      <c r="Z81" s="3525"/>
    </row>
    <row r="82" spans="1:27" s="28" customFormat="1" ht="79" thickTop="1" thickBot="1" x14ac:dyDescent="0.35">
      <c r="A82" s="1419"/>
      <c r="B82" s="4366"/>
      <c r="C82" s="1419" t="s">
        <v>2110</v>
      </c>
      <c r="D82" s="3555" t="s">
        <v>3</v>
      </c>
      <c r="E82" s="1386" t="b">
        <f t="shared" si="33"/>
        <v>0</v>
      </c>
      <c r="F82" s="1386"/>
      <c r="G82" s="1386" t="str">
        <f t="shared" si="34"/>
        <v/>
      </c>
      <c r="H82" s="1386"/>
      <c r="I82" s="1386"/>
      <c r="J82" s="1386" t="str">
        <f t="shared" si="35"/>
        <v/>
      </c>
      <c r="K82" s="1386"/>
      <c r="L82" s="1386"/>
      <c r="M82" s="1386"/>
      <c r="N82" s="3556" t="s">
        <v>3</v>
      </c>
      <c r="O82" s="2791" t="b">
        <f t="shared" si="36"/>
        <v>0</v>
      </c>
      <c r="P82" s="1386"/>
      <c r="Q82" s="3555" t="s">
        <v>3</v>
      </c>
      <c r="R82" s="1386" t="b">
        <f t="shared" si="37"/>
        <v>0</v>
      </c>
      <c r="S82" s="1386"/>
      <c r="T82" s="1386"/>
      <c r="U82" s="3525"/>
      <c r="V82" s="3561" t="s">
        <v>3</v>
      </c>
      <c r="W82" s="2791" t="b">
        <f t="shared" si="38"/>
        <v>0</v>
      </c>
      <c r="X82" s="1386"/>
      <c r="Y82" s="1386"/>
      <c r="Z82" s="3525"/>
    </row>
    <row r="83" spans="1:27" s="2818" customFormat="1" ht="144" thickTop="1" thickBot="1" x14ac:dyDescent="0.35">
      <c r="A83" s="1386"/>
      <c r="B83" s="4366"/>
      <c r="C83" s="1386" t="s">
        <v>2114</v>
      </c>
      <c r="D83" s="3550" t="s">
        <v>3</v>
      </c>
      <c r="E83" s="1419" t="b">
        <f t="shared" si="33"/>
        <v>0</v>
      </c>
      <c r="F83" s="1419"/>
      <c r="G83" s="1419" t="str">
        <f t="shared" si="34"/>
        <v/>
      </c>
      <c r="H83" s="1419"/>
      <c r="I83" s="1419"/>
      <c r="J83" s="1419" t="str">
        <f t="shared" si="35"/>
        <v/>
      </c>
      <c r="K83" s="1419"/>
      <c r="L83" s="1419"/>
      <c r="M83" s="1419"/>
      <c r="N83" s="3556" t="s">
        <v>3</v>
      </c>
      <c r="O83" s="2791" t="b">
        <f t="shared" si="36"/>
        <v>0</v>
      </c>
      <c r="P83" s="1419"/>
      <c r="Q83" s="3550" t="s">
        <v>3</v>
      </c>
      <c r="R83" s="1419" t="b">
        <f t="shared" si="37"/>
        <v>0</v>
      </c>
      <c r="S83" s="1419"/>
      <c r="T83" s="1419"/>
      <c r="U83" s="3565"/>
      <c r="V83" s="3560" t="s">
        <v>3</v>
      </c>
      <c r="W83" s="2791" t="b">
        <f t="shared" si="38"/>
        <v>0</v>
      </c>
      <c r="X83" s="1419"/>
      <c r="Y83" s="1419"/>
      <c r="Z83" s="3565"/>
    </row>
    <row r="84" spans="1:27" s="28" customFormat="1" ht="92" thickTop="1" thickBot="1" x14ac:dyDescent="0.35">
      <c r="A84" s="1386"/>
      <c r="B84" s="4366"/>
      <c r="C84" s="1386" t="s">
        <v>2115</v>
      </c>
      <c r="D84" s="3554" t="s">
        <v>3</v>
      </c>
      <c r="E84" s="1386" t="b">
        <f t="shared" si="33"/>
        <v>0</v>
      </c>
      <c r="F84" s="1386"/>
      <c r="G84" s="1386" t="str">
        <f t="shared" si="34"/>
        <v/>
      </c>
      <c r="H84" s="1386"/>
      <c r="I84" s="1386"/>
      <c r="J84" s="1386" t="str">
        <f t="shared" si="35"/>
        <v/>
      </c>
      <c r="K84" s="1386"/>
      <c r="L84" s="1386"/>
      <c r="M84" s="1386"/>
      <c r="N84" s="3556" t="s">
        <v>3</v>
      </c>
      <c r="O84" s="2791" t="b">
        <f t="shared" si="36"/>
        <v>0</v>
      </c>
      <c r="P84" s="1386"/>
      <c r="Q84" s="3554" t="s">
        <v>3</v>
      </c>
      <c r="R84" s="1386" t="b">
        <f t="shared" si="37"/>
        <v>0</v>
      </c>
      <c r="S84" s="1386"/>
      <c r="T84" s="1386"/>
      <c r="U84" s="3525"/>
      <c r="V84" s="3561" t="s">
        <v>3</v>
      </c>
      <c r="W84" s="2791" t="b">
        <f t="shared" si="38"/>
        <v>0</v>
      </c>
      <c r="X84" s="1386"/>
      <c r="Y84" s="1386"/>
      <c r="Z84" s="1386"/>
      <c r="AA84" s="3524"/>
    </row>
    <row r="85" spans="1:27" s="28" customFormat="1" ht="131" thickTop="1" thickBot="1" x14ac:dyDescent="0.35">
      <c r="A85" s="1386"/>
      <c r="B85" s="4366"/>
      <c r="C85" s="1386" t="s">
        <v>2116</v>
      </c>
      <c r="D85" s="3554" t="s">
        <v>3</v>
      </c>
      <c r="E85" s="1386" t="b">
        <f t="shared" si="33"/>
        <v>0</v>
      </c>
      <c r="F85" s="1386"/>
      <c r="G85" s="1386" t="str">
        <f t="shared" si="34"/>
        <v/>
      </c>
      <c r="H85" s="1386"/>
      <c r="I85" s="1386"/>
      <c r="J85" s="1386" t="str">
        <f t="shared" si="35"/>
        <v/>
      </c>
      <c r="K85" s="1386"/>
      <c r="L85" s="1386"/>
      <c r="M85" s="1386"/>
      <c r="N85" s="3556" t="s">
        <v>3</v>
      </c>
      <c r="O85" s="2791" t="b">
        <f t="shared" si="36"/>
        <v>0</v>
      </c>
      <c r="P85" s="1386"/>
      <c r="Q85" s="3555" t="s">
        <v>3</v>
      </c>
      <c r="R85" s="1386" t="b">
        <f t="shared" si="37"/>
        <v>0</v>
      </c>
      <c r="S85" s="1386"/>
      <c r="T85" s="1386"/>
      <c r="U85" s="3525"/>
      <c r="V85" s="3563" t="s">
        <v>3</v>
      </c>
      <c r="W85" s="2791" t="b">
        <f t="shared" si="38"/>
        <v>0</v>
      </c>
      <c r="X85" s="1386"/>
      <c r="Y85" s="1386"/>
      <c r="Z85" s="1386"/>
      <c r="AA85" s="3524"/>
    </row>
    <row r="86" spans="1:27" s="28" customFormat="1" ht="131" thickTop="1" thickBot="1" x14ac:dyDescent="0.35">
      <c r="A86" s="1386"/>
      <c r="B86" s="4366"/>
      <c r="C86" s="3537" t="s">
        <v>2117</v>
      </c>
      <c r="D86" s="2793" t="s">
        <v>3</v>
      </c>
      <c r="E86" s="1386" t="b">
        <f t="shared" si="33"/>
        <v>0</v>
      </c>
      <c r="F86" s="1386"/>
      <c r="G86" s="1386" t="str">
        <f t="shared" si="34"/>
        <v/>
      </c>
      <c r="H86" s="1386"/>
      <c r="I86" s="1386"/>
      <c r="J86" s="1386" t="str">
        <f t="shared" si="35"/>
        <v/>
      </c>
      <c r="K86" s="1386"/>
      <c r="L86" s="1386"/>
      <c r="M86" s="1386"/>
      <c r="N86" s="3539" t="s">
        <v>3</v>
      </c>
      <c r="O86" s="2791" t="b">
        <f t="shared" si="36"/>
        <v>0</v>
      </c>
      <c r="P86" s="1386"/>
      <c r="Q86" s="2793" t="s">
        <v>3</v>
      </c>
      <c r="R86" s="1386" t="b">
        <f t="shared" si="37"/>
        <v>0</v>
      </c>
      <c r="S86" s="1386"/>
      <c r="T86" s="1386"/>
      <c r="U86" s="3525"/>
      <c r="V86" s="3562" t="s">
        <v>3</v>
      </c>
      <c r="W86" s="2791" t="b">
        <f t="shared" si="38"/>
        <v>0</v>
      </c>
      <c r="X86" s="1386"/>
      <c r="Y86" s="1386"/>
      <c r="Z86" s="1386"/>
      <c r="AA86" s="3524"/>
    </row>
    <row r="87" spans="1:27" s="28" customFormat="1" ht="27" thickTop="1" thickBot="1" x14ac:dyDescent="0.35">
      <c r="A87" s="1386" t="s">
        <v>2119</v>
      </c>
      <c r="B87" s="4365" t="s">
        <v>2121</v>
      </c>
      <c r="C87" s="3574" t="s">
        <v>2120</v>
      </c>
      <c r="D87" s="4370" t="s">
        <v>565</v>
      </c>
      <c r="E87" s="3993" t="b">
        <f>IF(AND(E88=TRUE,E89=TRUE),TRUE,FALSE)</f>
        <v>0</v>
      </c>
      <c r="F87" s="3993">
        <f>COUNTIF(E88:E89,TRUE)</f>
        <v>0</v>
      </c>
      <c r="G87" s="3993">
        <f>COUNTIFS(E88:E89,TRUE,G88:G89,"Not Blank")</f>
        <v>0</v>
      </c>
      <c r="H87" s="3993">
        <f>COUNTIFS(E88:E89,FALSE,G88:G89,"Not Blank")</f>
        <v>0</v>
      </c>
      <c r="I87" s="4371" t="str">
        <f xml:space="preserve">
IF(F87&gt;2,"Too Many Entries - Check Red Lines",
IF(AND(E87=FALSE,G87=0,H87=0,E87=TRUE),"Nothing Required Below",
IF(G87&lt;F87,"Valid Entry required below - Check Amber Line/s",
IF(AND(E87=FALSE,G87=0,H87=0),"Nothing Entered below Yet",
IF(G87&lt;F87,"Valid Entry required below - Check Amber Line/s",
IF(AND(G87=0,H87&gt;0),"**Non-Valid Entry/ies below - Check Yellow Line/s",
IF(AND(G87&gt;0,H87&gt;0),"**Valid and Non-Valid Entries made below - Check Yellow Line/s",
IF(AND(E87=FALSE,F87&lt;2),"Not all requirements addressed below - Check Pink Line/s",
IF(AND(E87=FALSE,G87&lt;2,G87&gt;0,H87=0),"More entries to come",
IF(AND(E87,TRUE,G87=2,H87=0),"Valid Entries made below"
))))))))))</f>
        <v>Nothing Entered below Yet</v>
      </c>
      <c r="J87" s="4372">
        <f>COUNTIFS(E88:E89,TRUE,J88:J89,"Not Blank")</f>
        <v>0</v>
      </c>
      <c r="K87" s="4372">
        <f>COUNTIFS(E88:E89,FALSE,J88:J89,"Not Blank")</f>
        <v>0</v>
      </c>
      <c r="L87" s="4372" t="str">
        <f xml:space="preserve">
IF(J87&gt;2,"Too Many Entries - Check Red Lines",
IF(AND(E87=FALSE,J87=0,K87=0,E87=TRUE),"Nothing Required Below",
IF(J87&lt;F87,"Valid Entry required below - Check Amber Line/s",
IF(AND(E87=FALSE,J87=0,K87=0),"Nothing Entered below Yet",
IF(AND(J87=0,K87&gt;0),"**Non-Valid Entry/ies below - Check Yellow Line/s",
IF(AND(J87&gt;0,K87&gt;0),"**Valid and Non-Valid Entries made below - Check Yellow Line/s",
IF(AND(E87=FALSE,J87&lt;2),"Not all requirements addressed below - Check Pink Line/s",
IF(AND(E87=FALSE,J87&lt;2,J87&gt;0,K87=0),"More entries to come",
IF(AND(E87,TRUE,J87=2,K87=0),"Valid Entries made below"
)))))))))</f>
        <v>Nothing Entered below Yet</v>
      </c>
      <c r="M87" s="3544"/>
      <c r="N87" s="4200" t="s">
        <v>565</v>
      </c>
      <c r="O87" s="704" t="b">
        <f>IF(AND(O88=TRUE),TRUE,FALSE)</f>
        <v>0</v>
      </c>
      <c r="P87" s="697"/>
      <c r="Q87" s="4138" t="s">
        <v>565</v>
      </c>
      <c r="R87" s="1386" t="b">
        <f>IF(AND(R88=TRUE,R89=TRUE),TRUE,FALSE)</f>
        <v>0</v>
      </c>
      <c r="S87" s="132"/>
      <c r="T87" s="133"/>
      <c r="U87" s="134"/>
      <c r="V87" s="3202" t="s">
        <v>565</v>
      </c>
      <c r="W87" s="704" t="b">
        <f>IF(AND(W88=TRUE),TRUE,FALSE)</f>
        <v>0</v>
      </c>
      <c r="X87" s="3334"/>
      <c r="Y87" s="2982"/>
      <c r="Z87" s="2983"/>
    </row>
    <row r="88" spans="1:27" s="28" customFormat="1" ht="65.5" thickTop="1" x14ac:dyDescent="0.3">
      <c r="A88" s="1386"/>
      <c r="B88" s="4366"/>
      <c r="C88" s="1386" t="s">
        <v>2122</v>
      </c>
      <c r="D88" s="3552" t="s">
        <v>3</v>
      </c>
      <c r="E88" s="1386" t="b">
        <f t="shared" ref="E88:E89" si="39">IF(D88="Compliant",TRUE,FALSE)</f>
        <v>0</v>
      </c>
      <c r="F88" s="1386"/>
      <c r="G88" s="1386" t="str">
        <f t="shared" ref="G88:G89" si="40">IF(I88&lt;&gt;"", "Not Blank", "")</f>
        <v/>
      </c>
      <c r="H88" s="1386"/>
      <c r="I88" s="1386"/>
      <c r="J88" s="1386" t="str">
        <f t="shared" ref="J88:J89" si="41">IF(L88&lt;&gt;"", "Not Blank", "")</f>
        <v/>
      </c>
      <c r="K88" s="1386"/>
      <c r="L88" s="1386"/>
      <c r="M88" s="3525"/>
      <c r="N88" s="4964" t="s">
        <v>3</v>
      </c>
      <c r="O88" s="4959" t="b">
        <f t="shared" ref="O88" si="42">IF(OR(N88="Compliant",N88="FE with work-a-round",N88="Functionally Equivalent"),TRUE,FALSE)</f>
        <v>0</v>
      </c>
      <c r="P88" s="1386"/>
      <c r="Q88" s="3552" t="s">
        <v>3</v>
      </c>
      <c r="R88" s="1386" t="b">
        <f t="shared" ref="R88:R89" si="43">IF(Q88="Compliant",TRUE,FALSE)</f>
        <v>0</v>
      </c>
      <c r="S88" s="1386"/>
      <c r="T88" s="1386"/>
      <c r="U88" s="3525"/>
      <c r="V88" s="4959" t="s">
        <v>3</v>
      </c>
      <c r="W88" s="4959" t="b">
        <f t="shared" ref="W88" si="44">IF(OR(V88="Compliant",V88="FE with work-a-round",V88="Functionally Equivalent"),TRUE,FALSE)</f>
        <v>0</v>
      </c>
      <c r="X88" s="3534"/>
      <c r="Y88" s="1386"/>
      <c r="Z88" s="3525"/>
    </row>
    <row r="89" spans="1:27" s="28" customFormat="1" ht="91.5" thickBot="1" x14ac:dyDescent="0.35">
      <c r="A89" s="1386"/>
      <c r="B89" s="4366"/>
      <c r="C89" s="1386" t="s">
        <v>2123</v>
      </c>
      <c r="D89" s="3549" t="s">
        <v>3</v>
      </c>
      <c r="E89" s="1386" t="b">
        <f t="shared" si="39"/>
        <v>0</v>
      </c>
      <c r="F89" s="1386"/>
      <c r="G89" s="1386" t="str">
        <f t="shared" si="40"/>
        <v/>
      </c>
      <c r="H89" s="1386"/>
      <c r="I89" s="1386"/>
      <c r="J89" s="1386" t="str">
        <f t="shared" si="41"/>
        <v/>
      </c>
      <c r="K89" s="1386"/>
      <c r="L89" s="1386"/>
      <c r="M89" s="3537"/>
      <c r="N89" s="4966"/>
      <c r="O89" s="4967"/>
      <c r="P89" s="1386"/>
      <c r="Q89" s="2793" t="s">
        <v>3</v>
      </c>
      <c r="R89" s="1386" t="b">
        <f t="shared" si="43"/>
        <v>0</v>
      </c>
      <c r="S89" s="1386"/>
      <c r="T89" s="1386"/>
      <c r="U89" s="3525"/>
      <c r="V89" s="4967"/>
      <c r="W89" s="4967"/>
      <c r="X89" s="3545"/>
      <c r="Y89" s="1386"/>
      <c r="Z89" s="3537"/>
    </row>
    <row r="90" spans="1:27" s="28" customFormat="1" ht="40" thickTop="1" thickBot="1" x14ac:dyDescent="0.35">
      <c r="A90" s="1386" t="s">
        <v>2124</v>
      </c>
      <c r="B90" s="4365" t="s">
        <v>2127</v>
      </c>
      <c r="C90" s="3543" t="s">
        <v>2125</v>
      </c>
      <c r="D90" s="4370" t="s">
        <v>565</v>
      </c>
      <c r="E90" s="3993" t="b">
        <f>IF(AND(E91=TRUE,E92=TRUE,E93=TRUE,E94=TRUE,E95=TRUE,E96=TRUE,E97=TRUE,E98=TRUE),TRUE,FALSE)</f>
        <v>0</v>
      </c>
      <c r="F90" s="3993">
        <f>COUNTIF(E91:E98,TRUE)</f>
        <v>0</v>
      </c>
      <c r="G90" s="3993">
        <f>COUNTIFS(E91:E98,TRUE,G91:G98,"Not Blank")</f>
        <v>0</v>
      </c>
      <c r="H90" s="3993">
        <f>COUNTIFS(E91:E98,FALSE,G91:G98,"Not Blank")</f>
        <v>0</v>
      </c>
      <c r="I90" s="4371" t="str">
        <f xml:space="preserve">
IF(F90&gt;8,"Too Many Entries - Check Red Lines",
IF(AND(E90=FALSE,G90=0,H90=0,E90=TRUE),"Nothing Required Below",
IF(G90&lt;F90,"Valid Entry required below - Check Amber Line/s",
IF(AND(E90=FALSE,G90=0,H90=0),"Nothing Entered below Yet",
IF(G90&lt;F90,"Valid Entry required below - Check Amber Line/s",
IF(AND(G90=0,H90&gt;0),"**Non-Valid Entry/ies below - Check Yellow Line/s",
IF(AND(G90&gt;0,H90&gt;0),"**Valid and Non-Valid Entries made below - Check Yellow Line/s",
IF(AND(E90=FALSE,F90&lt;8),"Not all requirements addressed below - Check Pink Line/s",
IF(AND(E90=FALSE,G90&lt;8,G90&gt;0,H90=0),"More entries to come",
IF(AND(E90,TRUE,G90=8,H90=0),"Valid Entries made below"
))))))))))</f>
        <v>Nothing Entered below Yet</v>
      </c>
      <c r="J90" s="4372">
        <f>COUNTIFS(E91:E98,TRUE,J91:J98,"Not Blank")</f>
        <v>0</v>
      </c>
      <c r="K90" s="4372">
        <f>COUNTIFS(E91:E98,FALSE,J91:J98,"Not Blank")</f>
        <v>0</v>
      </c>
      <c r="L90" s="4372" t="str">
        <f xml:space="preserve">
IF(J90&gt;8,"Too Many Entries - Check Red Lines",
IF(AND(E90=FALSE,J90=0,K90=0,E90=TRUE),"Nothing Required Below",
IF(J90&lt;F90,"Valid Entry required below - Check Amber Line/s",
IF(AND(E90=FALSE,J90=0,K90=0),"Nothing Entered below Yet",
IF(AND(J90=0,K90&gt;0),"**Non-Valid Entry/ies below - Check Yellow Line/s",
IF(AND(J90&gt;0,K90&gt;0),"**Valid and Non-Valid Entries made below - Check Yellow Line/s",
IF(AND(E90=FALSE,J90&lt;8),"Not all requirements addressed below - Check Pink Line/s",
IF(AND(E90=FALSE,J90&lt;8,J90&gt;0,K90=0),"More entries to come",
IF(AND(E90,TRUE,J90=8,K90=0),"Valid Entries made below"
)))))))))</f>
        <v>Nothing Entered below Yet</v>
      </c>
      <c r="M90" s="3544"/>
      <c r="N90" s="4200" t="s">
        <v>565</v>
      </c>
      <c r="O90" s="704" t="b">
        <f>IF(AND(O91=TRUE,O93=TRUE,O94=TRUE,O95=TRUE,O96=TRUE,O97=TRUE,O98=TRUE),TRUE,FALSE)</f>
        <v>0</v>
      </c>
      <c r="P90" s="697"/>
      <c r="Q90" s="4171" t="s">
        <v>565</v>
      </c>
      <c r="R90" s="1386" t="b">
        <f>IF(AND(R91=TRUE,R92=TRUE,R93=TRUE,R94=TRUE,R95=TRUE,R96=TRUE,R97=TRUE,R98=TRUE),TRUE,FALSE)</f>
        <v>0</v>
      </c>
      <c r="S90" s="132"/>
      <c r="T90" s="133"/>
      <c r="U90" s="134"/>
      <c r="V90" s="4179" t="s">
        <v>565</v>
      </c>
      <c r="W90" s="704" t="b">
        <f>IF(AND(W91=TRUE,W93=TRUE,W94=TRUE,W95=TRUE,W96=TRUE,W97=TRUE,W98=TRUE),TRUE,FALSE)</f>
        <v>0</v>
      </c>
      <c r="X90" s="3536"/>
      <c r="Y90" s="2982"/>
      <c r="Z90" s="2983"/>
    </row>
    <row r="91" spans="1:27" s="28" customFormat="1" ht="39.5" thickTop="1" x14ac:dyDescent="0.3">
      <c r="A91" s="1386"/>
      <c r="B91" s="4366"/>
      <c r="C91" s="1386" t="s">
        <v>2126</v>
      </c>
      <c r="D91" s="3554" t="s">
        <v>3</v>
      </c>
      <c r="E91" s="1386" t="b">
        <f t="shared" ref="E91:E98" si="45">IF(D91="Compliant",TRUE,FALSE)</f>
        <v>0</v>
      </c>
      <c r="F91" s="1386"/>
      <c r="G91" s="1386" t="str">
        <f t="shared" ref="G91:G98" si="46">IF(I91&lt;&gt;"", "Not Blank", "")</f>
        <v/>
      </c>
      <c r="H91" s="1386"/>
      <c r="I91" s="1386"/>
      <c r="J91" s="1386" t="str">
        <f t="shared" ref="J91:J98" si="47">IF(L91&lt;&gt;"", "Not Blank", "")</f>
        <v/>
      </c>
      <c r="K91" s="1386"/>
      <c r="L91" s="1386"/>
      <c r="M91" s="1386"/>
      <c r="N91" s="4957" t="s">
        <v>3</v>
      </c>
      <c r="O91" s="4959" t="b">
        <f t="shared" ref="O91" si="48">IF(OR(N91="Compliant",N91="FE with work-a-round",N91="Functionally Equivalent"),TRUE,FALSE)</f>
        <v>0</v>
      </c>
      <c r="P91" s="1386"/>
      <c r="Q91" s="3550" t="s">
        <v>3</v>
      </c>
      <c r="R91" s="1386" t="b">
        <f t="shared" ref="R91:R98" si="49">IF(Q91="Compliant",TRUE,FALSE)</f>
        <v>0</v>
      </c>
      <c r="S91" s="1386"/>
      <c r="T91" s="1386"/>
      <c r="U91" s="3525"/>
      <c r="V91" s="4959" t="s">
        <v>3</v>
      </c>
      <c r="W91" s="4959" t="b">
        <f t="shared" ref="W91" si="50">IF(OR(V91="Compliant",V91="FE with work-a-round",V91="Functionally Equivalent"),TRUE,FALSE)</f>
        <v>0</v>
      </c>
      <c r="X91" s="3575"/>
      <c r="Y91" s="1386"/>
      <c r="Z91" s="3525"/>
    </row>
    <row r="92" spans="1:27" s="28" customFormat="1" ht="52.5" thickBot="1" x14ac:dyDescent="0.35">
      <c r="A92" s="1386"/>
      <c r="B92" s="4366"/>
      <c r="C92" s="1386" t="s">
        <v>2128</v>
      </c>
      <c r="D92" s="3555" t="s">
        <v>3</v>
      </c>
      <c r="E92" s="1386" t="b">
        <f t="shared" si="45"/>
        <v>0</v>
      </c>
      <c r="F92" s="1386"/>
      <c r="G92" s="1386" t="str">
        <f t="shared" si="46"/>
        <v/>
      </c>
      <c r="H92" s="1386"/>
      <c r="I92" s="1386"/>
      <c r="J92" s="1386" t="str">
        <f t="shared" si="47"/>
        <v/>
      </c>
      <c r="K92" s="1386"/>
      <c r="L92" s="1386"/>
      <c r="M92" s="1386"/>
      <c r="N92" s="4968"/>
      <c r="O92" s="4960"/>
      <c r="P92" s="1386"/>
      <c r="Q92" s="3555" t="s">
        <v>3</v>
      </c>
      <c r="R92" s="1386" t="b">
        <f t="shared" si="49"/>
        <v>0</v>
      </c>
      <c r="S92" s="1386"/>
      <c r="T92" s="1386"/>
      <c r="U92" s="3525"/>
      <c r="V92" s="4960"/>
      <c r="W92" s="4960"/>
      <c r="X92" s="3573"/>
      <c r="Y92" s="1386"/>
      <c r="Z92" s="3525"/>
    </row>
    <row r="93" spans="1:27" s="28" customFormat="1" ht="131" thickTop="1" thickBot="1" x14ac:dyDescent="0.35">
      <c r="A93" s="1386"/>
      <c r="B93" s="4366"/>
      <c r="C93" s="1386" t="s">
        <v>2129</v>
      </c>
      <c r="D93" s="3554" t="s">
        <v>3</v>
      </c>
      <c r="E93" s="1386" t="b">
        <f t="shared" si="45"/>
        <v>0</v>
      </c>
      <c r="F93" s="1386"/>
      <c r="G93" s="1386" t="str">
        <f t="shared" si="46"/>
        <v/>
      </c>
      <c r="H93" s="1386"/>
      <c r="I93" s="1386"/>
      <c r="J93" s="1386"/>
      <c r="K93" s="1386"/>
      <c r="L93" s="1386"/>
      <c r="M93" s="1386"/>
      <c r="N93" s="3541" t="s">
        <v>3</v>
      </c>
      <c r="O93" s="2791" t="b">
        <f t="shared" ref="O93:O98" si="51">IF(OR(N93="Compliant",N93="FE with work-a-round",N93="Functionally Equivalent"),TRUE,FALSE)</f>
        <v>0</v>
      </c>
      <c r="P93" s="1386"/>
      <c r="Q93" s="3555" t="s">
        <v>3</v>
      </c>
      <c r="R93" s="1386" t="b">
        <f t="shared" si="49"/>
        <v>0</v>
      </c>
      <c r="S93" s="1386"/>
      <c r="T93" s="1386"/>
      <c r="U93" s="3525"/>
      <c r="V93" s="3561" t="s">
        <v>3</v>
      </c>
      <c r="W93" s="2791" t="b">
        <f t="shared" ref="W93:W98" si="52">IF(OR(V93="Compliant",V93="FE with work-a-round",V93="Functionally Equivalent"),TRUE,FALSE)</f>
        <v>0</v>
      </c>
      <c r="X93" s="1386"/>
      <c r="Y93" s="1386"/>
      <c r="Z93" s="3525"/>
    </row>
    <row r="94" spans="1:27" s="28" customFormat="1" ht="131" thickTop="1" thickBot="1" x14ac:dyDescent="0.35">
      <c r="A94" s="1386"/>
      <c r="B94" s="4366"/>
      <c r="C94" s="1386" t="s">
        <v>2130</v>
      </c>
      <c r="D94" s="3554" t="s">
        <v>3</v>
      </c>
      <c r="E94" s="1386" t="b">
        <f t="shared" si="45"/>
        <v>0</v>
      </c>
      <c r="F94" s="1386"/>
      <c r="G94" s="1386" t="str">
        <f t="shared" si="46"/>
        <v/>
      </c>
      <c r="H94" s="1386"/>
      <c r="I94" s="1386"/>
      <c r="J94" s="1386"/>
      <c r="K94" s="1386"/>
      <c r="L94" s="1386"/>
      <c r="M94" s="1386"/>
      <c r="N94" s="3540" t="s">
        <v>3</v>
      </c>
      <c r="O94" s="2791" t="b">
        <f t="shared" si="51"/>
        <v>0</v>
      </c>
      <c r="P94" s="1386"/>
      <c r="Q94" s="3557" t="s">
        <v>3</v>
      </c>
      <c r="R94" s="1386" t="b">
        <f t="shared" si="49"/>
        <v>0</v>
      </c>
      <c r="S94" s="1386"/>
      <c r="T94" s="1386"/>
      <c r="U94" s="3525"/>
      <c r="V94" s="3541" t="s">
        <v>3</v>
      </c>
      <c r="W94" s="2791" t="b">
        <f t="shared" si="52"/>
        <v>0</v>
      </c>
      <c r="X94" s="1386"/>
      <c r="Y94" s="1386"/>
      <c r="Z94" s="3525"/>
    </row>
    <row r="95" spans="1:27" s="28" customFormat="1" ht="183" thickTop="1" thickBot="1" x14ac:dyDescent="0.35">
      <c r="A95" s="1386"/>
      <c r="B95" s="4366"/>
      <c r="C95" s="1386" t="s">
        <v>2131</v>
      </c>
      <c r="D95" s="3554" t="s">
        <v>3</v>
      </c>
      <c r="E95" s="1386" t="b">
        <f t="shared" si="45"/>
        <v>0</v>
      </c>
      <c r="F95" s="1386"/>
      <c r="G95" s="1386" t="str">
        <f t="shared" si="46"/>
        <v/>
      </c>
      <c r="H95" s="1386"/>
      <c r="I95" s="1386"/>
      <c r="J95" s="1386"/>
      <c r="K95" s="1386"/>
      <c r="L95" s="1386"/>
      <c r="M95" s="1386"/>
      <c r="N95" s="3541" t="s">
        <v>3</v>
      </c>
      <c r="O95" s="2791" t="b">
        <f t="shared" si="51"/>
        <v>0</v>
      </c>
      <c r="P95" s="1386"/>
      <c r="Q95" s="3550" t="s">
        <v>3</v>
      </c>
      <c r="R95" s="1386" t="b">
        <f t="shared" si="49"/>
        <v>0</v>
      </c>
      <c r="S95" s="1386"/>
      <c r="T95" s="1386"/>
      <c r="U95" s="3525"/>
      <c r="V95" s="3560" t="s">
        <v>3</v>
      </c>
      <c r="W95" s="2791" t="b">
        <f t="shared" si="52"/>
        <v>0</v>
      </c>
      <c r="X95" s="1386"/>
      <c r="Y95" s="1386"/>
      <c r="Z95" s="3525"/>
    </row>
    <row r="96" spans="1:27" s="28" customFormat="1" ht="79" thickTop="1" thickBot="1" x14ac:dyDescent="0.35">
      <c r="A96" s="1386"/>
      <c r="B96" s="4366"/>
      <c r="C96" s="1386" t="s">
        <v>2133</v>
      </c>
      <c r="D96" s="3555" t="s">
        <v>3</v>
      </c>
      <c r="E96" s="1386" t="b">
        <f t="shared" si="45"/>
        <v>0</v>
      </c>
      <c r="F96" s="1386"/>
      <c r="G96" s="1386" t="str">
        <f t="shared" si="46"/>
        <v/>
      </c>
      <c r="H96" s="1386"/>
      <c r="I96" s="1386"/>
      <c r="J96" s="1386"/>
      <c r="K96" s="1386"/>
      <c r="L96" s="1386"/>
      <c r="M96" s="1386"/>
      <c r="N96" s="3556" t="s">
        <v>3</v>
      </c>
      <c r="O96" s="2791" t="b">
        <f t="shared" si="51"/>
        <v>0</v>
      </c>
      <c r="P96" s="1386"/>
      <c r="Q96" s="3555" t="s">
        <v>3</v>
      </c>
      <c r="R96" s="1386" t="b">
        <f t="shared" si="49"/>
        <v>0</v>
      </c>
      <c r="S96" s="1386"/>
      <c r="T96" s="1386"/>
      <c r="U96" s="3525"/>
      <c r="V96" s="3561" t="s">
        <v>3</v>
      </c>
      <c r="W96" s="2791" t="b">
        <f t="shared" si="52"/>
        <v>0</v>
      </c>
      <c r="X96" s="1386"/>
      <c r="Y96" s="1386"/>
      <c r="Z96" s="3525"/>
    </row>
    <row r="97" spans="1:26" s="28" customFormat="1" ht="53" thickTop="1" thickBot="1" x14ac:dyDescent="0.35">
      <c r="A97" s="1386"/>
      <c r="B97" s="4366"/>
      <c r="C97" s="1386" t="s">
        <v>2134</v>
      </c>
      <c r="D97" s="3555" t="s">
        <v>3</v>
      </c>
      <c r="E97" s="1386" t="b">
        <f t="shared" si="45"/>
        <v>0</v>
      </c>
      <c r="F97" s="1386"/>
      <c r="G97" s="1386" t="str">
        <f t="shared" si="46"/>
        <v/>
      </c>
      <c r="H97" s="1386"/>
      <c r="I97" s="1386"/>
      <c r="J97" s="1386"/>
      <c r="K97" s="1386"/>
      <c r="L97" s="1386"/>
      <c r="M97" s="1386"/>
      <c r="N97" s="3541" t="s">
        <v>3</v>
      </c>
      <c r="O97" s="2791" t="b">
        <f t="shared" si="51"/>
        <v>0</v>
      </c>
      <c r="P97" s="1386"/>
      <c r="Q97" s="3571" t="s">
        <v>3</v>
      </c>
      <c r="R97" s="1386" t="b">
        <f t="shared" si="49"/>
        <v>0</v>
      </c>
      <c r="S97" s="3534"/>
      <c r="T97" s="1386"/>
      <c r="U97" s="3525"/>
      <c r="V97" s="3560" t="s">
        <v>3</v>
      </c>
      <c r="W97" s="2791" t="b">
        <f t="shared" si="52"/>
        <v>0</v>
      </c>
      <c r="X97" s="1386"/>
      <c r="Y97" s="1386"/>
      <c r="Z97" s="3525"/>
    </row>
    <row r="98" spans="1:26" s="28" customFormat="1" ht="170" thickTop="1" thickBot="1" x14ac:dyDescent="0.35">
      <c r="A98" s="1386"/>
      <c r="B98" s="4368"/>
      <c r="C98" s="3525" t="s">
        <v>2132</v>
      </c>
      <c r="D98" s="3549" t="s">
        <v>3</v>
      </c>
      <c r="E98" s="1386" t="b">
        <f t="shared" si="45"/>
        <v>0</v>
      </c>
      <c r="F98" s="1386"/>
      <c r="G98" s="1386" t="str">
        <f t="shared" si="46"/>
        <v/>
      </c>
      <c r="H98" s="1386"/>
      <c r="I98" s="3526"/>
      <c r="J98" s="1386" t="str">
        <f t="shared" si="47"/>
        <v/>
      </c>
      <c r="K98" s="1386"/>
      <c r="L98" s="1386"/>
      <c r="M98" s="1386"/>
      <c r="N98" s="3535" t="s">
        <v>3</v>
      </c>
      <c r="O98" s="2791" t="b">
        <f t="shared" si="51"/>
        <v>0</v>
      </c>
      <c r="P98" s="1386"/>
      <c r="Q98" s="3549" t="s">
        <v>3</v>
      </c>
      <c r="R98" s="1386" t="b">
        <f t="shared" si="49"/>
        <v>0</v>
      </c>
      <c r="S98" s="1386"/>
      <c r="T98" s="1386"/>
      <c r="U98" s="3525"/>
      <c r="V98" s="3562" t="s">
        <v>3</v>
      </c>
      <c r="W98" s="2791" t="b">
        <f t="shared" si="52"/>
        <v>0</v>
      </c>
      <c r="X98" s="1386"/>
      <c r="Y98" s="1386"/>
      <c r="Z98" s="3537"/>
    </row>
    <row r="99" spans="1:26" s="28" customFormat="1" ht="40" thickTop="1" thickBot="1" x14ac:dyDescent="0.35">
      <c r="A99" s="1386" t="s">
        <v>2135</v>
      </c>
      <c r="B99" s="4365" t="s">
        <v>2137</v>
      </c>
      <c r="C99" s="3572" t="s">
        <v>2136</v>
      </c>
      <c r="D99" s="4370" t="s">
        <v>565</v>
      </c>
      <c r="E99" s="3993" t="b">
        <f>IF(AND(E100=TRUE),TRUE,FALSE)</f>
        <v>0</v>
      </c>
      <c r="F99" s="3993">
        <f>COUNTIF(E100,TRUE)</f>
        <v>0</v>
      </c>
      <c r="G99" s="3993">
        <f>COUNTIFS(E100,TRUE,G100,"Not Blank")</f>
        <v>0</v>
      </c>
      <c r="H99" s="3993">
        <f>COUNTIFS(E100,FALSE,G100,"Not Blank")</f>
        <v>0</v>
      </c>
      <c r="I99" s="4356" t="str">
        <f xml:space="preserve">
IF(F99&gt;1,"Too Many Entries - Check Red Lines",
IF(AND(E99=FALSE,G99=0,H99=0,E99=TRUE),"Nothing Required Below",
IF(G99&lt;F99,"Valid Entry required below - Check Amber Line/s",
IF(AND(E99=FALSE,G99=0,H99=0),"Nothing Entered below Yet",
IF(G99&lt;F99,"Valid Entry required below - Check Amber Line/s",
IF(AND(G99=0,H99&gt;0),"**Non-Valid Entry/ies below - Check Yellow Line/s",
IF(AND(G99&gt;0,H99&gt;0),"**Valid and Non-Valid Entries made below - Check Yellow Line/s",
IF(AND(E99=FALSE,F99&lt;1),"Not all requirements addressed below - Check Pink Line/s",
IF(AND(E99=FALSE,G99&lt;1,G99&gt;0,H99=0),"More entries to come",
IF(AND(E99,TRUE,G99=1,H99=0),"Valid Entries made below"
))))))))))</f>
        <v>Nothing Entered below Yet</v>
      </c>
      <c r="J99" s="3993">
        <f>COUNTIFS(E100,TRUE,J100,"Not Blank")</f>
        <v>0</v>
      </c>
      <c r="K99" s="3993">
        <f>COUNTIFS(E100,FALSE,J100,"Not Blank")</f>
        <v>0</v>
      </c>
      <c r="L99" s="4360" t="str">
        <f xml:space="preserve">
IF(J99&gt;1,"Too Many Entries - Check Red Lines",
IF(AND(E99=FALSE,J99=0,K99=0,E99=TRUE),"Nothing Required Below",
IF(J99&lt;F99,"Valid Entry required below - Check Amber Line/s",
IF(AND(E99=FALSE,J99=0,K99=0),"Nothing Entered below Yet",
IF(AND(J99=0,K99&gt;0),"**Non-Valid Entry/ies below - Check Yellow Line/s",
IF(AND(J99&gt;0,K99&gt;0),"**Valid and Non-Valid Entries made below - Check Yellow Line/s",
IF(AND(E99=FALSE,J99&lt;1),"Not all requirements addressed below - Check Pink Line/s",
IF(AND(E99=FALSE,J99&lt;1,J99&gt;0,K99=0),"More entries to come",
IF(AND(E99,TRUE,J99=1,K99=0),"Valid Entries made below"
)))))))))</f>
        <v>Nothing Entered below Yet</v>
      </c>
      <c r="M99" s="3544"/>
      <c r="N99" s="4200" t="s">
        <v>565</v>
      </c>
      <c r="O99" s="704" t="b">
        <f>IF(AND(O100=TRUE),TRUE,FALSE)</f>
        <v>0</v>
      </c>
      <c r="P99" s="3502"/>
      <c r="Q99" s="4138" t="s">
        <v>565</v>
      </c>
      <c r="R99" s="1386" t="b">
        <f>IF(AND(R100=TRUE),TRUE,FALSE)</f>
        <v>0</v>
      </c>
      <c r="S99" s="132"/>
      <c r="T99" s="133"/>
      <c r="U99" s="134"/>
      <c r="V99" s="4179" t="s">
        <v>565</v>
      </c>
      <c r="W99" s="704" t="b">
        <f>IF(AND(W100=TRUE),TRUE,FALSE)</f>
        <v>0</v>
      </c>
      <c r="X99" s="3536"/>
      <c r="Y99" s="2982"/>
      <c r="Z99" s="2983"/>
    </row>
    <row r="100" spans="1:26" s="28" customFormat="1" ht="131" thickTop="1" thickBot="1" x14ac:dyDescent="0.35">
      <c r="A100" s="1386"/>
      <c r="B100" s="4366"/>
      <c r="C100" s="1386" t="s">
        <v>2138</v>
      </c>
      <c r="D100" s="2793" t="s">
        <v>3</v>
      </c>
      <c r="E100" s="1386" t="b">
        <f t="shared" ref="E100" si="53">IF(D100="Compliant",TRUE,FALSE)</f>
        <v>0</v>
      </c>
      <c r="F100" s="1386"/>
      <c r="G100" s="1386" t="str">
        <f t="shared" ref="G100" si="54">IF(I100&lt;&gt;"", "Not Blank", "")</f>
        <v/>
      </c>
      <c r="H100" s="1386"/>
      <c r="I100" s="2767"/>
      <c r="J100" s="1386"/>
      <c r="K100" s="1386"/>
      <c r="L100" s="2767"/>
      <c r="M100" s="1386"/>
      <c r="N100" s="4957" t="s">
        <v>3</v>
      </c>
      <c r="O100" s="4959" t="b">
        <f t="shared" ref="O100" si="55">IF(OR(N100="Compliant",N100="FE with work-a-round",N100="Functionally Equivalent"),TRUE,FALSE)</f>
        <v>0</v>
      </c>
      <c r="P100" s="3570"/>
      <c r="Q100" s="3558" t="s">
        <v>3</v>
      </c>
      <c r="R100" s="1386" t="b">
        <f t="shared" ref="R100" si="56">IF(Q100="Compliant",TRUE,FALSE)</f>
        <v>0</v>
      </c>
      <c r="S100" s="1386"/>
      <c r="T100" s="1386"/>
      <c r="U100" s="3525"/>
      <c r="V100" s="4957"/>
      <c r="W100" s="4959" t="b">
        <f t="shared" ref="W100" si="57">IF(OR(V100="Compliant",V100="FE with work-a-round",V100="Functionally Equivalent"),TRUE,FALSE)</f>
        <v>0</v>
      </c>
      <c r="X100" s="1386"/>
      <c r="Y100" s="1386"/>
      <c r="Z100" s="3525"/>
    </row>
    <row r="101" spans="1:26" s="28" customFormat="1" ht="142.25" customHeight="1" thickTop="1" thickBot="1" x14ac:dyDescent="0.35">
      <c r="A101" s="1386"/>
      <c r="B101" s="4366" t="s">
        <v>2139</v>
      </c>
      <c r="C101" s="1386" t="s">
        <v>2319</v>
      </c>
      <c r="D101" s="2793"/>
      <c r="E101" s="1386"/>
      <c r="F101" s="1386"/>
      <c r="G101" s="1386"/>
      <c r="H101" s="1386"/>
      <c r="I101" s="1386"/>
      <c r="J101" s="1386"/>
      <c r="K101" s="1386"/>
      <c r="L101" s="1386"/>
      <c r="M101" s="1386"/>
      <c r="N101" s="4958"/>
      <c r="O101" s="4967"/>
      <c r="P101" s="3567"/>
      <c r="Q101" s="2793"/>
      <c r="R101" s="1386"/>
      <c r="S101" s="1386"/>
      <c r="T101" s="1386"/>
      <c r="U101" s="3525"/>
      <c r="V101" s="4958"/>
      <c r="W101" s="4967"/>
      <c r="X101" s="1386"/>
      <c r="Y101" s="1386"/>
      <c r="Z101" s="3537"/>
    </row>
    <row r="102" spans="1:26" s="28" customFormat="1" ht="16.5" thickTop="1" thickBot="1" x14ac:dyDescent="0.35">
      <c r="A102" s="1386" t="s">
        <v>2320</v>
      </c>
      <c r="B102" s="4365" t="s">
        <v>2349</v>
      </c>
      <c r="C102" s="3568" t="s">
        <v>2350</v>
      </c>
      <c r="D102" s="4370" t="s">
        <v>565</v>
      </c>
      <c r="E102" s="3993" t="b">
        <f>IF(AND(E103=TRUE,E104=TRUE,E105=TRUE,E106=TRUE,E107=TRUE,E108=TRUE,E109=TRUE,E110=TRUE),TRUE,FALSE)</f>
        <v>0</v>
      </c>
      <c r="F102" s="3993">
        <f>COUNTIF(E103:E110,TRUE)</f>
        <v>0</v>
      </c>
      <c r="G102" s="3993">
        <f>COUNTIFS(E103:E110,TRUE,G103:G110,"Not Blank")</f>
        <v>0</v>
      </c>
      <c r="H102" s="3993">
        <f>COUNTIFS(E103:E110,FALSE,G103:G110,"Not Blank")</f>
        <v>0</v>
      </c>
      <c r="I102" s="4371" t="str">
        <f xml:space="preserve">
IF(F102&gt;8,"Too Many Entries - Check Red Lines",
IF(AND(E102=FALSE,G102=0,H102=0,E102=TRUE),"Nothing Required Below",
IF(G102&lt;F102,"Valid Entry required below - Check Amber Line/s",
IF(AND(E102=FALSE,G102=0,H102=0),"Nothing Entered below Yet",
IF(G102&lt;F102,"Valid Entry required below - Check Amber Line/s",
IF(AND(G102=0,H102&gt;0),"**Non-Valid Entry/ies below - Check Yellow Line/s",
IF(AND(G102&gt;0,H102&gt;0),"**Valid and Non-Valid Entries made below - Check Yellow Line/s",
IF(AND(E102=FALSE,F102&lt;8),"Not all requirements addressed below - Check Pink Line/s",
IF(AND(E102=FALSE,G102&lt;8,G102&gt;0,H102=0),"More entries to come",
IF(AND(E102,TRUE,G102=8,H102=0),"Valid Entries made below"
))))))))))</f>
        <v>Nothing Entered below Yet</v>
      </c>
      <c r="J102" s="4372">
        <f>COUNTIFS(E103:E110,TRUE,J103:J110,"Not Blank")</f>
        <v>0</v>
      </c>
      <c r="K102" s="4372">
        <f>COUNTIFS(E103:E110,FALSE,J103:J110,"Not Blank")</f>
        <v>0</v>
      </c>
      <c r="L102" s="4372" t="str">
        <f xml:space="preserve">
IF(J102&gt;8,"Too Many Entries - Check Red Lines",
IF(AND(E102=FALSE,J102=0,K102=0,E102=TRUE),"Nothing Required Below",
IF(J102&lt;F102,"Valid Entry required below - Check Amber Line/s",
IF(AND(E102=FALSE,J102=0,K102=0),"Nothing Entered below Yet",
IF(AND(J102=0,K102&gt;0),"**Non-Valid Entry/ies below - Check Yellow Line/s",
IF(AND(J102&gt;0,K102&gt;0),"**Valid and Non-Valid Entries made below - Check Yellow Line/s",
IF(AND(E102=FALSE,J102&lt;8),"Not all requirements addressed below - Check Pink Line/s",
IF(AND(E102=FALSE,J102&lt;8,J102&gt;0,K102=0),"More entries to come",
IF(AND(E102,TRUE,J102=8,K102=0),"Valid Entries made below"
)))))))))</f>
        <v>Nothing Entered below Yet</v>
      </c>
      <c r="M102" s="4373"/>
      <c r="N102" s="4200" t="s">
        <v>565</v>
      </c>
      <c r="O102" s="704" t="b">
        <f>IF(AND(O103=TRUE,O105=TRUE,O106=TRUE, O110=TRUE),TRUE,FALSE)</f>
        <v>0</v>
      </c>
      <c r="P102" s="697"/>
      <c r="Q102" s="4200" t="s">
        <v>565</v>
      </c>
      <c r="R102" s="1386" t="b">
        <f>IF(AND(R103=TRUE,R104=TRUE,R105=TRUE,R106=TRUE,R107=TRUE,R108=TRUE,R109=TRUE,R110=TRUE),TRUE,FALSE)</f>
        <v>0</v>
      </c>
      <c r="S102" s="111"/>
      <c r="T102" s="111"/>
      <c r="U102" s="120"/>
      <c r="V102" s="4179" t="s">
        <v>565</v>
      </c>
      <c r="W102" s="704" t="b">
        <f>IF(AND(W103=TRUE,W105=TRUE,W106=TRUE, W110=TRUE),TRUE,FALSE)</f>
        <v>0</v>
      </c>
      <c r="X102" s="3559"/>
      <c r="Y102" s="2785"/>
      <c r="Z102" s="2786"/>
    </row>
    <row r="103" spans="1:26" s="28" customFormat="1" ht="117.5" thickTop="1" x14ac:dyDescent="0.3">
      <c r="A103" s="1386" t="s">
        <v>2140</v>
      </c>
      <c r="B103" s="4366" t="s">
        <v>2331</v>
      </c>
      <c r="C103" s="3569" t="s">
        <v>2340</v>
      </c>
      <c r="D103" s="3552" t="s">
        <v>3</v>
      </c>
      <c r="E103" s="1386" t="b">
        <f t="shared" ref="E103:E110" si="58">IF(D103="Compliant",TRUE,FALSE)</f>
        <v>0</v>
      </c>
      <c r="F103" s="1386"/>
      <c r="G103" s="1386" t="str">
        <f t="shared" ref="G103:G110" si="59">IF(I103&lt;&gt;"", "Not Blank", "")</f>
        <v/>
      </c>
      <c r="H103" s="1386"/>
      <c r="I103" s="1386"/>
      <c r="J103" s="1386"/>
      <c r="K103" s="1386"/>
      <c r="L103" s="1386"/>
      <c r="M103" s="3525"/>
      <c r="N103" s="4957" t="s">
        <v>3</v>
      </c>
      <c r="O103" s="4959" t="b">
        <f>IF(OR(N103="Compliant",N103="FE with work-a-round",N103="Functionally Equivalent"),TRUE,FALSE)</f>
        <v>0</v>
      </c>
      <c r="P103" s="1386"/>
      <c r="Q103" s="3554" t="s">
        <v>3</v>
      </c>
      <c r="R103" s="1386" t="b">
        <f t="shared" ref="R103:R110" si="60">IF(Q103="Compliant",TRUE,FALSE)</f>
        <v>0</v>
      </c>
      <c r="S103" s="1386"/>
      <c r="T103" s="1386"/>
      <c r="U103" s="3525"/>
      <c r="V103" s="4959" t="s">
        <v>3</v>
      </c>
      <c r="W103" s="4959" t="b">
        <f>IF(OR(V103="Compliant",V103="FE with work-a-round",V103="Functionally Equivalent"),TRUE,FALSE)</f>
        <v>0</v>
      </c>
      <c r="X103" s="3534"/>
      <c r="Y103" s="1386"/>
      <c r="Z103" s="3525"/>
    </row>
    <row r="104" spans="1:26" s="28" customFormat="1" ht="91.5" thickBot="1" x14ac:dyDescent="0.35">
      <c r="A104" s="1386" t="s">
        <v>2141</v>
      </c>
      <c r="B104" s="4366" t="s">
        <v>2332</v>
      </c>
      <c r="C104" s="1386" t="s">
        <v>2341</v>
      </c>
      <c r="D104" s="3550" t="s">
        <v>3</v>
      </c>
      <c r="E104" s="1386" t="b">
        <f t="shared" si="58"/>
        <v>0</v>
      </c>
      <c r="F104" s="1386"/>
      <c r="G104" s="1386" t="str">
        <f t="shared" si="59"/>
        <v/>
      </c>
      <c r="H104" s="1386"/>
      <c r="I104" s="1386"/>
      <c r="J104" s="1386"/>
      <c r="K104" s="1386"/>
      <c r="L104" s="1386"/>
      <c r="M104" s="3525"/>
      <c r="N104" s="4963"/>
      <c r="O104" s="4960"/>
      <c r="P104" s="3525"/>
      <c r="Q104" s="3555" t="s">
        <v>3</v>
      </c>
      <c r="R104" s="1386" t="b">
        <f t="shared" si="60"/>
        <v>0</v>
      </c>
      <c r="S104" s="1386"/>
      <c r="T104" s="1386"/>
      <c r="U104" s="3525"/>
      <c r="V104" s="4960"/>
      <c r="W104" s="4967"/>
      <c r="X104" s="3534"/>
      <c r="Y104" s="1386"/>
      <c r="Z104" s="3525"/>
    </row>
    <row r="105" spans="1:26" s="28" customFormat="1" ht="326" thickTop="1" thickBot="1" x14ac:dyDescent="0.35">
      <c r="A105" s="1386" t="s">
        <v>2142</v>
      </c>
      <c r="B105" s="4366" t="s">
        <v>2333</v>
      </c>
      <c r="C105" s="1386" t="s">
        <v>2342</v>
      </c>
      <c r="D105" s="3555" t="s">
        <v>3</v>
      </c>
      <c r="E105" s="1386" t="b">
        <f t="shared" si="58"/>
        <v>0</v>
      </c>
      <c r="F105" s="1386"/>
      <c r="G105" s="1386" t="str">
        <f t="shared" si="59"/>
        <v/>
      </c>
      <c r="H105" s="1386"/>
      <c r="I105" s="1386"/>
      <c r="J105" s="1386"/>
      <c r="K105" s="1386"/>
      <c r="L105" s="1386"/>
      <c r="M105" s="1386"/>
      <c r="N105" s="3541" t="s">
        <v>3</v>
      </c>
      <c r="O105" s="3544" t="b">
        <f t="shared" ref="O105:O106" si="61">IF(OR(N105="Compliant",N105="FE with work-a-round",N105="Functionally Equivalent"),TRUE,FALSE)</f>
        <v>0</v>
      </c>
      <c r="P105" s="1386"/>
      <c r="Q105" s="3555" t="s">
        <v>3</v>
      </c>
      <c r="R105" s="1386" t="b">
        <f t="shared" si="60"/>
        <v>0</v>
      </c>
      <c r="S105" s="1386"/>
      <c r="T105" s="1386"/>
      <c r="U105" s="3525"/>
      <c r="V105" s="3551" t="s">
        <v>3</v>
      </c>
      <c r="W105" s="2791" t="b">
        <f t="shared" ref="W105:W106" si="62">IF(OR(V105="Compliant",V105="FE with work-a-round",V105="Functionally Equivalent"),TRUE,FALSE)</f>
        <v>0</v>
      </c>
      <c r="X105" s="1386"/>
      <c r="Y105" s="1386"/>
      <c r="Z105" s="3525"/>
    </row>
    <row r="106" spans="1:26" s="28" customFormat="1" ht="91.5" thickTop="1" x14ac:dyDescent="0.3">
      <c r="A106" s="1386" t="s">
        <v>2143</v>
      </c>
      <c r="B106" s="4366" t="s">
        <v>2343</v>
      </c>
      <c r="C106" s="1386" t="s">
        <v>2144</v>
      </c>
      <c r="D106" s="3550" t="s">
        <v>3</v>
      </c>
      <c r="E106" s="1386" t="b">
        <f t="shared" si="58"/>
        <v>0</v>
      </c>
      <c r="F106" s="1386"/>
      <c r="G106" s="1386" t="str">
        <f t="shared" si="59"/>
        <v/>
      </c>
      <c r="H106" s="1386"/>
      <c r="I106" s="1386"/>
      <c r="J106" s="1386"/>
      <c r="K106" s="1386"/>
      <c r="L106" s="1386"/>
      <c r="M106" s="3525"/>
      <c r="N106" s="4963" t="s">
        <v>3</v>
      </c>
      <c r="O106" s="4964" t="b">
        <f t="shared" si="61"/>
        <v>0</v>
      </c>
      <c r="P106" s="1386"/>
      <c r="Q106" s="3555" t="s">
        <v>3</v>
      </c>
      <c r="R106" s="1386" t="b">
        <f t="shared" si="60"/>
        <v>0</v>
      </c>
      <c r="S106" s="1386"/>
      <c r="T106" s="1386"/>
      <c r="U106" s="3525"/>
      <c r="V106" s="4969" t="s">
        <v>13</v>
      </c>
      <c r="W106" s="4959" t="b">
        <f t="shared" si="62"/>
        <v>1</v>
      </c>
      <c r="X106" s="3534"/>
      <c r="Y106" s="1386"/>
      <c r="Z106" s="3525"/>
    </row>
    <row r="107" spans="1:26" s="28" customFormat="1" ht="104" x14ac:dyDescent="0.3">
      <c r="A107" s="1386" t="s">
        <v>2145</v>
      </c>
      <c r="B107" s="4366" t="s">
        <v>2334</v>
      </c>
      <c r="C107" s="1386" t="s">
        <v>2146</v>
      </c>
      <c r="D107" s="3554" t="s">
        <v>3</v>
      </c>
      <c r="E107" s="1386" t="b">
        <f t="shared" si="58"/>
        <v>0</v>
      </c>
      <c r="F107" s="1386"/>
      <c r="G107" s="1386" t="str">
        <f t="shared" si="59"/>
        <v/>
      </c>
      <c r="H107" s="1386"/>
      <c r="I107" s="1386"/>
      <c r="J107" s="1386"/>
      <c r="K107" s="1386"/>
      <c r="L107" s="1386"/>
      <c r="M107" s="3525"/>
      <c r="N107" s="4963"/>
      <c r="O107" s="4965"/>
      <c r="P107" s="1386"/>
      <c r="Q107" s="3550" t="s">
        <v>3</v>
      </c>
      <c r="R107" s="1386" t="b">
        <f t="shared" si="60"/>
        <v>0</v>
      </c>
      <c r="S107" s="1386"/>
      <c r="T107" s="1386"/>
      <c r="U107" s="3525"/>
      <c r="V107" s="4970"/>
      <c r="W107" s="4960"/>
      <c r="X107" s="3534"/>
      <c r="Y107" s="1386"/>
      <c r="Z107" s="3525"/>
    </row>
    <row r="108" spans="1:26" s="28" customFormat="1" ht="143" x14ac:dyDescent="0.3">
      <c r="A108" s="1386" t="s">
        <v>2147</v>
      </c>
      <c r="B108" s="4366" t="s">
        <v>2335</v>
      </c>
      <c r="C108" s="1386" t="s">
        <v>2344</v>
      </c>
      <c r="D108" s="3554" t="s">
        <v>3</v>
      </c>
      <c r="E108" s="1386" t="b">
        <f t="shared" si="58"/>
        <v>0</v>
      </c>
      <c r="F108" s="1386"/>
      <c r="G108" s="1386" t="str">
        <f t="shared" si="59"/>
        <v/>
      </c>
      <c r="H108" s="1386"/>
      <c r="I108" s="1386"/>
      <c r="J108" s="1386"/>
      <c r="K108" s="1386"/>
      <c r="L108" s="1386"/>
      <c r="M108" s="3525"/>
      <c r="N108" s="4963"/>
      <c r="O108" s="4965"/>
      <c r="P108" s="1386"/>
      <c r="Q108" s="3554" t="s">
        <v>3</v>
      </c>
      <c r="R108" s="1386" t="b">
        <f t="shared" si="60"/>
        <v>0</v>
      </c>
      <c r="S108" s="1386"/>
      <c r="T108" s="1386"/>
      <c r="U108" s="3525"/>
      <c r="V108" s="4970"/>
      <c r="W108" s="4960"/>
      <c r="X108" s="3534"/>
      <c r="Y108" s="1386"/>
      <c r="Z108" s="3525"/>
    </row>
    <row r="109" spans="1:26" s="28" customFormat="1" ht="91.5" thickBot="1" x14ac:dyDescent="0.35">
      <c r="A109" s="1386" t="s">
        <v>2148</v>
      </c>
      <c r="B109" s="4366" t="s">
        <v>2336</v>
      </c>
      <c r="C109" s="1386" t="s">
        <v>2345</v>
      </c>
      <c r="D109" s="3554" t="s">
        <v>3</v>
      </c>
      <c r="E109" s="1386" t="b">
        <f t="shared" si="58"/>
        <v>0</v>
      </c>
      <c r="F109" s="1386"/>
      <c r="G109" s="1386" t="str">
        <f t="shared" si="59"/>
        <v/>
      </c>
      <c r="H109" s="1386"/>
      <c r="I109" s="1386"/>
      <c r="J109" s="1386"/>
      <c r="K109" s="1386"/>
      <c r="L109" s="1386"/>
      <c r="M109" s="3525"/>
      <c r="N109" s="4963"/>
      <c r="O109" s="4966"/>
      <c r="P109" s="1386"/>
      <c r="Q109" s="3555" t="s">
        <v>3</v>
      </c>
      <c r="R109" s="1386" t="b">
        <f t="shared" si="60"/>
        <v>0</v>
      </c>
      <c r="S109" s="1386"/>
      <c r="T109" s="1386"/>
      <c r="U109" s="3525"/>
      <c r="V109" s="4971"/>
      <c r="W109" s="4967"/>
      <c r="X109" s="3534"/>
      <c r="Y109" s="1386"/>
      <c r="Z109" s="3525"/>
    </row>
    <row r="110" spans="1:26" s="28" customFormat="1" ht="209" thickTop="1" thickBot="1" x14ac:dyDescent="0.35">
      <c r="A110" s="1386" t="s">
        <v>2149</v>
      </c>
      <c r="B110" s="4366" t="s">
        <v>2346</v>
      </c>
      <c r="C110" s="3537" t="s">
        <v>2347</v>
      </c>
      <c r="D110" s="2793" t="s">
        <v>3</v>
      </c>
      <c r="E110" s="1386" t="b">
        <f t="shared" si="58"/>
        <v>0</v>
      </c>
      <c r="F110" s="1386"/>
      <c r="G110" s="1386" t="str">
        <f t="shared" si="59"/>
        <v/>
      </c>
      <c r="H110" s="1386"/>
      <c r="I110" s="3526"/>
      <c r="J110" s="1386"/>
      <c r="K110" s="1386"/>
      <c r="L110" s="3526"/>
      <c r="M110" s="3537"/>
      <c r="N110" s="3539" t="s">
        <v>3</v>
      </c>
      <c r="O110" s="3526" t="b">
        <f t="shared" ref="O110" si="63">IF(OR(N110="Compliant",N110="FE with work-a-round",N110="Functionally Equivalent"),TRUE,FALSE)</f>
        <v>0</v>
      </c>
      <c r="P110" s="1386"/>
      <c r="Q110" s="2793" t="s">
        <v>3</v>
      </c>
      <c r="R110" s="1386" t="b">
        <f t="shared" si="60"/>
        <v>0</v>
      </c>
      <c r="S110" s="1386"/>
      <c r="T110" s="1386"/>
      <c r="U110" s="3525"/>
      <c r="V110" s="3566" t="s">
        <v>3</v>
      </c>
      <c r="W110" s="2791" t="b">
        <f t="shared" ref="W110" si="64">IF(OR(V110="Compliant",V110="FE with work-a-round",V110="Functionally Equivalent"),TRUE,FALSE)</f>
        <v>0</v>
      </c>
      <c r="X110" s="3545"/>
      <c r="Y110" s="1386"/>
      <c r="Z110" s="3537"/>
    </row>
    <row r="111" spans="1:26" s="28" customFormat="1" ht="16.5" thickTop="1" thickBot="1" x14ac:dyDescent="0.35">
      <c r="A111" s="1386"/>
      <c r="B111" s="4365" t="s">
        <v>2321</v>
      </c>
      <c r="C111" s="1548" t="s">
        <v>2321</v>
      </c>
      <c r="D111" s="4370" t="s">
        <v>565</v>
      </c>
      <c r="E111" s="3993" t="b">
        <f>IF(AND(E112=TRUE,E113=TRUE),TRUE,FALSE)</f>
        <v>0</v>
      </c>
      <c r="F111" s="3993">
        <f>COUNTIF(E112:E113,TRUE)</f>
        <v>0</v>
      </c>
      <c r="G111" s="3993">
        <f>COUNTIFS(E112:E113,TRUE,G112:G113,"Not Blank")</f>
        <v>0</v>
      </c>
      <c r="H111" s="3993">
        <f>COUNTIFS(E112:E113,FALSE,G112:G113,"Not Blank")</f>
        <v>0</v>
      </c>
      <c r="I111" s="3993" t="str">
        <f xml:space="preserve">
IF(F111&gt;2,"Too Many Entries - Check Red Lines",
IF(AND(E111=FALSE,G111=0,H111=0,E111=TRUE),"Nothing Required Below",
IF(G111&lt;F111,"Valid Entry required below - Check Amber Line/s",
IF(AND(E111=FALSE,G111=0,H111=0),"Nothing Entered below Yet",
IF(G111&lt;F111,"Valid Entry required below - Check Amber Line/s",
IF(AND(G111=0,H111&gt;0),"**Non-Valid Entry/ies below - Check Yellow Line/s",
IF(AND(G111&gt;0,H111&gt;0),"**Valid and Non-Valid Entries made below - Check Yellow Line/s",
IF(AND(E111=FALSE,F111&lt;2),"Not all requirements addressed below - Check Pink Line/s",
IF(AND(E111=FALSE,G111&lt;2,G111&gt;0,H111=0),"More entries to come",
IF(AND(E111,TRUE,G111=2,H111=0),"Valid Entries made below"
))))))))))</f>
        <v>Nothing Entered below Yet</v>
      </c>
      <c r="J111" s="3993">
        <f>COUNTIFS(E112:E113,TRUE,J112:J113,"Not Blank")</f>
        <v>0</v>
      </c>
      <c r="K111" s="3993">
        <f>COUNTIFS(E112:E113,FALSE,J112:J113,"Not Blank")</f>
        <v>0</v>
      </c>
      <c r="L111" s="3993" t="str">
        <f xml:space="preserve">
IF(J111&gt;2,"Too Many Entries - Check Red Lines",
IF(AND(E111=FALSE,J111=0,K111=0,E111=TRUE),"Nothing Required Below",
IF(J111&lt;F111,"Valid Entry required below - Check Amber Line/s",
IF(AND(E111=FALSE,J111=0,K111=0),"Nothing Entered below Yet",
IF(AND(J111=0,K111&gt;0),"**Non-Valid Entry/ies below - Check Yellow Line/s",
IF(AND(J111&gt;0,K111&gt;0),"**Valid and Non-Valid Entries made below - Check Yellow Line/s",
IF(AND(E111=FALSE,J111&lt;2),"Not all requirements addressed below - Check Pink Line/s",
IF(AND(E111=FALSE,J111&lt;2,J111&gt;0,K111=0),"More entries to come",
IF(AND(E111,TRUE,J111=2,K111=0),"Valid Entries made below"
)))))))))</f>
        <v>Nothing Entered below Yet</v>
      </c>
      <c r="M111" s="1386"/>
      <c r="N111" s="4200" t="s">
        <v>565</v>
      </c>
      <c r="O111" s="704" t="b">
        <f>IF(O112,TRUE)</f>
        <v>0</v>
      </c>
      <c r="P111" s="697"/>
      <c r="Q111" s="4200" t="s">
        <v>565</v>
      </c>
      <c r="R111" s="1386" t="b">
        <f>IF(AND(R112=TRUE,R113=TRUE),TRUE,FALSE)</f>
        <v>0</v>
      </c>
      <c r="S111" s="111"/>
      <c r="T111" s="111"/>
      <c r="U111" s="211"/>
      <c r="V111" s="4200" t="s">
        <v>565</v>
      </c>
      <c r="W111" s="704" t="b">
        <f>IF(W112,TRUE)</f>
        <v>0</v>
      </c>
      <c r="X111" s="3559"/>
      <c r="Y111" s="2785"/>
      <c r="Z111" s="2786"/>
    </row>
    <row r="112" spans="1:26" s="28" customFormat="1" ht="27" thickTop="1" thickBot="1" x14ac:dyDescent="0.35">
      <c r="A112" s="1386"/>
      <c r="B112" s="4366"/>
      <c r="C112" s="1386" t="s">
        <v>2322</v>
      </c>
      <c r="D112" s="3554" t="s">
        <v>3</v>
      </c>
      <c r="E112" s="1386" t="b">
        <f t="shared" ref="E112:E113" si="65">IF(D112="Compliant",TRUE,FALSE)</f>
        <v>0</v>
      </c>
      <c r="F112" s="1386"/>
      <c r="G112" s="1386" t="str">
        <f t="shared" ref="G112:G113" si="66">IF(I112&lt;&gt;"", "Not Blank", "")</f>
        <v/>
      </c>
      <c r="H112" s="1386"/>
      <c r="I112" s="1386"/>
      <c r="J112" s="1386"/>
      <c r="K112" s="1386"/>
      <c r="L112" s="1386"/>
      <c r="M112" s="1386"/>
      <c r="N112" s="4957" t="s">
        <v>3</v>
      </c>
      <c r="O112" s="4961" t="b">
        <f t="shared" ref="O112" si="67">IF(OR(N112="Compliant",N112="FE with work-a-round",N112="Functionally Equivalent"),TRUE,FALSE)</f>
        <v>0</v>
      </c>
      <c r="P112" s="1386"/>
      <c r="Q112" s="3554" t="s">
        <v>3</v>
      </c>
      <c r="R112" s="1386" t="b">
        <f t="shared" ref="R112:R113" si="68">IF(Q112="Compliant",TRUE,FALSE)</f>
        <v>0</v>
      </c>
      <c r="S112" s="1386"/>
      <c r="T112" s="1386"/>
      <c r="U112" s="1386"/>
      <c r="V112" s="4957" t="s">
        <v>3</v>
      </c>
      <c r="W112" s="4961" t="b">
        <f t="shared" ref="W112" si="69">IF(OR(V112="Compliant",V112="FE with work-a-round",V112="Functionally Equivalent"),TRUE,FALSE)</f>
        <v>0</v>
      </c>
      <c r="X112" s="3534"/>
      <c r="Y112" s="3533"/>
      <c r="Z112" s="3525"/>
    </row>
    <row r="113" spans="1:26" s="28" customFormat="1" ht="27" thickTop="1" thickBot="1" x14ac:dyDescent="0.35">
      <c r="A113" s="1386"/>
      <c r="B113" s="4092"/>
      <c r="C113" s="3526" t="s">
        <v>2348</v>
      </c>
      <c r="D113" s="2793" t="s">
        <v>3</v>
      </c>
      <c r="E113" s="3526" t="b">
        <f t="shared" si="65"/>
        <v>0</v>
      </c>
      <c r="F113" s="3526"/>
      <c r="G113" s="3526" t="str">
        <f t="shared" si="66"/>
        <v/>
      </c>
      <c r="H113" s="3526"/>
      <c r="I113" s="3526"/>
      <c r="J113" s="1386"/>
      <c r="K113" s="1386"/>
      <c r="L113" s="3526"/>
      <c r="M113" s="3537"/>
      <c r="N113" s="4958"/>
      <c r="O113" s="4962"/>
      <c r="P113" s="3526"/>
      <c r="Q113" s="3549" t="s">
        <v>3</v>
      </c>
      <c r="R113" s="2767" t="b">
        <f t="shared" si="68"/>
        <v>0</v>
      </c>
      <c r="S113" s="3526"/>
      <c r="T113" s="3526"/>
      <c r="U113" s="3537"/>
      <c r="V113" s="4958"/>
      <c r="W113" s="4962"/>
      <c r="X113" s="3534"/>
      <c r="Y113" s="3533"/>
      <c r="Z113" s="3525"/>
    </row>
    <row r="114" spans="1:26" s="3993" customFormat="1" ht="16" thickTop="1" x14ac:dyDescent="0.3">
      <c r="N114" s="4323"/>
      <c r="P114" s="4360"/>
      <c r="Q114" s="4356"/>
      <c r="R114" s="4356"/>
      <c r="S114" s="4360"/>
      <c r="V114" s="4326"/>
      <c r="W114" s="3652"/>
      <c r="X114" s="4360"/>
      <c r="Y114" s="4360"/>
      <c r="Z114" s="4360"/>
    </row>
    <row r="115" spans="1:26" s="3993" customFormat="1" ht="27.65" customHeight="1" x14ac:dyDescent="0.3">
      <c r="B115" s="4922" t="s">
        <v>2045</v>
      </c>
      <c r="C115" s="4922"/>
      <c r="D115" s="3810"/>
      <c r="E115" s="3810"/>
      <c r="F115" s="3810"/>
      <c r="G115" s="3810"/>
      <c r="H115" s="3810"/>
      <c r="I115" s="3810"/>
      <c r="J115" s="3810"/>
      <c r="K115" s="3810"/>
      <c r="L115" s="3810"/>
      <c r="M115" s="3810"/>
      <c r="N115" s="4322"/>
      <c r="O115" s="3810"/>
      <c r="P115" s="3810"/>
      <c r="Q115" s="3810"/>
      <c r="R115" s="3810"/>
      <c r="S115" s="3810"/>
      <c r="T115" s="3810"/>
      <c r="U115" s="3810"/>
      <c r="V115" s="4338"/>
      <c r="W115" s="3811"/>
      <c r="X115" s="4369"/>
      <c r="Y115" s="4369"/>
      <c r="Z115" s="3810"/>
    </row>
    <row r="116" spans="1:26" s="3993" customFormat="1" x14ac:dyDescent="0.3">
      <c r="N116" s="4323"/>
      <c r="V116" s="4326"/>
      <c r="W116" s="3652"/>
    </row>
  </sheetData>
  <sheetProtection algorithmName="SHA-512" hashValue="jU7r++hN8Hcrd1HDM8xUfHw1e0XgD1JdP8NryL6RfxpaRmm6Mx9Tv3Lh2vFroE6VTTs8i2W48sYCsiP+NLC6Ng==" saltValue="l+mlir1tLMBNP+2nlzmnKQ==" spinCount="100000" sheet="1" objects="1" scenarios="1"/>
  <mergeCells count="77">
    <mergeCell ref="V103:V104"/>
    <mergeCell ref="W103:W104"/>
    <mergeCell ref="V106:V109"/>
    <mergeCell ref="W106:W109"/>
    <mergeCell ref="V112:V113"/>
    <mergeCell ref="W112:W113"/>
    <mergeCell ref="V88:V89"/>
    <mergeCell ref="W88:W89"/>
    <mergeCell ref="V91:V92"/>
    <mergeCell ref="W91:W92"/>
    <mergeCell ref="V100:V101"/>
    <mergeCell ref="W100:W101"/>
    <mergeCell ref="V64:V67"/>
    <mergeCell ref="W64:W67"/>
    <mergeCell ref="V68:V73"/>
    <mergeCell ref="W68:W73"/>
    <mergeCell ref="V74:V77"/>
    <mergeCell ref="W74:W77"/>
    <mergeCell ref="O91:O92"/>
    <mergeCell ref="N68:N73"/>
    <mergeCell ref="O68:O73"/>
    <mergeCell ref="N74:N77"/>
    <mergeCell ref="O74:O77"/>
    <mergeCell ref="N88:N89"/>
    <mergeCell ref="O88:O89"/>
    <mergeCell ref="B115:C115"/>
    <mergeCell ref="A52:C52"/>
    <mergeCell ref="D52:N52"/>
    <mergeCell ref="N55:N58"/>
    <mergeCell ref="O55:O58"/>
    <mergeCell ref="N112:N113"/>
    <mergeCell ref="N64:N67"/>
    <mergeCell ref="O64:O67"/>
    <mergeCell ref="O112:O113"/>
    <mergeCell ref="N103:N104"/>
    <mergeCell ref="O103:O104"/>
    <mergeCell ref="N106:N109"/>
    <mergeCell ref="O106:O109"/>
    <mergeCell ref="N100:N101"/>
    <mergeCell ref="O100:O101"/>
    <mergeCell ref="N91:N92"/>
    <mergeCell ref="V55:V58"/>
    <mergeCell ref="W55:W58"/>
    <mergeCell ref="N37:N44"/>
    <mergeCell ref="O37:O44"/>
    <mergeCell ref="V37:V44"/>
    <mergeCell ref="W37:W44"/>
    <mergeCell ref="N45:N49"/>
    <mergeCell ref="O45:O49"/>
    <mergeCell ref="V45:V49"/>
    <mergeCell ref="W45:W49"/>
    <mergeCell ref="W33:W36"/>
    <mergeCell ref="A23:C23"/>
    <mergeCell ref="D23:N23"/>
    <mergeCell ref="N26:N28"/>
    <mergeCell ref="O26:O28"/>
    <mergeCell ref="V26:V28"/>
    <mergeCell ref="W26:W28"/>
    <mergeCell ref="A30:C30"/>
    <mergeCell ref="D30:N30"/>
    <mergeCell ref="N33:N36"/>
    <mergeCell ref="O33:O36"/>
    <mergeCell ref="V33:V36"/>
    <mergeCell ref="P9:U9"/>
    <mergeCell ref="X9:Y9"/>
    <mergeCell ref="A16:C16"/>
    <mergeCell ref="D16:N16"/>
    <mergeCell ref="N19:N21"/>
    <mergeCell ref="V19:V21"/>
    <mergeCell ref="A9:N9"/>
    <mergeCell ref="O19:O21"/>
    <mergeCell ref="W19:W21"/>
    <mergeCell ref="B1:D1"/>
    <mergeCell ref="B2:D2"/>
    <mergeCell ref="B3:D3"/>
    <mergeCell ref="B4:D4"/>
    <mergeCell ref="B7:D7"/>
  </mergeCells>
  <conditionalFormatting sqref="R51:R53 B37 D37">
    <cfRule type="expression" dxfId="1220" priority="1518">
      <formula>IF($E37,TRUE)</formula>
    </cfRule>
  </conditionalFormatting>
  <conditionalFormatting sqref="V51:V53">
    <cfRule type="containsText" dxfId="1219" priority="1514" operator="containsText" text="Applicable">
      <formula>NOT(ISERROR(SEARCH("Applicable",V51)))</formula>
    </cfRule>
    <cfRule type="containsText" dxfId="1218" priority="1515" operator="containsText" text="Functionally">
      <formula>NOT(ISERROR(SEARCH("Functionally",V51)))</formula>
    </cfRule>
    <cfRule type="containsText" dxfId="1217" priority="1516" operator="containsText" text="Not Compliant">
      <formula>NOT(ISERROR(SEARCH("Not Compliant",V51)))</formula>
    </cfRule>
    <cfRule type="containsText" dxfId="1216" priority="1517" operator="containsText" text="Compliant">
      <formula>NOT(ISERROR(SEARCH("Compliant",V51)))</formula>
    </cfRule>
  </conditionalFormatting>
  <conditionalFormatting sqref="Q51:Q53">
    <cfRule type="expression" dxfId="1215" priority="1519">
      <formula>IF(#REF!,TRUE)</formula>
    </cfRule>
    <cfRule type="expression" dxfId="1214" priority="1520">
      <formula>IF($E51,TRUE)</formula>
    </cfRule>
  </conditionalFormatting>
  <conditionalFormatting sqref="N51:N53">
    <cfRule type="containsText" dxfId="1213" priority="1521" operator="containsText" text="Not Compliant">
      <formula>NOT(ISERROR(SEARCH("Not Compliant",N51)))</formula>
    </cfRule>
    <cfRule type="expression" dxfId="1212" priority="1522">
      <formula>IF(AND($E51=TRUE,$I51="",$N51="Compliant"),TRUE,FALSE)</formula>
    </cfRule>
    <cfRule type="expression" dxfId="1211" priority="1523">
      <formula>IF(AND($E51=TRUE,$I51&lt;&gt;"",$N51="Compliant"),TRUE,FALSE)</formula>
    </cfRule>
    <cfRule type="expression" dxfId="1210" priority="1524">
      <formula>IF($N51&lt;&gt;"",TRUE,FALSE)</formula>
    </cfRule>
    <cfRule type="expression" dxfId="1209" priority="1525">
      <formula>IF(AND($E51=FALSE,$N51&lt;&gt;""),TRUE,FALSE)</formula>
    </cfRule>
    <cfRule type="expression" dxfId="1208" priority="1526">
      <formula>IF(AND($I51&lt;&gt;"",$N51&lt;&gt;""),TRUE,FALSE)</formula>
    </cfRule>
  </conditionalFormatting>
  <conditionalFormatting sqref="B13">
    <cfRule type="expression" dxfId="1207" priority="1513">
      <formula>IF($E13=TRUE,TRUE,FALSE)</formula>
    </cfRule>
  </conditionalFormatting>
  <conditionalFormatting sqref="B11">
    <cfRule type="expression" dxfId="1206" priority="1512">
      <formula>IF($E11=TRUE,TRUE,FALSE)</formula>
    </cfRule>
  </conditionalFormatting>
  <conditionalFormatting sqref="B12">
    <cfRule type="expression" dxfId="1205" priority="1511">
      <formula>IF($E12=TRUE,TRUE,FALSE)</formula>
    </cfRule>
  </conditionalFormatting>
  <conditionalFormatting sqref="B14">
    <cfRule type="expression" dxfId="1204" priority="1510">
      <formula>IF($E14=TRUE,TRUE,FALSE)</formula>
    </cfRule>
  </conditionalFormatting>
  <conditionalFormatting sqref="D11:D14">
    <cfRule type="expression" dxfId="1203" priority="1509">
      <formula>IF($E11,TRUE)</formula>
    </cfRule>
  </conditionalFormatting>
  <conditionalFormatting sqref="B18 D18">
    <cfRule type="expression" dxfId="1202" priority="1502" stopIfTrue="1">
      <formula>IF(AND($F$18&gt;1,$E$18=TRUE),TRUE,FALSE)</formula>
    </cfRule>
    <cfRule type="expression" dxfId="1201" priority="1503" stopIfTrue="1">
      <formula>IF(AND($F$18=1,$E18=TRUE),TRUE,FALSE)</formula>
    </cfRule>
  </conditionalFormatting>
  <conditionalFormatting sqref="B25 D25">
    <cfRule type="expression" dxfId="1200" priority="1501">
      <formula>IF($E25,TRUE)</formula>
    </cfRule>
  </conditionalFormatting>
  <conditionalFormatting sqref="D32 B32">
    <cfRule type="expression" dxfId="1199" priority="1496">
      <formula>IF($E32,TRUE)</formula>
    </cfRule>
  </conditionalFormatting>
  <conditionalFormatting sqref="B34:B36">
    <cfRule type="expression" dxfId="1198" priority="1479">
      <formula>IF(AND($E34=FALSE,OR($I34&lt;&gt;"",$L34&lt;&gt;"")),TRUE,FALSE)</formula>
    </cfRule>
    <cfRule type="expression" dxfId="1197" priority="1480">
      <formula>IF(AND($E34=TRUE,OR($I34="",$J34="")),TRUE,FALSE)</formula>
    </cfRule>
    <cfRule type="expression" dxfId="1196" priority="1481">
      <formula>IF(AND($E34=TRUE,OR($I34&lt;&gt;"",$L34="")),TRUE,FALSE)</formula>
    </cfRule>
    <cfRule type="expression" dxfId="1195" priority="1482">
      <formula>IF(AND($E34=FALSE,$E$32=TRUE),TRUE,FALSE)</formula>
    </cfRule>
  </conditionalFormatting>
  <conditionalFormatting sqref="D34:D36 D50">
    <cfRule type="expression" dxfId="1194" priority="1448">
      <formula>IF($D34="Compliant",TRUE)</formula>
    </cfRule>
    <cfRule type="expression" dxfId="1193" priority="1449">
      <formula>IF($D34="",TRUE)</formula>
    </cfRule>
    <cfRule type="expression" dxfId="1192" priority="1450">
      <formula>IF($D34="Not Compliant",TRUE)</formula>
    </cfRule>
  </conditionalFormatting>
  <conditionalFormatting sqref="D42:D44">
    <cfRule type="expression" dxfId="1191" priority="1445">
      <formula>IF($D42="Compliant",TRUE)</formula>
    </cfRule>
    <cfRule type="expression" dxfId="1190" priority="1446">
      <formula>IF($D42="",TRUE)</formula>
    </cfRule>
    <cfRule type="expression" dxfId="1189" priority="1447">
      <formula>IF($D42="Not Compliant",TRUE)</formula>
    </cfRule>
  </conditionalFormatting>
  <conditionalFormatting sqref="D47:D49">
    <cfRule type="expression" dxfId="1188" priority="1442">
      <formula>IF($D47="Compliant",TRUE)</formula>
    </cfRule>
    <cfRule type="expression" dxfId="1187" priority="1443">
      <formula>IF($D47="",TRUE)</formula>
    </cfRule>
    <cfRule type="expression" dxfId="1186" priority="1444">
      <formula>IF($D47="Not Compliant",TRUE)</formula>
    </cfRule>
  </conditionalFormatting>
  <conditionalFormatting sqref="B33 D33">
    <cfRule type="expression" dxfId="1185" priority="1411">
      <formula>IF($E33,TRUE)</formula>
    </cfRule>
  </conditionalFormatting>
  <conditionalFormatting sqref="B55 D55">
    <cfRule type="expression" dxfId="1184" priority="1406">
      <formula>IF($E55,TRUE)</formula>
    </cfRule>
  </conditionalFormatting>
  <conditionalFormatting sqref="D56:D57">
    <cfRule type="expression" dxfId="1183" priority="1403">
      <formula>IF($D56="Compliant",TRUE)</formula>
    </cfRule>
    <cfRule type="expression" dxfId="1182" priority="1404">
      <formula>IF($D56="",TRUE)</formula>
    </cfRule>
    <cfRule type="expression" dxfId="1181" priority="1405">
      <formula>IF($D56="Not Compliant",TRUE)</formula>
    </cfRule>
  </conditionalFormatting>
  <conditionalFormatting sqref="B56:B58">
    <cfRule type="expression" dxfId="1180" priority="1407">
      <formula>IF(AND($E56=FALSE,OR($I56&lt;&gt;"",$L56&lt;&gt;"")),TRUE,FALSE)</formula>
    </cfRule>
    <cfRule type="expression" dxfId="1179" priority="1408">
      <formula>IF(AND($E56=TRUE,OR($I56="",$J56="")),TRUE,FALSE)</formula>
    </cfRule>
    <cfRule type="expression" dxfId="1178" priority="1409">
      <formula>IF(AND($E56=TRUE,OR($I56&lt;&gt;"",$L56="")),TRUE,FALSE)</formula>
    </cfRule>
  </conditionalFormatting>
  <conditionalFormatting sqref="N19">
    <cfRule type="expression" dxfId="1177" priority="1264">
      <formula>IF($N19="Unknown/Missing",TRUE)</formula>
    </cfRule>
    <cfRule type="expression" dxfId="1176" priority="1265">
      <formula>IF($N19="Not Required/Applicable",TRUE)</formula>
    </cfRule>
    <cfRule type="expression" dxfId="1175" priority="1266">
      <formula>IF($N19="Not Compliant",TRUE)</formula>
    </cfRule>
    <cfRule type="expression" dxfId="1174" priority="1267">
      <formula>IF($N19=" ",TRUE)</formula>
    </cfRule>
  </conditionalFormatting>
  <conditionalFormatting sqref="N18">
    <cfRule type="expression" dxfId="1173" priority="1256">
      <formula>IF($O$18=FALSE,TRUE,FALSE)</formula>
    </cfRule>
    <cfRule type="expression" dxfId="1172" priority="1257">
      <formula>IF($O$18=TRUE,TRUE,FALSE)</formula>
    </cfRule>
  </conditionalFormatting>
  <conditionalFormatting sqref="N25">
    <cfRule type="expression" dxfId="1171" priority="1252">
      <formula>IF(O25=FALSE,TRUE,FALSE)</formula>
    </cfRule>
    <cfRule type="expression" dxfId="1170" priority="1253">
      <formula>IF(O25=TRUE,TRUE,FALSE)</formula>
    </cfRule>
  </conditionalFormatting>
  <conditionalFormatting sqref="N32">
    <cfRule type="expression" dxfId="1169" priority="1246">
      <formula>IF(O32=FALSE,TRUE,FALSE)</formula>
    </cfRule>
    <cfRule type="expression" dxfId="1168" priority="1247">
      <formula>IF(O32=TRUE,TRUE,FALSE)</formula>
    </cfRule>
  </conditionalFormatting>
  <conditionalFormatting sqref="V11:V14">
    <cfRule type="expression" dxfId="1167" priority="1210">
      <formula>IF($W11=FALSE,TRUE,FALSE)</formula>
    </cfRule>
    <cfRule type="expression" dxfId="1166" priority="1211">
      <formula>IF($W11=TRUE,TRUE,FALSE)</formula>
    </cfRule>
  </conditionalFormatting>
  <conditionalFormatting sqref="N11:N14">
    <cfRule type="expression" dxfId="1165" priority="1201">
      <formula>IF($O11=FALSE,TRUE,FALSE)</formula>
    </cfRule>
    <cfRule type="expression" dxfId="1164" priority="1202">
      <formula>IF($O11=TRUE,TRUE,FALSE)</formula>
    </cfRule>
  </conditionalFormatting>
  <conditionalFormatting sqref="D56:D58 D42:D44 D34:D36 D26:D28 D19:D21 D47:D50">
    <cfRule type="expression" dxfId="1163" priority="1156">
      <formula>IF(D19="Compliant",TRUE)</formula>
    </cfRule>
    <cfRule type="expression" dxfId="1162" priority="1157">
      <formula>IF(D19="FE with work-a-round",TRUE)</formula>
    </cfRule>
    <cfRule type="expression" dxfId="1161" priority="1158">
      <formula>IF(D19="Functionally Equivalent",TRUE)</formula>
    </cfRule>
    <cfRule type="expression" dxfId="1160" priority="1159">
      <formula>IF(D19="Likely to become compliant",TRUE)</formula>
    </cfRule>
    <cfRule type="expression" dxfId="1159" priority="1160">
      <formula>IF(D19="Partly Compliant",TRUE)</formula>
    </cfRule>
    <cfRule type="expression" dxfId="1158" priority="1161">
      <formula>IF(D19="Unknown/Missing",TRUE)</formula>
    </cfRule>
    <cfRule type="expression" dxfId="1157" priority="1162">
      <formula>IF(D19="Not Required/Applicable",TRUE)</formula>
    </cfRule>
    <cfRule type="expression" dxfId="1156" priority="1163">
      <formula>IF(D19="Not Compliant",TRUE)</formula>
    </cfRule>
    <cfRule type="expression" dxfId="1155" priority="1164">
      <formula>IF(D19=" ",TRUE)</formula>
    </cfRule>
  </conditionalFormatting>
  <conditionalFormatting sqref="N26 N55 N19 N33:N37 N42:N50">
    <cfRule type="expression" dxfId="1154" priority="1203">
      <formula>IF($N19="Compliant",TRUE)</formula>
    </cfRule>
    <cfRule type="expression" dxfId="1153" priority="1260">
      <formula>IF($N19="FE with work-a-round",TRUE)</formula>
    </cfRule>
    <cfRule type="expression" dxfId="1152" priority="1261">
      <formula>IF($N19="Functionally Equivalent",TRUE)</formula>
    </cfRule>
    <cfRule type="expression" dxfId="1151" priority="1262">
      <formula>IF($N19="Likely to become compliant",TRUE)</formula>
    </cfRule>
    <cfRule type="expression" dxfId="1150" priority="1263">
      <formula>IF($N19="Partly Compliant",TRUE)</formula>
    </cfRule>
  </conditionalFormatting>
  <conditionalFormatting sqref="B19:B21">
    <cfRule type="expression" dxfId="1149" priority="732">
      <formula>IF(AND($E19=FALSE,OR($I19&lt;&gt;"",$L19&lt;&gt;"")),TRUE,FALSE)</formula>
    </cfRule>
    <cfRule type="expression" dxfId="1148" priority="1145">
      <formula>IF(AND($E19=TRUE,OR($I19="",$J19="")),TRUE,FALSE)</formula>
    </cfRule>
    <cfRule type="expression" dxfId="1147" priority="1146">
      <formula>IF(AND($E19=TRUE,OR($I19&lt;&gt;"",$L19="")),TRUE,FALSE)</formula>
    </cfRule>
    <cfRule type="expression" dxfId="1146" priority="1147">
      <formula>IF(AND($E$18=FALSE,$E20=TRUE),TRUE,FALSE)</formula>
    </cfRule>
  </conditionalFormatting>
  <conditionalFormatting sqref="D41">
    <cfRule type="expression" dxfId="1145" priority="1138">
      <formula>IF($D41="Compliant",TRUE)</formula>
    </cfRule>
    <cfRule type="expression" dxfId="1144" priority="1139">
      <formula>IF($D41="",TRUE)</formula>
    </cfRule>
    <cfRule type="expression" dxfId="1143" priority="1140">
      <formula>IF($D41="Not Compliant",TRUE)</formula>
    </cfRule>
  </conditionalFormatting>
  <conditionalFormatting sqref="D41">
    <cfRule type="expression" dxfId="1142" priority="1097">
      <formula>IF(D41="Compliant",TRUE)</formula>
    </cfRule>
    <cfRule type="expression" dxfId="1141" priority="1098">
      <formula>IF(D41="FE with work-a-round",TRUE)</formula>
    </cfRule>
    <cfRule type="expression" dxfId="1140" priority="1099">
      <formula>IF(D41="Functionally Equivalent",TRUE)</formula>
    </cfRule>
    <cfRule type="expression" dxfId="1139" priority="1100">
      <formula>IF(D41="Likely to become compliant",TRUE)</formula>
    </cfRule>
    <cfRule type="expression" dxfId="1138" priority="1101">
      <formula>IF(D41="Partly Compliant",TRUE)</formula>
    </cfRule>
    <cfRule type="expression" dxfId="1137" priority="1102">
      <formula>IF(D41="Unknown/Missing",TRUE)</formula>
    </cfRule>
    <cfRule type="expression" dxfId="1136" priority="1103">
      <formula>IF(D41="Not Required/Applicable",TRUE)</formula>
    </cfRule>
    <cfRule type="expression" dxfId="1135" priority="1104">
      <formula>IF(D41="Not Compliant",TRUE)</formula>
    </cfRule>
    <cfRule type="expression" dxfId="1134" priority="1105">
      <formula>IF(D41=" ",TRUE)</formula>
    </cfRule>
  </conditionalFormatting>
  <conditionalFormatting sqref="N41">
    <cfRule type="expression" dxfId="1133" priority="1115">
      <formula>IF($N41="Compliant",TRUE)</formula>
    </cfRule>
    <cfRule type="expression" dxfId="1132" priority="1116">
      <formula>IF($N41="FE with work-a-round",TRUE)</formula>
    </cfRule>
    <cfRule type="expression" dxfId="1131" priority="1117">
      <formula>IF($N41="Functionally Equivalent",TRUE)</formula>
    </cfRule>
    <cfRule type="expression" dxfId="1130" priority="1118">
      <formula>IF($N41="Likely to become compliant",TRUE)</formula>
    </cfRule>
    <cfRule type="expression" dxfId="1129" priority="1119">
      <formula>IF($N41="Partly Compliant",TRUE)</formula>
    </cfRule>
  </conditionalFormatting>
  <conditionalFormatting sqref="D40">
    <cfRule type="expression" dxfId="1128" priority="1090">
      <formula>IF($D40="Compliant",TRUE)</formula>
    </cfRule>
    <cfRule type="expression" dxfId="1127" priority="1091">
      <formula>IF($D40="",TRUE)</formula>
    </cfRule>
    <cfRule type="expression" dxfId="1126" priority="1092">
      <formula>IF($D40="Not Compliant",TRUE)</formula>
    </cfRule>
  </conditionalFormatting>
  <conditionalFormatting sqref="D40">
    <cfRule type="expression" dxfId="1125" priority="1049">
      <formula>IF(D40="Compliant",TRUE)</formula>
    </cfRule>
    <cfRule type="expression" dxfId="1124" priority="1050">
      <formula>IF(D40="FE with work-a-round",TRUE)</formula>
    </cfRule>
    <cfRule type="expression" dxfId="1123" priority="1051">
      <formula>IF(D40="Functionally Equivalent",TRUE)</formula>
    </cfRule>
    <cfRule type="expression" dxfId="1122" priority="1052">
      <formula>IF(D40="Likely to become compliant",TRUE)</formula>
    </cfRule>
    <cfRule type="expression" dxfId="1121" priority="1053">
      <formula>IF(D40="Partly Compliant",TRUE)</formula>
    </cfRule>
    <cfRule type="expression" dxfId="1120" priority="1054">
      <formula>IF(D40="Unknown/Missing",TRUE)</formula>
    </cfRule>
    <cfRule type="expression" dxfId="1119" priority="1055">
      <formula>IF(D40="Not Required/Applicable",TRUE)</formula>
    </cfRule>
    <cfRule type="expression" dxfId="1118" priority="1056">
      <formula>IF(D40="Not Compliant",TRUE)</formula>
    </cfRule>
    <cfRule type="expression" dxfId="1117" priority="1057">
      <formula>IF(D40=" ",TRUE)</formula>
    </cfRule>
  </conditionalFormatting>
  <conditionalFormatting sqref="N40">
    <cfRule type="expression" dxfId="1116" priority="1067">
      <formula>IF($N40="Compliant",TRUE)</formula>
    </cfRule>
    <cfRule type="expression" dxfId="1115" priority="1068">
      <formula>IF($N40="FE with work-a-round",TRUE)</formula>
    </cfRule>
    <cfRule type="expression" dxfId="1114" priority="1069">
      <formula>IF($N40="Functionally Equivalent",TRUE)</formula>
    </cfRule>
    <cfRule type="expression" dxfId="1113" priority="1070">
      <formula>IF($N40="Likely to become compliant",TRUE)</formula>
    </cfRule>
    <cfRule type="expression" dxfId="1112" priority="1071">
      <formula>IF($N40="Partly Compliant",TRUE)</formula>
    </cfRule>
  </conditionalFormatting>
  <conditionalFormatting sqref="D38">
    <cfRule type="expression" dxfId="1111" priority="1042">
      <formula>IF($D38="Compliant",TRUE)</formula>
    </cfRule>
    <cfRule type="expression" dxfId="1110" priority="1043">
      <formula>IF($D38="",TRUE)</formula>
    </cfRule>
    <cfRule type="expression" dxfId="1109" priority="1044">
      <formula>IF($D38="Not Compliant",TRUE)</formula>
    </cfRule>
  </conditionalFormatting>
  <conditionalFormatting sqref="D38">
    <cfRule type="expression" dxfId="1108" priority="1001">
      <formula>IF(D38="Compliant",TRUE)</formula>
    </cfRule>
    <cfRule type="expression" dxfId="1107" priority="1002">
      <formula>IF(D38="FE with work-a-round",TRUE)</formula>
    </cfRule>
    <cfRule type="expression" dxfId="1106" priority="1003">
      <formula>IF(D38="Functionally Equivalent",TRUE)</formula>
    </cfRule>
    <cfRule type="expression" dxfId="1105" priority="1004">
      <formula>IF(D38="Likely to become compliant",TRUE)</formula>
    </cfRule>
    <cfRule type="expression" dxfId="1104" priority="1005">
      <formula>IF(D38="Partly Compliant",TRUE)</formula>
    </cfRule>
    <cfRule type="expression" dxfId="1103" priority="1006">
      <formula>IF(D38="Unknown/Missing",TRUE)</formula>
    </cfRule>
    <cfRule type="expression" dxfId="1102" priority="1007">
      <formula>IF(D38="Not Required/Applicable",TRUE)</formula>
    </cfRule>
    <cfRule type="expression" dxfId="1101" priority="1008">
      <formula>IF(D38="Not Compliant",TRUE)</formula>
    </cfRule>
    <cfRule type="expression" dxfId="1100" priority="1009">
      <formula>IF(D38=" ",TRUE)</formula>
    </cfRule>
  </conditionalFormatting>
  <conditionalFormatting sqref="N38">
    <cfRule type="expression" dxfId="1099" priority="1019">
      <formula>IF($N38="Compliant",TRUE)</formula>
    </cfRule>
    <cfRule type="expression" dxfId="1098" priority="1020">
      <formula>IF($N38="FE with work-a-round",TRUE)</formula>
    </cfRule>
    <cfRule type="expression" dxfId="1097" priority="1021">
      <formula>IF($N38="Functionally Equivalent",TRUE)</formula>
    </cfRule>
    <cfRule type="expression" dxfId="1096" priority="1022">
      <formula>IF($N38="Likely to become compliant",TRUE)</formula>
    </cfRule>
    <cfRule type="expression" dxfId="1095" priority="1023">
      <formula>IF($N38="Partly Compliant",TRUE)</formula>
    </cfRule>
  </conditionalFormatting>
  <conditionalFormatting sqref="B39">
    <cfRule type="expression" dxfId="1094" priority="997">
      <formula>IF(AND($E39=FALSE,OR($I39&lt;&gt;"",$L39&lt;&gt;"")),TRUE,FALSE)</formula>
    </cfRule>
    <cfRule type="expression" dxfId="1093" priority="998">
      <formula>IF(AND($E39=TRUE,OR($I39="",$J39="")),TRUE,FALSE)</formula>
    </cfRule>
    <cfRule type="expression" dxfId="1092" priority="999">
      <formula>IF(AND($E39=TRUE,OR($I39&lt;&gt;"",$L39="")),TRUE,FALSE)</formula>
    </cfRule>
    <cfRule type="expression" dxfId="1091" priority="1000">
      <formula>IF(AND($E39=FALSE,$E$32=TRUE),TRUE,FALSE)</formula>
    </cfRule>
  </conditionalFormatting>
  <conditionalFormatting sqref="D39">
    <cfRule type="expression" dxfId="1090" priority="994">
      <formula>IF($D39="Compliant",TRUE)</formula>
    </cfRule>
    <cfRule type="expression" dxfId="1089" priority="995">
      <formula>IF($D39="",TRUE)</formula>
    </cfRule>
    <cfRule type="expression" dxfId="1088" priority="996">
      <formula>IF($D39="Not Compliant",TRUE)</formula>
    </cfRule>
  </conditionalFormatting>
  <conditionalFormatting sqref="D39">
    <cfRule type="expression" dxfId="1087" priority="953">
      <formula>IF(D39="Compliant",TRUE)</formula>
    </cfRule>
    <cfRule type="expression" dxfId="1086" priority="954">
      <formula>IF(D39="FE with work-a-round",TRUE)</formula>
    </cfRule>
    <cfRule type="expression" dxfId="1085" priority="955">
      <formula>IF(D39="Functionally Equivalent",TRUE)</formula>
    </cfRule>
    <cfRule type="expression" dxfId="1084" priority="956">
      <formula>IF(D39="Likely to become compliant",TRUE)</formula>
    </cfRule>
    <cfRule type="expression" dxfId="1083" priority="957">
      <formula>IF(D39="Partly Compliant",TRUE)</formula>
    </cfRule>
    <cfRule type="expression" dxfId="1082" priority="958">
      <formula>IF(D39="Unknown/Missing",TRUE)</formula>
    </cfRule>
    <cfRule type="expression" dxfId="1081" priority="959">
      <formula>IF(D39="Not Required/Applicable",TRUE)</formula>
    </cfRule>
    <cfRule type="expression" dxfId="1080" priority="960">
      <formula>IF(D39="Not Compliant",TRUE)</formula>
    </cfRule>
    <cfRule type="expression" dxfId="1079" priority="961">
      <formula>IF(D39=" ",TRUE)</formula>
    </cfRule>
  </conditionalFormatting>
  <conditionalFormatting sqref="N39">
    <cfRule type="expression" dxfId="1078" priority="971">
      <formula>IF($N39="Compliant",TRUE)</formula>
    </cfRule>
    <cfRule type="expression" dxfId="1077" priority="972">
      <formula>IF($N39="FE with work-a-round",TRUE)</formula>
    </cfRule>
    <cfRule type="expression" dxfId="1076" priority="973">
      <formula>IF($N39="Functionally Equivalent",TRUE)</formula>
    </cfRule>
    <cfRule type="expression" dxfId="1075" priority="974">
      <formula>IF($N39="Likely to become compliant",TRUE)</formula>
    </cfRule>
    <cfRule type="expression" dxfId="1074" priority="975">
      <formula>IF($N39="Partly Compliant",TRUE)</formula>
    </cfRule>
  </conditionalFormatting>
  <conditionalFormatting sqref="B26:B28 B38 B40:B44 B46:B50">
    <cfRule type="expression" dxfId="1073" priority="1497">
      <formula>IF(AND($E26=FALSE,OR($I26&lt;&gt;"",$L26&lt;&gt;"")),TRUE,FALSE)</formula>
    </cfRule>
    <cfRule type="expression" dxfId="1072" priority="1498">
      <formula>IF(AND($E26=TRUE,OR($I26="",$J26="")),TRUE,FALSE)</formula>
    </cfRule>
    <cfRule type="expression" dxfId="1071" priority="1499">
      <formula>IF(AND($E26=TRUE,OR($I26&lt;&gt;"",$L26="")),TRUE,FALSE)</formula>
    </cfRule>
    <cfRule type="expression" dxfId="1070" priority="1500">
      <formula>IF(AND($E26=FALSE,$E$32=TRUE),TRUE,FALSE)</formula>
    </cfRule>
  </conditionalFormatting>
  <conditionalFormatting sqref="D46">
    <cfRule type="expression" dxfId="1069" priority="950">
      <formula>IF($D46="Compliant",TRUE)</formula>
    </cfRule>
    <cfRule type="expression" dxfId="1068" priority="951">
      <formula>IF($D46="",TRUE)</formula>
    </cfRule>
    <cfRule type="expression" dxfId="1067" priority="952">
      <formula>IF($D46="Not Compliant",TRUE)</formula>
    </cfRule>
  </conditionalFormatting>
  <conditionalFormatting sqref="D46">
    <cfRule type="expression" dxfId="1066" priority="941">
      <formula>IF(D46="Compliant",TRUE)</formula>
    </cfRule>
    <cfRule type="expression" dxfId="1065" priority="942">
      <formula>IF(D46="FE with work-a-round",TRUE)</formula>
    </cfRule>
    <cfRule type="expression" dxfId="1064" priority="943">
      <formula>IF(D46="Functionally Equivalent",TRUE)</formula>
    </cfRule>
    <cfRule type="expression" dxfId="1063" priority="944">
      <formula>IF(D46="Likely to become compliant",TRUE)</formula>
    </cfRule>
    <cfRule type="expression" dxfId="1062" priority="945">
      <formula>IF(D46="Partly Compliant",TRUE)</formula>
    </cfRule>
    <cfRule type="expression" dxfId="1061" priority="946">
      <formula>IF(D46="Unknown/Missing",TRUE)</formula>
    </cfRule>
    <cfRule type="expression" dxfId="1060" priority="947">
      <formula>IF(D46="Not Required/Applicable",TRUE)</formula>
    </cfRule>
    <cfRule type="expression" dxfId="1059" priority="948">
      <formula>IF(D46="Not Compliant",TRUE)</formula>
    </cfRule>
    <cfRule type="expression" dxfId="1058" priority="949">
      <formula>IF(D46=" ",TRUE)</formula>
    </cfRule>
  </conditionalFormatting>
  <conditionalFormatting sqref="D45">
    <cfRule type="expression" dxfId="1057" priority="940">
      <formula>IF($E45,TRUE)</formula>
    </cfRule>
  </conditionalFormatting>
  <conditionalFormatting sqref="B45">
    <cfRule type="expression" dxfId="1056" priority="939">
      <formula>IF($E45,TRUE)</formula>
    </cfRule>
  </conditionalFormatting>
  <conditionalFormatting sqref="B54 D54">
    <cfRule type="expression" dxfId="1055" priority="938">
      <formula>IF($E54,TRUE)</formula>
    </cfRule>
  </conditionalFormatting>
  <conditionalFormatting sqref="B59">
    <cfRule type="expression" dxfId="1054" priority="937">
      <formula>IF($E59,TRUE)</formula>
    </cfRule>
  </conditionalFormatting>
  <conditionalFormatting sqref="B61">
    <cfRule type="expression" dxfId="1053" priority="931">
      <formula>IF(AND($E61=FALSE,OR($I61&lt;&gt;"",$L61&lt;&gt;"")),TRUE,FALSE)</formula>
    </cfRule>
    <cfRule type="expression" dxfId="1052" priority="932">
      <formula>IF(AND($E61=TRUE,OR($I61="",$J61="")),TRUE,FALSE)</formula>
    </cfRule>
    <cfRule type="expression" dxfId="1051" priority="933">
      <formula>IF(AND($E61=TRUE,OR($I61&lt;&gt;"",$L61="")),TRUE,FALSE)</formula>
    </cfRule>
  </conditionalFormatting>
  <conditionalFormatting sqref="B62">
    <cfRule type="expression" dxfId="1050" priority="928">
      <formula>IF(AND($E62=FALSE,OR($I62&lt;&gt;"",$L62&lt;&gt;"")),TRUE,FALSE)</formula>
    </cfRule>
    <cfRule type="expression" dxfId="1049" priority="929">
      <formula>IF(AND($E62=TRUE,OR($I62="",$J62="")),TRUE,FALSE)</formula>
    </cfRule>
    <cfRule type="expression" dxfId="1048" priority="930">
      <formula>IF(AND($E62=TRUE,OR($I62&lt;&gt;"",$L62="")),TRUE,FALSE)</formula>
    </cfRule>
  </conditionalFormatting>
  <conditionalFormatting sqref="D64">
    <cfRule type="expression" dxfId="1047" priority="913">
      <formula>IF($E64,TRUE)</formula>
    </cfRule>
  </conditionalFormatting>
  <conditionalFormatting sqref="D68">
    <cfRule type="expression" dxfId="1046" priority="912">
      <formula>IF($E68,TRUE)</formula>
    </cfRule>
  </conditionalFormatting>
  <conditionalFormatting sqref="D78">
    <cfRule type="expression" dxfId="1045" priority="910">
      <formula>IF($E78,TRUE)</formula>
    </cfRule>
  </conditionalFormatting>
  <conditionalFormatting sqref="D90">
    <cfRule type="expression" dxfId="1044" priority="908">
      <formula>IF($E90,TRUE)</formula>
    </cfRule>
  </conditionalFormatting>
  <conditionalFormatting sqref="D99">
    <cfRule type="expression" dxfId="1043" priority="907">
      <formula>IF($E99,TRUE)</formula>
    </cfRule>
  </conditionalFormatting>
  <conditionalFormatting sqref="D111">
    <cfRule type="expression" dxfId="1042" priority="898">
      <formula>IF($E111,TRUE)</formula>
    </cfRule>
  </conditionalFormatting>
  <conditionalFormatting sqref="D61">
    <cfRule type="expression" dxfId="1041" priority="877">
      <formula>IF(D61="Compliant",TRUE)</formula>
    </cfRule>
    <cfRule type="expression" dxfId="1040" priority="878">
      <formula>IF(D61="FE with work-a-round",TRUE)</formula>
    </cfRule>
    <cfRule type="expression" dxfId="1039" priority="879">
      <formula>IF(D61="Functionally Equivalent",TRUE)</formula>
    </cfRule>
    <cfRule type="expression" dxfId="1038" priority="880">
      <formula>IF(D61="Likely to become compliant",TRUE)</formula>
    </cfRule>
    <cfRule type="expression" dxfId="1037" priority="881">
      <formula>IF(D61="Partly Compliant",TRUE)</formula>
    </cfRule>
    <cfRule type="expression" dxfId="1036" priority="882">
      <formula>IF(D61="Unknown/Missing",TRUE)</formula>
    </cfRule>
    <cfRule type="expression" dxfId="1035" priority="883">
      <formula>IF(D61="Not Required/Applicable",TRUE)</formula>
    </cfRule>
    <cfRule type="expression" dxfId="1034" priority="884">
      <formula>IF(D61="Not Compliant",TRUE)</formula>
    </cfRule>
    <cfRule type="expression" dxfId="1033" priority="885">
      <formula>IF(D61=" ",TRUE)</formula>
    </cfRule>
  </conditionalFormatting>
  <conditionalFormatting sqref="D62">
    <cfRule type="expression" dxfId="1032" priority="868">
      <formula>IF(D62="Compliant",TRUE)</formula>
    </cfRule>
    <cfRule type="expression" dxfId="1031" priority="869">
      <formula>IF(D62="FE with work-a-round",TRUE)</formula>
    </cfRule>
    <cfRule type="expression" dxfId="1030" priority="870">
      <formula>IF(D62="Functionally Equivalent",TRUE)</formula>
    </cfRule>
    <cfRule type="expression" dxfId="1029" priority="871">
      <formula>IF(D62="Likely to become compliant",TRUE)</formula>
    </cfRule>
    <cfRule type="expression" dxfId="1028" priority="872">
      <formula>IF(D62="Partly Compliant",TRUE)</formula>
    </cfRule>
    <cfRule type="expression" dxfId="1027" priority="873">
      <formula>IF(D62="Unknown/Missing",TRUE)</formula>
    </cfRule>
    <cfRule type="expression" dxfId="1026" priority="874">
      <formula>IF(D62="Not Required/Applicable",TRUE)</formula>
    </cfRule>
    <cfRule type="expression" dxfId="1025" priority="875">
      <formula>IF(D62="Not Compliant",TRUE)</formula>
    </cfRule>
    <cfRule type="expression" dxfId="1024" priority="876">
      <formula>IF(D62=" ",TRUE)</formula>
    </cfRule>
  </conditionalFormatting>
  <conditionalFormatting sqref="D65:D67">
    <cfRule type="expression" dxfId="1023" priority="859">
      <formula>IF(D65="Compliant",TRUE)</formula>
    </cfRule>
    <cfRule type="expression" dxfId="1022" priority="860">
      <formula>IF(D65="FE with work-a-round",TRUE)</formula>
    </cfRule>
    <cfRule type="expression" dxfId="1021" priority="861">
      <formula>IF(D65="Functionally Equivalent",TRUE)</formula>
    </cfRule>
    <cfRule type="expression" dxfId="1020" priority="862">
      <formula>IF(D65="Likely to become compliant",TRUE)</formula>
    </cfRule>
    <cfRule type="expression" dxfId="1019" priority="863">
      <formula>IF(D65="Partly Compliant",TRUE)</formula>
    </cfRule>
    <cfRule type="expression" dxfId="1018" priority="864">
      <formula>IF(D65="Unknown/Missing",TRUE)</formula>
    </cfRule>
    <cfRule type="expression" dxfId="1017" priority="865">
      <formula>IF(D65="Not Required/Applicable",TRUE)</formula>
    </cfRule>
    <cfRule type="expression" dxfId="1016" priority="866">
      <formula>IF(D65="Not Compliant",TRUE)</formula>
    </cfRule>
    <cfRule type="expression" dxfId="1015" priority="867">
      <formula>IF(D65=" ",TRUE)</formula>
    </cfRule>
  </conditionalFormatting>
  <conditionalFormatting sqref="D69:D73 D75:D77">
    <cfRule type="expression" dxfId="1014" priority="850">
      <formula>IF(D69="Compliant",TRUE)</formula>
    </cfRule>
    <cfRule type="expression" dxfId="1013" priority="851">
      <formula>IF(D69="FE with work-a-round",TRUE)</formula>
    </cfRule>
    <cfRule type="expression" dxfId="1012" priority="852">
      <formula>IF(D69="Functionally Equivalent",TRUE)</formula>
    </cfRule>
    <cfRule type="expression" dxfId="1011" priority="853">
      <formula>IF(D69="Likely to become compliant",TRUE)</formula>
    </cfRule>
    <cfRule type="expression" dxfId="1010" priority="854">
      <formula>IF(D69="Partly Compliant",TRUE)</formula>
    </cfRule>
    <cfRule type="expression" dxfId="1009" priority="855">
      <formula>IF(D69="Unknown/Missing",TRUE)</formula>
    </cfRule>
    <cfRule type="expression" dxfId="1008" priority="856">
      <formula>IF(D69="Not Required/Applicable",TRUE)</formula>
    </cfRule>
    <cfRule type="expression" dxfId="1007" priority="857">
      <formula>IF(D69="Not Compliant",TRUE)</formula>
    </cfRule>
    <cfRule type="expression" dxfId="1006" priority="858">
      <formula>IF(D69=" ",TRUE)</formula>
    </cfRule>
  </conditionalFormatting>
  <conditionalFormatting sqref="D79:D85">
    <cfRule type="expression" dxfId="1005" priority="841">
      <formula>IF(D79="Compliant",TRUE)</formula>
    </cfRule>
    <cfRule type="expression" dxfId="1004" priority="842">
      <formula>IF(D79="FE with work-a-round",TRUE)</formula>
    </cfRule>
    <cfRule type="expression" dxfId="1003" priority="843">
      <formula>IF(D79="Functionally Equivalent",TRUE)</formula>
    </cfRule>
    <cfRule type="expression" dxfId="1002" priority="844">
      <formula>IF(D79="Likely to become compliant",TRUE)</formula>
    </cfRule>
    <cfRule type="expression" dxfId="1001" priority="845">
      <formula>IF(D79="Partly Compliant",TRUE)</formula>
    </cfRule>
    <cfRule type="expression" dxfId="1000" priority="846">
      <formula>IF(D79="Unknown/Missing",TRUE)</formula>
    </cfRule>
    <cfRule type="expression" dxfId="999" priority="847">
      <formula>IF(D79="Not Required/Applicable",TRUE)</formula>
    </cfRule>
    <cfRule type="expression" dxfId="998" priority="848">
      <formula>IF(D79="Not Compliant",TRUE)</formula>
    </cfRule>
    <cfRule type="expression" dxfId="997" priority="849">
      <formula>IF(D79=" ",TRUE)</formula>
    </cfRule>
  </conditionalFormatting>
  <conditionalFormatting sqref="D86">
    <cfRule type="expression" dxfId="996" priority="823">
      <formula>IF(D86="Compliant",TRUE)</formula>
    </cfRule>
    <cfRule type="expression" dxfId="995" priority="824">
      <formula>IF(D86="FE with work-a-round",TRUE)</formula>
    </cfRule>
    <cfRule type="expression" dxfId="994" priority="825">
      <formula>IF(D86="Functionally Equivalent",TRUE)</formula>
    </cfRule>
    <cfRule type="expression" dxfId="993" priority="826">
      <formula>IF(D86="Likely to become compliant",TRUE)</formula>
    </cfRule>
    <cfRule type="expression" dxfId="992" priority="827">
      <formula>IF(D86="Partly Compliant",TRUE)</formula>
    </cfRule>
    <cfRule type="expression" dxfId="991" priority="828">
      <formula>IF(D86="Unknown/Missing",TRUE)</formula>
    </cfRule>
    <cfRule type="expression" dxfId="990" priority="829">
      <formula>IF(D86="Not Required/Applicable",TRUE)</formula>
    </cfRule>
    <cfRule type="expression" dxfId="989" priority="830">
      <formula>IF(D86="Not Compliant",TRUE)</formula>
    </cfRule>
    <cfRule type="expression" dxfId="988" priority="831">
      <formula>IF(D86=" ",TRUE)</formula>
    </cfRule>
  </conditionalFormatting>
  <conditionalFormatting sqref="D88:D89">
    <cfRule type="expression" dxfId="987" priority="814">
      <formula>IF(D88="Compliant",TRUE)</formula>
    </cfRule>
    <cfRule type="expression" dxfId="986" priority="815">
      <formula>IF(D88="FE with work-a-round",TRUE)</formula>
    </cfRule>
    <cfRule type="expression" dxfId="985" priority="816">
      <formula>IF(D88="Functionally Equivalent",TRUE)</formula>
    </cfRule>
    <cfRule type="expression" dxfId="984" priority="817">
      <formula>IF(D88="Likely to become compliant",TRUE)</formula>
    </cfRule>
    <cfRule type="expression" dxfId="983" priority="818">
      <formula>IF(D88="Partly Compliant",TRUE)</formula>
    </cfRule>
    <cfRule type="expression" dxfId="982" priority="819">
      <formula>IF(D88="Unknown/Missing",TRUE)</formula>
    </cfRule>
    <cfRule type="expression" dxfId="981" priority="820">
      <formula>IF(D88="Not Required/Applicable",TRUE)</formula>
    </cfRule>
    <cfRule type="expression" dxfId="980" priority="821">
      <formula>IF(D88="Not Compliant",TRUE)</formula>
    </cfRule>
    <cfRule type="expression" dxfId="979" priority="822">
      <formula>IF(D88=" ",TRUE)</formula>
    </cfRule>
  </conditionalFormatting>
  <conditionalFormatting sqref="D91:D98">
    <cfRule type="expression" dxfId="978" priority="805">
      <formula>IF(D91="Compliant",TRUE)</formula>
    </cfRule>
    <cfRule type="expression" dxfId="977" priority="806">
      <formula>IF(D91="FE with work-a-round",TRUE)</formula>
    </cfRule>
    <cfRule type="expression" dxfId="976" priority="807">
      <formula>IF(D91="Functionally Equivalent",TRUE)</formula>
    </cfRule>
    <cfRule type="expression" dxfId="975" priority="808">
      <formula>IF(D91="Likely to become compliant",TRUE)</formula>
    </cfRule>
    <cfRule type="expression" dxfId="974" priority="809">
      <formula>IF(D91="Partly Compliant",TRUE)</formula>
    </cfRule>
    <cfRule type="expression" dxfId="973" priority="810">
      <formula>IF(D91="Unknown/Missing",TRUE)</formula>
    </cfRule>
    <cfRule type="expression" dxfId="972" priority="811">
      <formula>IF(D91="Not Required/Applicable",TRUE)</formula>
    </cfRule>
    <cfRule type="expression" dxfId="971" priority="812">
      <formula>IF(D91="Not Compliant",TRUE)</formula>
    </cfRule>
    <cfRule type="expression" dxfId="970" priority="813">
      <formula>IF(D91=" ",TRUE)</formula>
    </cfRule>
  </conditionalFormatting>
  <conditionalFormatting sqref="D100:D101">
    <cfRule type="expression" dxfId="969" priority="796">
      <formula>IF(D100="Compliant",TRUE)</formula>
    </cfRule>
    <cfRule type="expression" dxfId="968" priority="797">
      <formula>IF(D100="FE with work-a-round",TRUE)</formula>
    </cfRule>
    <cfRule type="expression" dxfId="967" priority="798">
      <formula>IF(D100="Functionally Equivalent",TRUE)</formula>
    </cfRule>
    <cfRule type="expression" dxfId="966" priority="799">
      <formula>IF(D100="Likely to become compliant",TRUE)</formula>
    </cfRule>
    <cfRule type="expression" dxfId="965" priority="800">
      <formula>IF(D100="Partly Compliant",TRUE)</formula>
    </cfRule>
    <cfRule type="expression" dxfId="964" priority="801">
      <formula>IF(D100="Unknown/Missing",TRUE)</formula>
    </cfRule>
    <cfRule type="expression" dxfId="963" priority="802">
      <formula>IF(D100="Not Required/Applicable",TRUE)</formula>
    </cfRule>
    <cfRule type="expression" dxfId="962" priority="803">
      <formula>IF(D100="Not Compliant",TRUE)</formula>
    </cfRule>
    <cfRule type="expression" dxfId="961" priority="804">
      <formula>IF(D100=" ",TRUE)</formula>
    </cfRule>
  </conditionalFormatting>
  <conditionalFormatting sqref="D103:D110">
    <cfRule type="expression" dxfId="960" priority="787">
      <formula>IF(D103="Compliant",TRUE)</formula>
    </cfRule>
    <cfRule type="expression" dxfId="959" priority="788">
      <formula>IF(D103="FE with work-a-round",TRUE)</formula>
    </cfRule>
    <cfRule type="expression" dxfId="958" priority="789">
      <formula>IF(D103="Functionally Equivalent",TRUE)</formula>
    </cfRule>
    <cfRule type="expression" dxfId="957" priority="790">
      <formula>IF(D103="Likely to become compliant",TRUE)</formula>
    </cfRule>
    <cfRule type="expression" dxfId="956" priority="791">
      <formula>IF(D103="Partly Compliant",TRUE)</formula>
    </cfRule>
    <cfRule type="expression" dxfId="955" priority="792">
      <formula>IF(D103="Unknown/Missing",TRUE)</formula>
    </cfRule>
    <cfRule type="expression" dxfId="954" priority="793">
      <formula>IF(D103="Not Required/Applicable",TRUE)</formula>
    </cfRule>
    <cfRule type="expression" dxfId="953" priority="794">
      <formula>IF(D103="Not Compliant",TRUE)</formula>
    </cfRule>
    <cfRule type="expression" dxfId="952" priority="795">
      <formula>IF(D103=" ",TRUE)</formula>
    </cfRule>
  </conditionalFormatting>
  <conditionalFormatting sqref="D112:D113">
    <cfRule type="expression" dxfId="951" priority="778">
      <formula>IF(D112="Compliant",TRUE)</formula>
    </cfRule>
    <cfRule type="expression" dxfId="950" priority="779">
      <formula>IF(D112="FE with work-a-round",TRUE)</formula>
    </cfRule>
    <cfRule type="expression" dxfId="949" priority="780">
      <formula>IF(D112="Functionally Equivalent",TRUE)</formula>
    </cfRule>
    <cfRule type="expression" dxfId="948" priority="781">
      <formula>IF(D112="Likely to become compliant",TRUE)</formula>
    </cfRule>
    <cfRule type="expression" dxfId="947" priority="782">
      <formula>IF(D112="Partly Compliant",TRUE)</formula>
    </cfRule>
    <cfRule type="expression" dxfId="946" priority="783">
      <formula>IF(D112="Unknown/Missing",TRUE)</formula>
    </cfRule>
    <cfRule type="expression" dxfId="945" priority="784">
      <formula>IF(D112="Not Required/Applicable",TRUE)</formula>
    </cfRule>
    <cfRule type="expression" dxfId="944" priority="785">
      <formula>IF(D112="Not Compliant",TRUE)</formula>
    </cfRule>
    <cfRule type="expression" dxfId="943" priority="786">
      <formula>IF(D112=" ",TRUE)</formula>
    </cfRule>
  </conditionalFormatting>
  <conditionalFormatting sqref="D59">
    <cfRule type="expression" dxfId="942" priority="777">
      <formula>IF($E59,TRUE)</formula>
    </cfRule>
  </conditionalFormatting>
  <conditionalFormatting sqref="D60">
    <cfRule type="expression" dxfId="941" priority="776">
      <formula>IF($E60,TRUE)</formula>
    </cfRule>
  </conditionalFormatting>
  <conditionalFormatting sqref="D63">
    <cfRule type="expression" dxfId="940" priority="775">
      <formula>IF($E63,TRUE)</formula>
    </cfRule>
  </conditionalFormatting>
  <conditionalFormatting sqref="D87">
    <cfRule type="expression" dxfId="939" priority="774">
      <formula>IF($E87,TRUE)</formula>
    </cfRule>
  </conditionalFormatting>
  <conditionalFormatting sqref="D102">
    <cfRule type="expression" dxfId="938" priority="773">
      <formula>IF($E102,TRUE)</formula>
    </cfRule>
  </conditionalFormatting>
  <conditionalFormatting sqref="B60">
    <cfRule type="expression" dxfId="937" priority="771">
      <formula>IF($E60,TRUE)</formula>
    </cfRule>
  </conditionalFormatting>
  <conditionalFormatting sqref="B63">
    <cfRule type="expression" dxfId="936" priority="770">
      <formula>IF($E63,TRUE)</formula>
    </cfRule>
  </conditionalFormatting>
  <conditionalFormatting sqref="B64">
    <cfRule type="expression" dxfId="935" priority="769">
      <formula>IF($E64,TRUE)</formula>
    </cfRule>
  </conditionalFormatting>
  <conditionalFormatting sqref="B68">
    <cfRule type="expression" dxfId="934" priority="768">
      <formula>IF($E68,TRUE)</formula>
    </cfRule>
  </conditionalFormatting>
  <conditionalFormatting sqref="B74">
    <cfRule type="expression" dxfId="933" priority="767">
      <formula>IF($E74,TRUE)</formula>
    </cfRule>
  </conditionalFormatting>
  <conditionalFormatting sqref="B78">
    <cfRule type="expression" dxfId="932" priority="766">
      <formula>IF($E78,TRUE)</formula>
    </cfRule>
  </conditionalFormatting>
  <conditionalFormatting sqref="B87">
    <cfRule type="expression" dxfId="931" priority="765">
      <formula>IF($E87,TRUE)</formula>
    </cfRule>
  </conditionalFormatting>
  <conditionalFormatting sqref="B90">
    <cfRule type="expression" dxfId="930" priority="764">
      <formula>IF($E90,TRUE)</formula>
    </cfRule>
  </conditionalFormatting>
  <conditionalFormatting sqref="B102">
    <cfRule type="expression" dxfId="929" priority="762">
      <formula>IF($E102,TRUE)</formula>
    </cfRule>
  </conditionalFormatting>
  <conditionalFormatting sqref="B111">
    <cfRule type="expression" dxfId="928" priority="761">
      <formula>IF($E111,TRUE)</formula>
    </cfRule>
  </conditionalFormatting>
  <conditionalFormatting sqref="D74">
    <cfRule type="expression" dxfId="927" priority="760">
      <formula>IF($E74,TRUE)</formula>
    </cfRule>
  </conditionalFormatting>
  <conditionalFormatting sqref="B65:B67">
    <cfRule type="expression" dxfId="926" priority="757">
      <formula>IF(AND($E65=FALSE,OR($I65&lt;&gt;"",$L65&lt;&gt;"")),TRUE,FALSE)</formula>
    </cfRule>
    <cfRule type="expression" dxfId="925" priority="758">
      <formula>IF(AND($E65=TRUE,OR($I65="",$J65="")),TRUE,FALSE)</formula>
    </cfRule>
    <cfRule type="expression" dxfId="924" priority="759">
      <formula>IF(AND($E65=TRUE,OR($I65&lt;&gt;"",$L65="")),TRUE,FALSE)</formula>
    </cfRule>
  </conditionalFormatting>
  <conditionalFormatting sqref="B69:B73">
    <cfRule type="expression" dxfId="923" priority="754">
      <formula>IF(AND($E69=FALSE,OR($I69&lt;&gt;"",$L69&lt;&gt;"")),TRUE,FALSE)</formula>
    </cfRule>
    <cfRule type="expression" dxfId="922" priority="755">
      <formula>IF(AND($E69=TRUE,OR($I69="",$J69="")),TRUE,FALSE)</formula>
    </cfRule>
    <cfRule type="expression" dxfId="921" priority="756">
      <formula>IF(AND($E69=TRUE,OR($I69&lt;&gt;"",$L69="")),TRUE,FALSE)</formula>
    </cfRule>
  </conditionalFormatting>
  <conditionalFormatting sqref="B75:B77">
    <cfRule type="expression" dxfId="920" priority="751">
      <formula>IF(AND($E75=FALSE,OR($I75&lt;&gt;"",$L75&lt;&gt;"")),TRUE,FALSE)</formula>
    </cfRule>
    <cfRule type="expression" dxfId="919" priority="752">
      <formula>IF(AND($E75=TRUE,OR($I75="",$J75="")),TRUE,FALSE)</formula>
    </cfRule>
    <cfRule type="expression" dxfId="918" priority="753">
      <formula>IF(AND($E75=TRUE,OR($I75&lt;&gt;"",$L75="")),TRUE,FALSE)</formula>
    </cfRule>
  </conditionalFormatting>
  <conditionalFormatting sqref="B79:B83">
    <cfRule type="expression" dxfId="917" priority="748">
      <formula>IF(AND($E79=FALSE,OR($I79&lt;&gt;"",$L79&lt;&gt;"")),TRUE,FALSE)</formula>
    </cfRule>
    <cfRule type="expression" dxfId="916" priority="749">
      <formula>IF(AND($E79=TRUE,OR($I79="",$J79="")),TRUE,FALSE)</formula>
    </cfRule>
    <cfRule type="expression" dxfId="915" priority="750">
      <formula>IF(AND($E79=TRUE,OR($I79&lt;&gt;"",$L79="")),TRUE,FALSE)</formula>
    </cfRule>
  </conditionalFormatting>
  <conditionalFormatting sqref="B88:B89">
    <cfRule type="expression" dxfId="914" priority="745">
      <formula>IF(AND($E88=FALSE,OR($I88&lt;&gt;"",$L88&lt;&gt;"")),TRUE,FALSE)</formula>
    </cfRule>
    <cfRule type="expression" dxfId="913" priority="746">
      <formula>IF(AND($E88=TRUE,OR($I88="",$J88="")),TRUE,FALSE)</formula>
    </cfRule>
    <cfRule type="expression" dxfId="912" priority="747">
      <formula>IF(AND($E88=TRUE,OR($I88&lt;&gt;"",$L88="")),TRUE,FALSE)</formula>
    </cfRule>
  </conditionalFormatting>
  <conditionalFormatting sqref="B84:B86">
    <cfRule type="expression" dxfId="911" priority="742">
      <formula>IF(AND($E84=FALSE,OR($I84&lt;&gt;"",$L84&lt;&gt;"")),TRUE,FALSE)</formula>
    </cfRule>
    <cfRule type="expression" dxfId="910" priority="743">
      <formula>IF(AND($E84=TRUE,OR($I84="",$J84="")),TRUE,FALSE)</formula>
    </cfRule>
    <cfRule type="expression" dxfId="909" priority="744">
      <formula>IF(AND($E84=TRUE,OR($I84&lt;&gt;"",$L84="")),TRUE,FALSE)</formula>
    </cfRule>
  </conditionalFormatting>
  <conditionalFormatting sqref="B103:B108">
    <cfRule type="expression" dxfId="908" priority="739">
      <formula>IF(AND($E103=FALSE,OR($I103&lt;&gt;"",$L103&lt;&gt;"")),TRUE,FALSE)</formula>
    </cfRule>
    <cfRule type="expression" dxfId="907" priority="740">
      <formula>IF(AND($E103=TRUE,OR($I103="",$J103="")),TRUE,FALSE)</formula>
    </cfRule>
    <cfRule type="expression" dxfId="906" priority="741">
      <formula>IF(AND($E103=TRUE,OR($I103&lt;&gt;"",$L103="")),TRUE,FALSE)</formula>
    </cfRule>
  </conditionalFormatting>
  <conditionalFormatting sqref="B112:B113">
    <cfRule type="expression" dxfId="905" priority="736">
      <formula>IF(AND($E112=FALSE,OR($I112&lt;&gt;"",$L112&lt;&gt;"")),TRUE,FALSE)</formula>
    </cfRule>
    <cfRule type="expression" dxfId="904" priority="737">
      <formula>IF(AND($E112=TRUE,OR($I112="",$J112="")),TRUE,FALSE)</formula>
    </cfRule>
    <cfRule type="expression" dxfId="903" priority="738">
      <formula>IF(AND($E112=TRUE,OR($I112&lt;&gt;"",$L112="")),TRUE,FALSE)</formula>
    </cfRule>
  </conditionalFormatting>
  <conditionalFormatting sqref="B109:B110">
    <cfRule type="expression" dxfId="902" priority="733">
      <formula>IF(AND($E109=FALSE,OR($I109&lt;&gt;"",$L109&lt;&gt;"")),TRUE,FALSE)</formula>
    </cfRule>
    <cfRule type="expression" dxfId="901" priority="734">
      <formula>IF(AND($E109=TRUE,OR($I109="",$J109="")),TRUE,FALSE)</formula>
    </cfRule>
    <cfRule type="expression" dxfId="900" priority="735">
      <formula>IF(AND($E109=TRUE,OR($I109&lt;&gt;"",$L109="")),TRUE,FALSE)</formula>
    </cfRule>
  </conditionalFormatting>
  <conditionalFormatting sqref="B20:B21">
    <cfRule type="expression" dxfId="899" priority="1148">
      <formula>IF(AND($E$18=TRUE,$E20=FALSE),TRUE,FALSE)</formula>
    </cfRule>
  </conditionalFormatting>
  <conditionalFormatting sqref="N54">
    <cfRule type="expression" dxfId="898" priority="730">
      <formula>IF(O54=FALSE,TRUE,FALSE)</formula>
    </cfRule>
    <cfRule type="expression" dxfId="897" priority="731">
      <formula>IF(O54=TRUE,TRUE,FALSE)</formula>
    </cfRule>
  </conditionalFormatting>
  <conditionalFormatting sqref="N59">
    <cfRule type="expression" dxfId="896" priority="724">
      <formula>IF(O59=FALSE,TRUE,FALSE)</formula>
    </cfRule>
    <cfRule type="expression" dxfId="895" priority="725">
      <formula>IF(O59=TRUE,TRUE,FALSE)</formula>
    </cfRule>
  </conditionalFormatting>
  <conditionalFormatting sqref="N63">
    <cfRule type="expression" dxfId="894" priority="718">
      <formula>IF(O63=FALSE,TRUE,FALSE)</formula>
    </cfRule>
    <cfRule type="expression" dxfId="893" priority="719">
      <formula>IF(O63=TRUE,TRUE,FALSE)</formula>
    </cfRule>
  </conditionalFormatting>
  <conditionalFormatting sqref="N78">
    <cfRule type="expression" dxfId="892" priority="712">
      <formula>IF(O78=FALSE,TRUE,FALSE)</formula>
    </cfRule>
    <cfRule type="expression" dxfId="891" priority="713">
      <formula>IF(O78=TRUE,TRUE,FALSE)</formula>
    </cfRule>
  </conditionalFormatting>
  <conditionalFormatting sqref="N87">
    <cfRule type="expression" dxfId="890" priority="706">
      <formula>IF(O87=FALSE,TRUE,FALSE)</formula>
    </cfRule>
    <cfRule type="expression" dxfId="889" priority="707">
      <formula>IF(O87=TRUE,TRUE,FALSE)</formula>
    </cfRule>
  </conditionalFormatting>
  <conditionalFormatting sqref="N90">
    <cfRule type="expression" dxfId="888" priority="700">
      <formula>IF(O90=FALSE,TRUE,FALSE)</formula>
    </cfRule>
    <cfRule type="expression" dxfId="887" priority="701">
      <formula>IF(O90=TRUE,TRUE,FALSE)</formula>
    </cfRule>
  </conditionalFormatting>
  <conditionalFormatting sqref="N99">
    <cfRule type="expression" dxfId="886" priority="694">
      <formula>IF(O99=FALSE,TRUE,FALSE)</formula>
    </cfRule>
    <cfRule type="expression" dxfId="885" priority="695">
      <formula>IF(O99=TRUE,TRUE,FALSE)</formula>
    </cfRule>
  </conditionalFormatting>
  <conditionalFormatting sqref="N102">
    <cfRule type="expression" dxfId="884" priority="688">
      <formula>IF(O102=FALSE,TRUE,FALSE)</formula>
    </cfRule>
    <cfRule type="expression" dxfId="883" priority="689">
      <formula>IF(O102=TRUE,TRUE,FALSE)</formula>
    </cfRule>
  </conditionalFormatting>
  <conditionalFormatting sqref="N111">
    <cfRule type="expression" dxfId="882" priority="682">
      <formula>IF(O111=FALSE,TRUE,FALSE)</formula>
    </cfRule>
    <cfRule type="expression" dxfId="881" priority="683">
      <formula>IF(O111=TRUE,TRUE,FALSE)</formula>
    </cfRule>
  </conditionalFormatting>
  <conditionalFormatting sqref="N60:N62">
    <cfRule type="expression" dxfId="880" priority="673">
      <formula>IF($N60="Compliant",TRUE)</formula>
    </cfRule>
    <cfRule type="expression" dxfId="879" priority="674">
      <formula>IF($N60="FE with work-a-round",TRUE)</formula>
    </cfRule>
    <cfRule type="expression" dxfId="878" priority="675">
      <formula>IF($N60="Functionally Equivalent",TRUE)</formula>
    </cfRule>
    <cfRule type="expression" dxfId="877" priority="676">
      <formula>IF($N60="Likely to become compliant",TRUE)</formula>
    </cfRule>
    <cfRule type="expression" dxfId="876" priority="677">
      <formula>IF($N60="Partly Compliant",TRUE)</formula>
    </cfRule>
  </conditionalFormatting>
  <conditionalFormatting sqref="N64">
    <cfRule type="expression" dxfId="875" priority="668">
      <formula>IF($N64="Compliant",TRUE)</formula>
    </cfRule>
    <cfRule type="expression" dxfId="874" priority="669">
      <formula>IF($N64="FE with work-a-round",TRUE)</formula>
    </cfRule>
    <cfRule type="expression" dxfId="873" priority="670">
      <formula>IF($N64="Functionally Equivalent",TRUE)</formula>
    </cfRule>
    <cfRule type="expression" dxfId="872" priority="671">
      <formula>IF($N64="Likely to become compliant",TRUE)</formula>
    </cfRule>
    <cfRule type="expression" dxfId="871" priority="672">
      <formula>IF($N64="Partly Compliant",TRUE)</formula>
    </cfRule>
  </conditionalFormatting>
  <conditionalFormatting sqref="N68">
    <cfRule type="expression" dxfId="870" priority="663">
      <formula>IF($N68="Compliant",TRUE)</formula>
    </cfRule>
    <cfRule type="expression" dxfId="869" priority="664">
      <formula>IF($N68="FE with work-a-round",TRUE)</formula>
    </cfRule>
    <cfRule type="expression" dxfId="868" priority="665">
      <formula>IF($N68="Functionally Equivalent",TRUE)</formula>
    </cfRule>
    <cfRule type="expression" dxfId="867" priority="666">
      <formula>IF($N68="Likely to become compliant",TRUE)</formula>
    </cfRule>
    <cfRule type="expression" dxfId="866" priority="667">
      <formula>IF($N68="Partly Compliant",TRUE)</formula>
    </cfRule>
  </conditionalFormatting>
  <conditionalFormatting sqref="N74">
    <cfRule type="expression" dxfId="865" priority="658">
      <formula>IF($N74="Compliant",TRUE)</formula>
    </cfRule>
    <cfRule type="expression" dxfId="864" priority="659">
      <formula>IF($N74="FE with work-a-round",TRUE)</formula>
    </cfRule>
    <cfRule type="expression" dxfId="863" priority="660">
      <formula>IF($N74="Functionally Equivalent",TRUE)</formula>
    </cfRule>
    <cfRule type="expression" dxfId="862" priority="661">
      <formula>IF($N74="Likely to become compliant",TRUE)</formula>
    </cfRule>
    <cfRule type="expression" dxfId="861" priority="662">
      <formula>IF($N74="Partly Compliant",TRUE)</formula>
    </cfRule>
  </conditionalFormatting>
  <conditionalFormatting sqref="N79">
    <cfRule type="expression" dxfId="860" priority="653">
      <formula>IF($N79="Compliant",TRUE)</formula>
    </cfRule>
    <cfRule type="expression" dxfId="859" priority="654">
      <formula>IF($N79="FE with work-a-round",TRUE)</formula>
    </cfRule>
    <cfRule type="expression" dxfId="858" priority="655">
      <formula>IF($N79="Functionally Equivalent",TRUE)</formula>
    </cfRule>
    <cfRule type="expression" dxfId="857" priority="656">
      <formula>IF($N79="Likely to become compliant",TRUE)</formula>
    </cfRule>
    <cfRule type="expression" dxfId="856" priority="657">
      <formula>IF($N79="Partly Compliant",TRUE)</formula>
    </cfRule>
  </conditionalFormatting>
  <conditionalFormatting sqref="N91">
    <cfRule type="expression" dxfId="855" priority="648">
      <formula>IF($N91="Compliant",TRUE)</formula>
    </cfRule>
    <cfRule type="expression" dxfId="854" priority="649">
      <formula>IF($N91="FE with work-a-round",TRUE)</formula>
    </cfRule>
    <cfRule type="expression" dxfId="853" priority="650">
      <formula>IF($N91="Functionally Equivalent",TRUE)</formula>
    </cfRule>
    <cfRule type="expression" dxfId="852" priority="651">
      <formula>IF($N91="Likely to become compliant",TRUE)</formula>
    </cfRule>
    <cfRule type="expression" dxfId="851" priority="652">
      <formula>IF($N91="Partly Compliant",TRUE)</formula>
    </cfRule>
  </conditionalFormatting>
  <conditionalFormatting sqref="N100">
    <cfRule type="expression" dxfId="850" priority="643">
      <formula>IF($N100="Compliant",TRUE)</formula>
    </cfRule>
    <cfRule type="expression" dxfId="849" priority="644">
      <formula>IF($N100="FE with work-a-round",TRUE)</formula>
    </cfRule>
    <cfRule type="expression" dxfId="848" priority="645">
      <formula>IF($N100="Functionally Equivalent",TRUE)</formula>
    </cfRule>
    <cfRule type="expression" dxfId="847" priority="646">
      <formula>IF($N100="Likely to become compliant",TRUE)</formula>
    </cfRule>
    <cfRule type="expression" dxfId="846" priority="647">
      <formula>IF($N100="Partly Compliant",TRUE)</formula>
    </cfRule>
  </conditionalFormatting>
  <conditionalFormatting sqref="N103">
    <cfRule type="expression" dxfId="845" priority="638">
      <formula>IF($N103="Compliant",TRUE)</formula>
    </cfRule>
    <cfRule type="expression" dxfId="844" priority="639">
      <formula>IF($N103="FE with work-a-round",TRUE)</formula>
    </cfRule>
    <cfRule type="expression" dxfId="843" priority="640">
      <formula>IF($N103="Functionally Equivalent",TRUE)</formula>
    </cfRule>
    <cfRule type="expression" dxfId="842" priority="641">
      <formula>IF($N103="Likely to become compliant",TRUE)</formula>
    </cfRule>
    <cfRule type="expression" dxfId="841" priority="642">
      <formula>IF($N103="Partly Compliant",TRUE)</formula>
    </cfRule>
  </conditionalFormatting>
  <conditionalFormatting sqref="N110">
    <cfRule type="expression" dxfId="840" priority="633">
      <formula>IF($N110="Compliant",TRUE)</formula>
    </cfRule>
    <cfRule type="expression" dxfId="839" priority="634">
      <formula>IF($N110="FE with work-a-round",TRUE)</formula>
    </cfRule>
    <cfRule type="expression" dxfId="838" priority="635">
      <formula>IF($N110="Functionally Equivalent",TRUE)</formula>
    </cfRule>
    <cfRule type="expression" dxfId="837" priority="636">
      <formula>IF($N110="Likely to become compliant",TRUE)</formula>
    </cfRule>
    <cfRule type="expression" dxfId="836" priority="637">
      <formula>IF($N110="Partly Compliant",TRUE)</formula>
    </cfRule>
  </conditionalFormatting>
  <conditionalFormatting sqref="N112">
    <cfRule type="expression" dxfId="835" priority="628">
      <formula>IF($N112="Compliant",TRUE)</formula>
    </cfRule>
    <cfRule type="expression" dxfId="834" priority="629">
      <formula>IF($N112="FE with work-a-round",TRUE)</formula>
    </cfRule>
    <cfRule type="expression" dxfId="833" priority="630">
      <formula>IF($N112="Functionally Equivalent",TRUE)</formula>
    </cfRule>
    <cfRule type="expression" dxfId="832" priority="631">
      <formula>IF($N112="Likely to become compliant",TRUE)</formula>
    </cfRule>
    <cfRule type="expression" dxfId="831" priority="632">
      <formula>IF($N112="Partly Compliant",TRUE)</formula>
    </cfRule>
  </conditionalFormatting>
  <conditionalFormatting sqref="N105">
    <cfRule type="expression" dxfId="830" priority="623">
      <formula>IF($N105="Compliant",TRUE)</formula>
    </cfRule>
    <cfRule type="expression" dxfId="829" priority="624">
      <formula>IF($N105="FE with work-a-round",TRUE)</formula>
    </cfRule>
    <cfRule type="expression" dxfId="828" priority="625">
      <formula>IF($N105="Functionally Equivalent",TRUE)</formula>
    </cfRule>
    <cfRule type="expression" dxfId="827" priority="626">
      <formula>IF($N105="Likely to become compliant",TRUE)</formula>
    </cfRule>
    <cfRule type="expression" dxfId="826" priority="627">
      <formula>IF($N105="Partly Compliant",TRUE)</formula>
    </cfRule>
  </conditionalFormatting>
  <conditionalFormatting sqref="N106">
    <cfRule type="expression" dxfId="825" priority="618">
      <formula>IF($N106="Compliant",TRUE)</formula>
    </cfRule>
    <cfRule type="expression" dxfId="824" priority="619">
      <formula>IF($N106="FE with work-a-round",TRUE)</formula>
    </cfRule>
    <cfRule type="expression" dxfId="823" priority="620">
      <formula>IF($N106="Functionally Equivalent",TRUE)</formula>
    </cfRule>
    <cfRule type="expression" dxfId="822" priority="621">
      <formula>IF($N106="Likely to become compliant",TRUE)</formula>
    </cfRule>
    <cfRule type="expression" dxfId="821" priority="622">
      <formula>IF($N106="Partly Compliant",TRUE)</formula>
    </cfRule>
  </conditionalFormatting>
  <conditionalFormatting sqref="N93">
    <cfRule type="expression" dxfId="820" priority="613">
      <formula>IF($N93="Compliant",TRUE)</formula>
    </cfRule>
    <cfRule type="expression" dxfId="819" priority="614">
      <formula>IF($N93="FE with work-a-round",TRUE)</formula>
    </cfRule>
    <cfRule type="expression" dxfId="818" priority="615">
      <formula>IF($N93="Functionally Equivalent",TRUE)</formula>
    </cfRule>
    <cfRule type="expression" dxfId="817" priority="616">
      <formula>IF($N93="Likely to become compliant",TRUE)</formula>
    </cfRule>
    <cfRule type="expression" dxfId="816" priority="617">
      <formula>IF($N93="Partly Compliant",TRUE)</formula>
    </cfRule>
  </conditionalFormatting>
  <conditionalFormatting sqref="N94">
    <cfRule type="expression" dxfId="815" priority="608">
      <formula>IF($N94="Compliant",TRUE)</formula>
    </cfRule>
    <cfRule type="expression" dxfId="814" priority="609">
      <formula>IF($N94="FE with work-a-round",TRUE)</formula>
    </cfRule>
    <cfRule type="expression" dxfId="813" priority="610">
      <formula>IF($N94="Functionally Equivalent",TRUE)</formula>
    </cfRule>
    <cfRule type="expression" dxfId="812" priority="611">
      <formula>IF($N94="Likely to become compliant",TRUE)</formula>
    </cfRule>
    <cfRule type="expression" dxfId="811" priority="612">
      <formula>IF($N94="Partly Compliant",TRUE)</formula>
    </cfRule>
  </conditionalFormatting>
  <conditionalFormatting sqref="N95">
    <cfRule type="expression" dxfId="810" priority="603">
      <formula>IF($N95="Compliant",TRUE)</formula>
    </cfRule>
    <cfRule type="expression" dxfId="809" priority="604">
      <formula>IF($N95="FE with work-a-round",TRUE)</formula>
    </cfRule>
    <cfRule type="expression" dxfId="808" priority="605">
      <formula>IF($N95="Functionally Equivalent",TRUE)</formula>
    </cfRule>
    <cfRule type="expression" dxfId="807" priority="606">
      <formula>IF($N95="Likely to become compliant",TRUE)</formula>
    </cfRule>
    <cfRule type="expression" dxfId="806" priority="607">
      <formula>IF($N95="Partly Compliant",TRUE)</formula>
    </cfRule>
  </conditionalFormatting>
  <conditionalFormatting sqref="N96">
    <cfRule type="expression" dxfId="805" priority="598">
      <formula>IF($N96="Compliant",TRUE)</formula>
    </cfRule>
    <cfRule type="expression" dxfId="804" priority="599">
      <formula>IF($N96="FE with work-a-round",TRUE)</formula>
    </cfRule>
    <cfRule type="expression" dxfId="803" priority="600">
      <formula>IF($N96="Functionally Equivalent",TRUE)</formula>
    </cfRule>
    <cfRule type="expression" dxfId="802" priority="601">
      <formula>IF($N96="Likely to become compliant",TRUE)</formula>
    </cfRule>
    <cfRule type="expression" dxfId="801" priority="602">
      <formula>IF($N96="Partly Compliant",TRUE)</formula>
    </cfRule>
  </conditionalFormatting>
  <conditionalFormatting sqref="N97">
    <cfRule type="expression" dxfId="800" priority="593">
      <formula>IF($N97="Compliant",TRUE)</formula>
    </cfRule>
    <cfRule type="expression" dxfId="799" priority="594">
      <formula>IF($N97="FE with work-a-round",TRUE)</formula>
    </cfRule>
    <cfRule type="expression" dxfId="798" priority="595">
      <formula>IF($N97="Functionally Equivalent",TRUE)</formula>
    </cfRule>
    <cfRule type="expression" dxfId="797" priority="596">
      <formula>IF($N97="Likely to become compliant",TRUE)</formula>
    </cfRule>
    <cfRule type="expression" dxfId="796" priority="597">
      <formula>IF($N97="Partly Compliant",TRUE)</formula>
    </cfRule>
  </conditionalFormatting>
  <conditionalFormatting sqref="N98">
    <cfRule type="expression" dxfId="795" priority="588">
      <formula>IF($N98="Compliant",TRUE)</formula>
    </cfRule>
    <cfRule type="expression" dxfId="794" priority="589">
      <formula>IF($N98="FE with work-a-round",TRUE)</formula>
    </cfRule>
    <cfRule type="expression" dxfId="793" priority="590">
      <formula>IF($N98="Functionally Equivalent",TRUE)</formula>
    </cfRule>
    <cfRule type="expression" dxfId="792" priority="591">
      <formula>IF($N98="Likely to become compliant",TRUE)</formula>
    </cfRule>
    <cfRule type="expression" dxfId="791" priority="592">
      <formula>IF($N98="Partly Compliant",TRUE)</formula>
    </cfRule>
  </conditionalFormatting>
  <conditionalFormatting sqref="N88">
    <cfRule type="expression" dxfId="790" priority="583">
      <formula>IF($N88="Compliant",TRUE)</formula>
    </cfRule>
    <cfRule type="expression" dxfId="789" priority="584">
      <formula>IF($N88="FE with work-a-round",TRUE)</formula>
    </cfRule>
    <cfRule type="expression" dxfId="788" priority="585">
      <formula>IF($N88="Functionally Equivalent",TRUE)</formula>
    </cfRule>
    <cfRule type="expression" dxfId="787" priority="586">
      <formula>IF($N88="Likely to become compliant",TRUE)</formula>
    </cfRule>
    <cfRule type="expression" dxfId="786" priority="587">
      <formula>IF($N88="Partly Compliant",TRUE)</formula>
    </cfRule>
  </conditionalFormatting>
  <conditionalFormatting sqref="N80">
    <cfRule type="expression" dxfId="785" priority="578">
      <formula>IF($N80="Compliant",TRUE)</formula>
    </cfRule>
    <cfRule type="expression" dxfId="784" priority="579">
      <formula>IF($N80="FE with work-a-round",TRUE)</formula>
    </cfRule>
    <cfRule type="expression" dxfId="783" priority="580">
      <formula>IF($N80="Functionally Equivalent",TRUE)</formula>
    </cfRule>
    <cfRule type="expression" dxfId="782" priority="581">
      <formula>IF($N80="Likely to become compliant",TRUE)</formula>
    </cfRule>
    <cfRule type="expression" dxfId="781" priority="582">
      <formula>IF($N80="Partly Compliant",TRUE)</formula>
    </cfRule>
  </conditionalFormatting>
  <conditionalFormatting sqref="N81">
    <cfRule type="expression" dxfId="780" priority="573">
      <formula>IF($N81="Compliant",TRUE)</formula>
    </cfRule>
    <cfRule type="expression" dxfId="779" priority="574">
      <formula>IF($N81="FE with work-a-round",TRUE)</formula>
    </cfRule>
    <cfRule type="expression" dxfId="778" priority="575">
      <formula>IF($N81="Functionally Equivalent",TRUE)</formula>
    </cfRule>
    <cfRule type="expression" dxfId="777" priority="576">
      <formula>IF($N81="Likely to become compliant",TRUE)</formula>
    </cfRule>
    <cfRule type="expression" dxfId="776" priority="577">
      <formula>IF($N81="Partly Compliant",TRUE)</formula>
    </cfRule>
  </conditionalFormatting>
  <conditionalFormatting sqref="N82">
    <cfRule type="expression" dxfId="775" priority="568">
      <formula>IF($N82="Compliant",TRUE)</formula>
    </cfRule>
    <cfRule type="expression" dxfId="774" priority="569">
      <formula>IF($N82="FE with work-a-round",TRUE)</formula>
    </cfRule>
    <cfRule type="expression" dxfId="773" priority="570">
      <formula>IF($N82="Functionally Equivalent",TRUE)</formula>
    </cfRule>
    <cfRule type="expression" dxfId="772" priority="571">
      <formula>IF($N82="Likely to become compliant",TRUE)</formula>
    </cfRule>
    <cfRule type="expression" dxfId="771" priority="572">
      <formula>IF($N82="Partly Compliant",TRUE)</formula>
    </cfRule>
  </conditionalFormatting>
  <conditionalFormatting sqref="N83">
    <cfRule type="expression" dxfId="770" priority="563">
      <formula>IF($N83="Compliant",TRUE)</formula>
    </cfRule>
    <cfRule type="expression" dxfId="769" priority="564">
      <formula>IF($N83="FE with work-a-round",TRUE)</formula>
    </cfRule>
    <cfRule type="expression" dxfId="768" priority="565">
      <formula>IF($N83="Functionally Equivalent",TRUE)</formula>
    </cfRule>
    <cfRule type="expression" dxfId="767" priority="566">
      <formula>IF($N83="Likely to become compliant",TRUE)</formula>
    </cfRule>
    <cfRule type="expression" dxfId="766" priority="567">
      <formula>IF($N83="Partly Compliant",TRUE)</formula>
    </cfRule>
  </conditionalFormatting>
  <conditionalFormatting sqref="N84">
    <cfRule type="expression" dxfId="765" priority="558">
      <formula>IF($N84="Compliant",TRUE)</formula>
    </cfRule>
    <cfRule type="expression" dxfId="764" priority="559">
      <formula>IF($N84="FE with work-a-round",TRUE)</formula>
    </cfRule>
    <cfRule type="expression" dxfId="763" priority="560">
      <formula>IF($N84="Functionally Equivalent",TRUE)</formula>
    </cfRule>
    <cfRule type="expression" dxfId="762" priority="561">
      <formula>IF($N84="Likely to become compliant",TRUE)</formula>
    </cfRule>
    <cfRule type="expression" dxfId="761" priority="562">
      <formula>IF($N84="Partly Compliant",TRUE)</formula>
    </cfRule>
  </conditionalFormatting>
  <conditionalFormatting sqref="N85">
    <cfRule type="expression" dxfId="760" priority="553">
      <formula>IF($N85="Compliant",TRUE)</formula>
    </cfRule>
    <cfRule type="expression" dxfId="759" priority="554">
      <formula>IF($N85="FE with work-a-round",TRUE)</formula>
    </cfRule>
    <cfRule type="expression" dxfId="758" priority="555">
      <formula>IF($N85="Functionally Equivalent",TRUE)</formula>
    </cfRule>
    <cfRule type="expression" dxfId="757" priority="556">
      <formula>IF($N85="Likely to become compliant",TRUE)</formula>
    </cfRule>
    <cfRule type="expression" dxfId="756" priority="557">
      <formula>IF($N85="Partly Compliant",TRUE)</formula>
    </cfRule>
  </conditionalFormatting>
  <conditionalFormatting sqref="N86">
    <cfRule type="expression" dxfId="755" priority="548">
      <formula>IF($N86="Compliant",TRUE)</formula>
    </cfRule>
    <cfRule type="expression" dxfId="754" priority="549">
      <formula>IF($N86="FE with work-a-round",TRUE)</formula>
    </cfRule>
    <cfRule type="expression" dxfId="753" priority="550">
      <formula>IF($N86="Functionally Equivalent",TRUE)</formula>
    </cfRule>
    <cfRule type="expression" dxfId="752" priority="551">
      <formula>IF($N86="Likely to become compliant",TRUE)</formula>
    </cfRule>
    <cfRule type="expression" dxfId="751" priority="552">
      <formula>IF($N86="Partly Compliant",TRUE)</formula>
    </cfRule>
  </conditionalFormatting>
  <conditionalFormatting sqref="Q11:Q14">
    <cfRule type="expression" dxfId="750" priority="546">
      <formula>IF($O11=FALSE,TRUE,FALSE)</formula>
    </cfRule>
    <cfRule type="expression" dxfId="749" priority="547">
      <formula>IF($O11=TRUE,TRUE,FALSE)</formula>
    </cfRule>
  </conditionalFormatting>
  <conditionalFormatting sqref="Q50">
    <cfRule type="expression" dxfId="748" priority="486">
      <formula>IF($N50="Compliant",TRUE)</formula>
    </cfRule>
    <cfRule type="expression" dxfId="747" priority="487">
      <formula>IF($N50="FE with work-a-round",TRUE)</formula>
    </cfRule>
    <cfRule type="expression" dxfId="746" priority="488">
      <formula>IF($N50="Functionally Equivalent",TRUE)</formula>
    </cfRule>
    <cfRule type="expression" dxfId="745" priority="489">
      <formula>IF($N50="Likely to become compliant",TRUE)</formula>
    </cfRule>
    <cfRule type="expression" dxfId="744" priority="490">
      <formula>IF($N50="Partly Compliant",TRUE)</formula>
    </cfRule>
  </conditionalFormatting>
  <conditionalFormatting sqref="Q59">
    <cfRule type="expression" dxfId="743" priority="477">
      <formula>IF(R59=FALSE,TRUE,FALSE)</formula>
    </cfRule>
    <cfRule type="expression" dxfId="742" priority="478">
      <formula>IF(R59=TRUE,TRUE,FALSE)</formula>
    </cfRule>
  </conditionalFormatting>
  <conditionalFormatting sqref="Q63">
    <cfRule type="expression" dxfId="741" priority="475">
      <formula>IF(R63=FALSE,TRUE,FALSE)</formula>
    </cfRule>
    <cfRule type="expression" dxfId="740" priority="476">
      <formula>IF(R63=TRUE,TRUE,FALSE)</formula>
    </cfRule>
  </conditionalFormatting>
  <conditionalFormatting sqref="Q60:Q62">
    <cfRule type="expression" dxfId="739" priority="470">
      <formula>IF($N60="Compliant",TRUE)</formula>
    </cfRule>
    <cfRule type="expression" dxfId="738" priority="471">
      <formula>IF($N60="FE with work-a-round",TRUE)</formula>
    </cfRule>
    <cfRule type="expression" dxfId="737" priority="472">
      <formula>IF($N60="Functionally Equivalent",TRUE)</formula>
    </cfRule>
    <cfRule type="expression" dxfId="736" priority="473">
      <formula>IF($N60="Likely to become compliant",TRUE)</formula>
    </cfRule>
    <cfRule type="expression" dxfId="735" priority="474">
      <formula>IF($N60="Partly Compliant",TRUE)</formula>
    </cfRule>
  </conditionalFormatting>
  <conditionalFormatting sqref="V50">
    <cfRule type="expression" dxfId="734" priority="465">
      <formula>IF($N50="Compliant",TRUE)</formula>
    </cfRule>
    <cfRule type="expression" dxfId="733" priority="466">
      <formula>IF($N50="FE with work-a-round",TRUE)</formula>
    </cfRule>
    <cfRule type="expression" dxfId="732" priority="467">
      <formula>IF($N50="Functionally Equivalent",TRUE)</formula>
    </cfRule>
    <cfRule type="expression" dxfId="731" priority="468">
      <formula>IF($N50="Likely to become compliant",TRUE)</formula>
    </cfRule>
    <cfRule type="expression" dxfId="730" priority="469">
      <formula>IF($N50="Partly Compliant",TRUE)</formula>
    </cfRule>
  </conditionalFormatting>
  <conditionalFormatting sqref="V54">
    <cfRule type="expression" dxfId="729" priority="463">
      <formula>IF(W54=FALSE,TRUE,FALSE)</formula>
    </cfRule>
    <cfRule type="expression" dxfId="728" priority="464">
      <formula>IF(W54=TRUE,TRUE,FALSE)</formula>
    </cfRule>
  </conditionalFormatting>
  <conditionalFormatting sqref="V55">
    <cfRule type="expression" dxfId="727" priority="458">
      <formula>IF($N55="Compliant",TRUE)</formula>
    </cfRule>
    <cfRule type="expression" dxfId="726" priority="459">
      <formula>IF($N55="FE with work-a-round",TRUE)</formula>
    </cfRule>
    <cfRule type="expression" dxfId="725" priority="460">
      <formula>IF($N55="Functionally Equivalent",TRUE)</formula>
    </cfRule>
    <cfRule type="expression" dxfId="724" priority="461">
      <formula>IF($N55="Likely to become compliant",TRUE)</formula>
    </cfRule>
    <cfRule type="expression" dxfId="723" priority="462">
      <formula>IF($N55="Partly Compliant",TRUE)</formula>
    </cfRule>
  </conditionalFormatting>
  <conditionalFormatting sqref="V59">
    <cfRule type="expression" dxfId="722" priority="456">
      <formula>IF(W59=FALSE,TRUE,FALSE)</formula>
    </cfRule>
    <cfRule type="expression" dxfId="721" priority="457">
      <formula>IF(W59=TRUE,TRUE,FALSE)</formula>
    </cfRule>
  </conditionalFormatting>
  <conditionalFormatting sqref="V60:V62">
    <cfRule type="expression" dxfId="720" priority="451">
      <formula>IF($N60="Compliant",TRUE)</formula>
    </cfRule>
    <cfRule type="expression" dxfId="719" priority="452">
      <formula>IF($N60="FE with work-a-round",TRUE)</formula>
    </cfRule>
    <cfRule type="expression" dxfId="718" priority="453">
      <formula>IF($N60="Functionally Equivalent",TRUE)</formula>
    </cfRule>
    <cfRule type="expression" dxfId="717" priority="454">
      <formula>IF($N60="Likely to become compliant",TRUE)</formula>
    </cfRule>
    <cfRule type="expression" dxfId="716" priority="455">
      <formula>IF($N60="Partly Compliant",TRUE)</formula>
    </cfRule>
  </conditionalFormatting>
  <conditionalFormatting sqref="Q47:Q49">
    <cfRule type="expression" dxfId="715" priority="448">
      <formula>IF($D47="Compliant",TRUE)</formula>
    </cfRule>
    <cfRule type="expression" dxfId="714" priority="449">
      <formula>IF($D47="",TRUE)</formula>
    </cfRule>
    <cfRule type="expression" dxfId="713" priority="450">
      <formula>IF($D47="Not Compliant",TRUE)</formula>
    </cfRule>
  </conditionalFormatting>
  <conditionalFormatting sqref="Q47:Q49">
    <cfRule type="expression" dxfId="712" priority="439">
      <formula>IF(Q47="Compliant",TRUE)</formula>
    </cfRule>
    <cfRule type="expression" dxfId="711" priority="440">
      <formula>IF(Q47="FE with work-a-round",TRUE)</formula>
    </cfRule>
    <cfRule type="expression" dxfId="710" priority="441">
      <formula>IF(Q47="Functionally Equivalent",TRUE)</formula>
    </cfRule>
    <cfRule type="expression" dxfId="709" priority="442">
      <formula>IF(Q47="Likely to become compliant",TRUE)</formula>
    </cfRule>
    <cfRule type="expression" dxfId="708" priority="443">
      <formula>IF(Q47="Partly Compliant",TRUE)</formula>
    </cfRule>
    <cfRule type="expression" dxfId="707" priority="444">
      <formula>IF(Q47="Unknown/Missing",TRUE)</formula>
    </cfRule>
    <cfRule type="expression" dxfId="706" priority="445">
      <formula>IF(Q47="Not Required/Applicable",TRUE)</formula>
    </cfRule>
    <cfRule type="expression" dxfId="705" priority="446">
      <formula>IF(Q47="Not Compliant",TRUE)</formula>
    </cfRule>
    <cfRule type="expression" dxfId="704" priority="447">
      <formula>IF(Q47=" ",TRUE)</formula>
    </cfRule>
  </conditionalFormatting>
  <conditionalFormatting sqref="Q46">
    <cfRule type="expression" dxfId="703" priority="436">
      <formula>IF($D46="Compliant",TRUE)</formula>
    </cfRule>
    <cfRule type="expression" dxfId="702" priority="437">
      <formula>IF($D46="",TRUE)</formula>
    </cfRule>
    <cfRule type="expression" dxfId="701" priority="438">
      <formula>IF($D46="Not Compliant",TRUE)</formula>
    </cfRule>
  </conditionalFormatting>
  <conditionalFormatting sqref="Q46">
    <cfRule type="expression" dxfId="700" priority="427">
      <formula>IF(Q46="Compliant",TRUE)</formula>
    </cfRule>
    <cfRule type="expression" dxfId="699" priority="428">
      <formula>IF(Q46="FE with work-a-round",TRUE)</formula>
    </cfRule>
    <cfRule type="expression" dxfId="698" priority="429">
      <formula>IF(Q46="Functionally Equivalent",TRUE)</formula>
    </cfRule>
    <cfRule type="expression" dxfId="697" priority="430">
      <formula>IF(Q46="Likely to become compliant",TRUE)</formula>
    </cfRule>
    <cfRule type="expression" dxfId="696" priority="431">
      <formula>IF(Q46="Partly Compliant",TRUE)</formula>
    </cfRule>
    <cfRule type="expression" dxfId="695" priority="432">
      <formula>IF(Q46="Unknown/Missing",TRUE)</formula>
    </cfRule>
    <cfRule type="expression" dxfId="694" priority="433">
      <formula>IF(Q46="Not Required/Applicable",TRUE)</formula>
    </cfRule>
    <cfRule type="expression" dxfId="693" priority="434">
      <formula>IF(Q46="Not Compliant",TRUE)</formula>
    </cfRule>
    <cfRule type="expression" dxfId="692" priority="435">
      <formula>IF(Q46=" ",TRUE)</formula>
    </cfRule>
  </conditionalFormatting>
  <conditionalFormatting sqref="Q45">
    <cfRule type="expression" dxfId="691" priority="426">
      <formula>IF($E45,TRUE)</formula>
    </cfRule>
  </conditionalFormatting>
  <conditionalFormatting sqref="Q42:Q44">
    <cfRule type="expression" dxfId="690" priority="422">
      <formula>IF($D42="Compliant",TRUE)</formula>
    </cfRule>
    <cfRule type="expression" dxfId="689" priority="423">
      <formula>IF($D42="",TRUE)</formula>
    </cfRule>
    <cfRule type="expression" dxfId="688" priority="424">
      <formula>IF($D42="Not Compliant",TRUE)</formula>
    </cfRule>
  </conditionalFormatting>
  <conditionalFormatting sqref="Q42:Q44">
    <cfRule type="expression" dxfId="687" priority="413">
      <formula>IF(Q42="Compliant",TRUE)</formula>
    </cfRule>
    <cfRule type="expression" dxfId="686" priority="414">
      <formula>IF(Q42="FE with work-a-round",TRUE)</formula>
    </cfRule>
    <cfRule type="expression" dxfId="685" priority="415">
      <formula>IF(Q42="Functionally Equivalent",TRUE)</formula>
    </cfRule>
    <cfRule type="expression" dxfId="684" priority="416">
      <formula>IF(Q42="Likely to become compliant",TRUE)</formula>
    </cfRule>
    <cfRule type="expression" dxfId="683" priority="417">
      <formula>IF(Q42="Partly Compliant",TRUE)</formula>
    </cfRule>
    <cfRule type="expression" dxfId="682" priority="418">
      <formula>IF(Q42="Unknown/Missing",TRUE)</formula>
    </cfRule>
    <cfRule type="expression" dxfId="681" priority="419">
      <formula>IF(Q42="Not Required/Applicable",TRUE)</formula>
    </cfRule>
    <cfRule type="expression" dxfId="680" priority="420">
      <formula>IF(Q42="Not Compliant",TRUE)</formula>
    </cfRule>
    <cfRule type="expression" dxfId="679" priority="421">
      <formula>IF(Q42=" ",TRUE)</formula>
    </cfRule>
  </conditionalFormatting>
  <conditionalFormatting sqref="Q41">
    <cfRule type="expression" dxfId="678" priority="410">
      <formula>IF($D41="Compliant",TRUE)</formula>
    </cfRule>
    <cfRule type="expression" dxfId="677" priority="411">
      <formula>IF($D41="",TRUE)</formula>
    </cfRule>
    <cfRule type="expression" dxfId="676" priority="412">
      <formula>IF($D41="Not Compliant",TRUE)</formula>
    </cfRule>
  </conditionalFormatting>
  <conditionalFormatting sqref="Q41">
    <cfRule type="expression" dxfId="675" priority="401">
      <formula>IF(Q41="Compliant",TRUE)</formula>
    </cfRule>
    <cfRule type="expression" dxfId="674" priority="402">
      <formula>IF(Q41="FE with work-a-round",TRUE)</formula>
    </cfRule>
    <cfRule type="expression" dxfId="673" priority="403">
      <formula>IF(Q41="Functionally Equivalent",TRUE)</formula>
    </cfRule>
    <cfRule type="expression" dxfId="672" priority="404">
      <formula>IF(Q41="Likely to become compliant",TRUE)</formula>
    </cfRule>
    <cfRule type="expression" dxfId="671" priority="405">
      <formula>IF(Q41="Partly Compliant",TRUE)</formula>
    </cfRule>
    <cfRule type="expression" dxfId="670" priority="406">
      <formula>IF(Q41="Unknown/Missing",TRUE)</formula>
    </cfRule>
    <cfRule type="expression" dxfId="669" priority="407">
      <formula>IF(Q41="Not Required/Applicable",TRUE)</formula>
    </cfRule>
    <cfRule type="expression" dxfId="668" priority="408">
      <formula>IF(Q41="Not Compliant",TRUE)</formula>
    </cfRule>
    <cfRule type="expression" dxfId="667" priority="409">
      <formula>IF(Q41=" ",TRUE)</formula>
    </cfRule>
  </conditionalFormatting>
  <conditionalFormatting sqref="Q40">
    <cfRule type="expression" dxfId="666" priority="398">
      <formula>IF($D40="Compliant",TRUE)</formula>
    </cfRule>
    <cfRule type="expression" dxfId="665" priority="399">
      <formula>IF($D40="",TRUE)</formula>
    </cfRule>
    <cfRule type="expression" dxfId="664" priority="400">
      <formula>IF($D40="Not Compliant",TRUE)</formula>
    </cfRule>
  </conditionalFormatting>
  <conditionalFormatting sqref="Q40">
    <cfRule type="expression" dxfId="663" priority="389">
      <formula>IF(Q40="Compliant",TRUE)</formula>
    </cfRule>
    <cfRule type="expression" dxfId="662" priority="390">
      <formula>IF(Q40="FE with work-a-round",TRUE)</formula>
    </cfRule>
    <cfRule type="expression" dxfId="661" priority="391">
      <formula>IF(Q40="Functionally Equivalent",TRUE)</formula>
    </cfRule>
    <cfRule type="expression" dxfId="660" priority="392">
      <formula>IF(Q40="Likely to become compliant",TRUE)</formula>
    </cfRule>
    <cfRule type="expression" dxfId="659" priority="393">
      <formula>IF(Q40="Partly Compliant",TRUE)</formula>
    </cfRule>
    <cfRule type="expression" dxfId="658" priority="394">
      <formula>IF(Q40="Unknown/Missing",TRUE)</formula>
    </cfRule>
    <cfRule type="expression" dxfId="657" priority="395">
      <formula>IF(Q40="Not Required/Applicable",TRUE)</formula>
    </cfRule>
    <cfRule type="expression" dxfId="656" priority="396">
      <formula>IF(Q40="Not Compliant",TRUE)</formula>
    </cfRule>
    <cfRule type="expression" dxfId="655" priority="397">
      <formula>IF(Q40=" ",TRUE)</formula>
    </cfRule>
  </conditionalFormatting>
  <conditionalFormatting sqref="Q38">
    <cfRule type="expression" dxfId="654" priority="386">
      <formula>IF($D38="Compliant",TRUE)</formula>
    </cfRule>
    <cfRule type="expression" dxfId="653" priority="387">
      <formula>IF($D38="",TRUE)</formula>
    </cfRule>
    <cfRule type="expression" dxfId="652" priority="388">
      <formula>IF($D38="Not Compliant",TRUE)</formula>
    </cfRule>
  </conditionalFormatting>
  <conditionalFormatting sqref="Q38">
    <cfRule type="expression" dxfId="651" priority="377">
      <formula>IF(Q38="Compliant",TRUE)</formula>
    </cfRule>
    <cfRule type="expression" dxfId="650" priority="378">
      <formula>IF(Q38="FE with work-a-round",TRUE)</formula>
    </cfRule>
    <cfRule type="expression" dxfId="649" priority="379">
      <formula>IF(Q38="Functionally Equivalent",TRUE)</formula>
    </cfRule>
    <cfRule type="expression" dxfId="648" priority="380">
      <formula>IF(Q38="Likely to become compliant",TRUE)</formula>
    </cfRule>
    <cfRule type="expression" dxfId="647" priority="381">
      <formula>IF(Q38="Partly Compliant",TRUE)</formula>
    </cfRule>
    <cfRule type="expression" dxfId="646" priority="382">
      <formula>IF(Q38="Unknown/Missing",TRUE)</formula>
    </cfRule>
    <cfRule type="expression" dxfId="645" priority="383">
      <formula>IF(Q38="Not Required/Applicable",TRUE)</formula>
    </cfRule>
    <cfRule type="expression" dxfId="644" priority="384">
      <formula>IF(Q38="Not Compliant",TRUE)</formula>
    </cfRule>
    <cfRule type="expression" dxfId="643" priority="385">
      <formula>IF(Q38=" ",TRUE)</formula>
    </cfRule>
  </conditionalFormatting>
  <conditionalFormatting sqref="Q39">
    <cfRule type="expression" dxfId="642" priority="374">
      <formula>IF($D39="Compliant",TRUE)</formula>
    </cfRule>
    <cfRule type="expression" dxfId="641" priority="375">
      <formula>IF($D39="",TRUE)</formula>
    </cfRule>
    <cfRule type="expression" dxfId="640" priority="376">
      <formula>IF($D39="Not Compliant",TRUE)</formula>
    </cfRule>
  </conditionalFormatting>
  <conditionalFormatting sqref="Q39">
    <cfRule type="expression" dxfId="639" priority="365">
      <formula>IF(Q39="Compliant",TRUE)</formula>
    </cfRule>
    <cfRule type="expression" dxfId="638" priority="366">
      <formula>IF(Q39="FE with work-a-round",TRUE)</formula>
    </cfRule>
    <cfRule type="expression" dxfId="637" priority="367">
      <formula>IF(Q39="Functionally Equivalent",TRUE)</formula>
    </cfRule>
    <cfRule type="expression" dxfId="636" priority="368">
      <formula>IF(Q39="Likely to become compliant",TRUE)</formula>
    </cfRule>
    <cfRule type="expression" dxfId="635" priority="369">
      <formula>IF(Q39="Partly Compliant",TRUE)</formula>
    </cfRule>
    <cfRule type="expression" dxfId="634" priority="370">
      <formula>IF(Q39="Unknown/Missing",TRUE)</formula>
    </cfRule>
    <cfRule type="expression" dxfId="633" priority="371">
      <formula>IF(Q39="Not Required/Applicable",TRUE)</formula>
    </cfRule>
    <cfRule type="expression" dxfId="632" priority="372">
      <formula>IF(Q39="Not Compliant",TRUE)</formula>
    </cfRule>
    <cfRule type="expression" dxfId="631" priority="373">
      <formula>IF(Q39=" ",TRUE)</formula>
    </cfRule>
  </conditionalFormatting>
  <conditionalFormatting sqref="Q34:Q36">
    <cfRule type="expression" dxfId="630" priority="362">
      <formula>IF($D34="Compliant",TRUE)</formula>
    </cfRule>
    <cfRule type="expression" dxfId="629" priority="363">
      <formula>IF($D34="",TRUE)</formula>
    </cfRule>
    <cfRule type="expression" dxfId="628" priority="364">
      <formula>IF($D34="Not Compliant",TRUE)</formula>
    </cfRule>
  </conditionalFormatting>
  <conditionalFormatting sqref="Q34:Q36">
    <cfRule type="expression" dxfId="627" priority="352">
      <formula>IF(Q34="Compliant",TRUE)</formula>
    </cfRule>
    <cfRule type="expression" dxfId="626" priority="353">
      <formula>IF(Q34="FE with work-a-round",TRUE)</formula>
    </cfRule>
    <cfRule type="expression" dxfId="625" priority="354">
      <formula>IF(Q34="Functionally Equivalent",TRUE)</formula>
    </cfRule>
    <cfRule type="expression" dxfId="624" priority="355">
      <formula>IF(Q34="Likely to become compliant",TRUE)</formula>
    </cfRule>
    <cfRule type="expression" dxfId="623" priority="356">
      <formula>IF(Q34="Partly Compliant",TRUE)</formula>
    </cfRule>
    <cfRule type="expression" dxfId="622" priority="357">
      <formula>IF(Q34="Unknown/Missing",TRUE)</formula>
    </cfRule>
    <cfRule type="expression" dxfId="621" priority="358">
      <formula>IF(Q34="Not Required/Applicable",TRUE)</formula>
    </cfRule>
    <cfRule type="expression" dxfId="620" priority="359">
      <formula>IF(Q34="Not Compliant",TRUE)</formula>
    </cfRule>
    <cfRule type="expression" dxfId="619" priority="360">
      <formula>IF(Q34=" ",TRUE)</formula>
    </cfRule>
  </conditionalFormatting>
  <conditionalFormatting sqref="V25">
    <cfRule type="expression" dxfId="618" priority="346">
      <formula>IF(W25=FALSE,TRUE,FALSE)</formula>
    </cfRule>
    <cfRule type="expression" dxfId="617" priority="347">
      <formula>IF(W25=TRUE,TRUE,FALSE)</formula>
    </cfRule>
  </conditionalFormatting>
  <conditionalFormatting sqref="V26">
    <cfRule type="expression" dxfId="616" priority="345">
      <formula>IF($N26="Compliant",TRUE)</formula>
    </cfRule>
    <cfRule type="expression" dxfId="615" priority="348">
      <formula>IF($N26="FE with work-a-round",TRUE)</formula>
    </cfRule>
    <cfRule type="expression" dxfId="614" priority="349">
      <formula>IF($N26="Functionally Equivalent",TRUE)</formula>
    </cfRule>
    <cfRule type="expression" dxfId="613" priority="350">
      <formula>IF($N26="Likely to become compliant",TRUE)</formula>
    </cfRule>
    <cfRule type="expression" dxfId="612" priority="351">
      <formula>IF($N26="Partly Compliant",TRUE)</formula>
    </cfRule>
  </conditionalFormatting>
  <conditionalFormatting sqref="V19">
    <cfRule type="expression" dxfId="611" priority="341">
      <formula>IF($N19="Unknown/Missing",TRUE)</formula>
    </cfRule>
    <cfRule type="expression" dxfId="610" priority="342">
      <formula>IF($N19="Not Required/Applicable",TRUE)</formula>
    </cfRule>
    <cfRule type="expression" dxfId="609" priority="343">
      <formula>IF($N19="Not Compliant",TRUE)</formula>
    </cfRule>
    <cfRule type="expression" dxfId="608" priority="344">
      <formula>IF($N19=" ",TRUE)</formula>
    </cfRule>
  </conditionalFormatting>
  <conditionalFormatting sqref="V18">
    <cfRule type="expression" dxfId="607" priority="335">
      <formula>IF($O$18=FALSE,TRUE,FALSE)</formula>
    </cfRule>
    <cfRule type="expression" dxfId="606" priority="336">
      <formula>IF($O$18=TRUE,TRUE,FALSE)</formula>
    </cfRule>
  </conditionalFormatting>
  <conditionalFormatting sqref="V19">
    <cfRule type="expression" dxfId="605" priority="334">
      <formula>IF($N19="Compliant",TRUE)</formula>
    </cfRule>
    <cfRule type="expression" dxfId="604" priority="337">
      <formula>IF($N19="FE with work-a-round",TRUE)</formula>
    </cfRule>
    <cfRule type="expression" dxfId="603" priority="338">
      <formula>IF($N19="Functionally Equivalent",TRUE)</formula>
    </cfRule>
    <cfRule type="expression" dxfId="602" priority="339">
      <formula>IF($N19="Likely to become compliant",TRUE)</formula>
    </cfRule>
    <cfRule type="expression" dxfId="601" priority="340">
      <formula>IF($N19="Partly Compliant",TRUE)</formula>
    </cfRule>
  </conditionalFormatting>
  <conditionalFormatting sqref="Q19:Q21">
    <cfRule type="expression" dxfId="600" priority="323">
      <formula>IF(Q19="Compliant",TRUE)</formula>
    </cfRule>
    <cfRule type="expression" dxfId="599" priority="324">
      <formula>IF(Q19="FE with work-a-round",TRUE)</formula>
    </cfRule>
    <cfRule type="expression" dxfId="598" priority="325">
      <formula>IF(Q19="Functionally Equivalent",TRUE)</formula>
    </cfRule>
    <cfRule type="expression" dxfId="597" priority="326">
      <formula>IF(Q19="Likely to become compliant",TRUE)</formula>
    </cfRule>
    <cfRule type="expression" dxfId="596" priority="327">
      <formula>IF(Q19="Partly Compliant",TRUE)</formula>
    </cfRule>
    <cfRule type="expression" dxfId="595" priority="328">
      <formula>IF(Q19="Unknown/Missing",TRUE)</formula>
    </cfRule>
    <cfRule type="expression" dxfId="594" priority="329">
      <formula>IF(Q19="Not Required/Applicable",TRUE)</formula>
    </cfRule>
    <cfRule type="expression" dxfId="593" priority="330">
      <formula>IF(Q19="Not Compliant",TRUE)</formula>
    </cfRule>
    <cfRule type="expression" dxfId="592" priority="331">
      <formula>IF(Q19=" ",TRUE)</formula>
    </cfRule>
  </conditionalFormatting>
  <conditionalFormatting sqref="Q26:Q28">
    <cfRule type="expression" dxfId="591" priority="313">
      <formula>IF(Q26="Compliant",TRUE)</formula>
    </cfRule>
    <cfRule type="expression" dxfId="590" priority="314">
      <formula>IF(Q26="FE with work-a-round",TRUE)</formula>
    </cfRule>
    <cfRule type="expression" dxfId="589" priority="315">
      <formula>IF(Q26="Functionally Equivalent",TRUE)</formula>
    </cfRule>
    <cfRule type="expression" dxfId="588" priority="316">
      <formula>IF(Q26="Likely to become compliant",TRUE)</formula>
    </cfRule>
    <cfRule type="expression" dxfId="587" priority="317">
      <formula>IF(Q26="Partly Compliant",TRUE)</formula>
    </cfRule>
    <cfRule type="expression" dxfId="586" priority="318">
      <formula>IF(Q26="Unknown/Missing",TRUE)</formula>
    </cfRule>
    <cfRule type="expression" dxfId="585" priority="319">
      <formula>IF(Q26="Not Required/Applicable",TRUE)</formula>
    </cfRule>
    <cfRule type="expression" dxfId="584" priority="320">
      <formula>IF(Q26="Not Compliant",TRUE)</formula>
    </cfRule>
    <cfRule type="expression" dxfId="583" priority="321">
      <formula>IF(Q26=" ",TRUE)</formula>
    </cfRule>
  </conditionalFormatting>
  <conditionalFormatting sqref="Q55">
    <cfRule type="expression" dxfId="582" priority="312">
      <formula>IF($E55,TRUE)</formula>
    </cfRule>
  </conditionalFormatting>
  <conditionalFormatting sqref="Q56:Q57">
    <cfRule type="expression" dxfId="581" priority="309">
      <formula>IF($D56="Compliant",TRUE)</formula>
    </cfRule>
    <cfRule type="expression" dxfId="580" priority="310">
      <formula>IF($D56="",TRUE)</formula>
    </cfRule>
    <cfRule type="expression" dxfId="579" priority="311">
      <formula>IF($D56="Not Compliant",TRUE)</formula>
    </cfRule>
  </conditionalFormatting>
  <conditionalFormatting sqref="Q56:Q58">
    <cfRule type="expression" dxfId="578" priority="300">
      <formula>IF(Q56="Compliant",TRUE)</formula>
    </cfRule>
    <cfRule type="expression" dxfId="577" priority="301">
      <formula>IF(Q56="FE with work-a-round",TRUE)</formula>
    </cfRule>
    <cfRule type="expression" dxfId="576" priority="302">
      <formula>IF(Q56="Functionally Equivalent",TRUE)</formula>
    </cfRule>
    <cfRule type="expression" dxfId="575" priority="303">
      <formula>IF(Q56="Likely to become compliant",TRUE)</formula>
    </cfRule>
    <cfRule type="expression" dxfId="574" priority="304">
      <formula>IF(Q56="Partly Compliant",TRUE)</formula>
    </cfRule>
    <cfRule type="expression" dxfId="573" priority="305">
      <formula>IF(Q56="Unknown/Missing",TRUE)</formula>
    </cfRule>
    <cfRule type="expression" dxfId="572" priority="306">
      <formula>IF(Q56="Not Required/Applicable",TRUE)</formula>
    </cfRule>
    <cfRule type="expression" dxfId="571" priority="307">
      <formula>IF(Q56="Not Compliant",TRUE)</formula>
    </cfRule>
    <cfRule type="expression" dxfId="570" priority="308">
      <formula>IF(Q56=" ",TRUE)</formula>
    </cfRule>
  </conditionalFormatting>
  <conditionalFormatting sqref="Q54">
    <cfRule type="expression" dxfId="569" priority="299">
      <formula>IF($E54,TRUE)</formula>
    </cfRule>
  </conditionalFormatting>
  <conditionalFormatting sqref="Q65:Q67">
    <cfRule type="expression" dxfId="568" priority="284">
      <formula>IF(Q65="Compliant",TRUE)</formula>
    </cfRule>
    <cfRule type="expression" dxfId="567" priority="285">
      <formula>IF(Q65="FE with work-a-round",TRUE)</formula>
    </cfRule>
    <cfRule type="expression" dxfId="566" priority="286">
      <formula>IF(Q65="Functionally Equivalent",TRUE)</formula>
    </cfRule>
    <cfRule type="expression" dxfId="565" priority="287">
      <formula>IF(Q65="Likely to become compliant",TRUE)</formula>
    </cfRule>
    <cfRule type="expression" dxfId="564" priority="288">
      <formula>IF(Q65="Partly Compliant",TRUE)</formula>
    </cfRule>
    <cfRule type="expression" dxfId="563" priority="289">
      <formula>IF(Q65="Unknown/Missing",TRUE)</formula>
    </cfRule>
    <cfRule type="expression" dxfId="562" priority="290">
      <formula>IF(Q65="Not Required/Applicable",TRUE)</formula>
    </cfRule>
    <cfRule type="expression" dxfId="561" priority="291">
      <formula>IF(Q65="Not Compliant",TRUE)</formula>
    </cfRule>
    <cfRule type="expression" dxfId="560" priority="292">
      <formula>IF(Q65=" ",TRUE)</formula>
    </cfRule>
  </conditionalFormatting>
  <conditionalFormatting sqref="Q69:Q73 Q75:Q77">
    <cfRule type="expression" dxfId="559" priority="275">
      <formula>IF(Q69="Compliant",TRUE)</formula>
    </cfRule>
    <cfRule type="expression" dxfId="558" priority="276">
      <formula>IF(Q69="FE with work-a-round",TRUE)</formula>
    </cfRule>
    <cfRule type="expression" dxfId="557" priority="277">
      <formula>IF(Q69="Functionally Equivalent",TRUE)</formula>
    </cfRule>
    <cfRule type="expression" dxfId="556" priority="278">
      <formula>IF(Q69="Likely to become compliant",TRUE)</formula>
    </cfRule>
    <cfRule type="expression" dxfId="555" priority="279">
      <formula>IF(Q69="Partly Compliant",TRUE)</formula>
    </cfRule>
    <cfRule type="expression" dxfId="554" priority="280">
      <formula>IF(Q69="Unknown/Missing",TRUE)</formula>
    </cfRule>
    <cfRule type="expression" dxfId="553" priority="281">
      <formula>IF(Q69="Not Required/Applicable",TRUE)</formula>
    </cfRule>
    <cfRule type="expression" dxfId="552" priority="282">
      <formula>IF(Q69="Not Compliant",TRUE)</formula>
    </cfRule>
    <cfRule type="expression" dxfId="551" priority="283">
      <formula>IF(Q69=" ",TRUE)</formula>
    </cfRule>
  </conditionalFormatting>
  <conditionalFormatting sqref="Q79:Q85">
    <cfRule type="expression" dxfId="550" priority="266">
      <formula>IF(Q79="Compliant",TRUE)</formula>
    </cfRule>
    <cfRule type="expression" dxfId="549" priority="267">
      <formula>IF(Q79="FE with work-a-round",TRUE)</formula>
    </cfRule>
    <cfRule type="expression" dxfId="548" priority="268">
      <formula>IF(Q79="Functionally Equivalent",TRUE)</formula>
    </cfRule>
    <cfRule type="expression" dxfId="547" priority="269">
      <formula>IF(Q79="Likely to become compliant",TRUE)</formula>
    </cfRule>
    <cfRule type="expression" dxfId="546" priority="270">
      <formula>IF(Q79="Partly Compliant",TRUE)</formula>
    </cfRule>
    <cfRule type="expression" dxfId="545" priority="271">
      <formula>IF(Q79="Unknown/Missing",TRUE)</formula>
    </cfRule>
    <cfRule type="expression" dxfId="544" priority="272">
      <formula>IF(Q79="Not Required/Applicable",TRUE)</formula>
    </cfRule>
    <cfRule type="expression" dxfId="543" priority="273">
      <formula>IF(Q79="Not Compliant",TRUE)</formula>
    </cfRule>
    <cfRule type="expression" dxfId="542" priority="274">
      <formula>IF(Q79=" ",TRUE)</formula>
    </cfRule>
  </conditionalFormatting>
  <conditionalFormatting sqref="Q86">
    <cfRule type="expression" dxfId="541" priority="257">
      <formula>IF(Q86="Compliant",TRUE)</formula>
    </cfRule>
    <cfRule type="expression" dxfId="540" priority="258">
      <formula>IF(Q86="FE with work-a-round",TRUE)</formula>
    </cfRule>
    <cfRule type="expression" dxfId="539" priority="259">
      <formula>IF(Q86="Functionally Equivalent",TRUE)</formula>
    </cfRule>
    <cfRule type="expression" dxfId="538" priority="260">
      <formula>IF(Q86="Likely to become compliant",TRUE)</formula>
    </cfRule>
    <cfRule type="expression" dxfId="537" priority="261">
      <formula>IF(Q86="Partly Compliant",TRUE)</formula>
    </cfRule>
    <cfRule type="expression" dxfId="536" priority="262">
      <formula>IF(Q86="Unknown/Missing",TRUE)</formula>
    </cfRule>
    <cfRule type="expression" dxfId="535" priority="263">
      <formula>IF(Q86="Not Required/Applicable",TRUE)</formula>
    </cfRule>
    <cfRule type="expression" dxfId="534" priority="264">
      <formula>IF(Q86="Not Compliant",TRUE)</formula>
    </cfRule>
    <cfRule type="expression" dxfId="533" priority="265">
      <formula>IF(Q86=" ",TRUE)</formula>
    </cfRule>
  </conditionalFormatting>
  <conditionalFormatting sqref="Q88:Q89">
    <cfRule type="expression" dxfId="532" priority="248">
      <formula>IF(Q88="Compliant",TRUE)</formula>
    </cfRule>
    <cfRule type="expression" dxfId="531" priority="249">
      <formula>IF(Q88="FE with work-a-round",TRUE)</formula>
    </cfRule>
    <cfRule type="expression" dxfId="530" priority="250">
      <formula>IF(Q88="Functionally Equivalent",TRUE)</formula>
    </cfRule>
    <cfRule type="expression" dxfId="529" priority="251">
      <formula>IF(Q88="Likely to become compliant",TRUE)</formula>
    </cfRule>
    <cfRule type="expression" dxfId="528" priority="252">
      <formula>IF(Q88="Partly Compliant",TRUE)</formula>
    </cfRule>
    <cfRule type="expression" dxfId="527" priority="253">
      <formula>IF(Q88="Unknown/Missing",TRUE)</formula>
    </cfRule>
    <cfRule type="expression" dxfId="526" priority="254">
      <formula>IF(Q88="Not Required/Applicable",TRUE)</formula>
    </cfRule>
    <cfRule type="expression" dxfId="525" priority="255">
      <formula>IF(Q88="Not Compliant",TRUE)</formula>
    </cfRule>
    <cfRule type="expression" dxfId="524" priority="256">
      <formula>IF(Q88=" ",TRUE)</formula>
    </cfRule>
  </conditionalFormatting>
  <conditionalFormatting sqref="Q91:Q98">
    <cfRule type="expression" dxfId="523" priority="239">
      <formula>IF(Q91="Compliant",TRUE)</formula>
    </cfRule>
    <cfRule type="expression" dxfId="522" priority="240">
      <formula>IF(Q91="FE with work-a-round",TRUE)</formula>
    </cfRule>
    <cfRule type="expression" dxfId="521" priority="241">
      <formula>IF(Q91="Functionally Equivalent",TRUE)</formula>
    </cfRule>
    <cfRule type="expression" dxfId="520" priority="242">
      <formula>IF(Q91="Likely to become compliant",TRUE)</formula>
    </cfRule>
    <cfRule type="expression" dxfId="519" priority="243">
      <formula>IF(Q91="Partly Compliant",TRUE)</formula>
    </cfRule>
    <cfRule type="expression" dxfId="518" priority="244">
      <formula>IF(Q91="Unknown/Missing",TRUE)</formula>
    </cfRule>
    <cfRule type="expression" dxfId="517" priority="245">
      <formula>IF(Q91="Not Required/Applicable",TRUE)</formula>
    </cfRule>
    <cfRule type="expression" dxfId="516" priority="246">
      <formula>IF(Q91="Not Compliant",TRUE)</formula>
    </cfRule>
    <cfRule type="expression" dxfId="515" priority="247">
      <formula>IF(Q91=" ",TRUE)</formula>
    </cfRule>
  </conditionalFormatting>
  <conditionalFormatting sqref="Q100:Q101">
    <cfRule type="expression" dxfId="514" priority="230">
      <formula>IF(Q100="Compliant",TRUE)</formula>
    </cfRule>
    <cfRule type="expression" dxfId="513" priority="231">
      <formula>IF(Q100="FE with work-a-round",TRUE)</formula>
    </cfRule>
    <cfRule type="expression" dxfId="512" priority="232">
      <formula>IF(Q100="Functionally Equivalent",TRUE)</formula>
    </cfRule>
    <cfRule type="expression" dxfId="511" priority="233">
      <formula>IF(Q100="Likely to become compliant",TRUE)</formula>
    </cfRule>
    <cfRule type="expression" dxfId="510" priority="234">
      <formula>IF(Q100="Partly Compliant",TRUE)</formula>
    </cfRule>
    <cfRule type="expression" dxfId="509" priority="235">
      <formula>IF(Q100="Unknown/Missing",TRUE)</formula>
    </cfRule>
    <cfRule type="expression" dxfId="508" priority="236">
      <formula>IF(Q100="Not Required/Applicable",TRUE)</formula>
    </cfRule>
    <cfRule type="expression" dxfId="507" priority="237">
      <formula>IF(Q100="Not Compliant",TRUE)</formula>
    </cfRule>
    <cfRule type="expression" dxfId="506" priority="238">
      <formula>IF(Q100=" ",TRUE)</formula>
    </cfRule>
  </conditionalFormatting>
  <conditionalFormatting sqref="Q103:Q110">
    <cfRule type="expression" dxfId="505" priority="221">
      <formula>IF(Q103="Compliant",TRUE)</formula>
    </cfRule>
    <cfRule type="expression" dxfId="504" priority="222">
      <formula>IF(Q103="FE with work-a-round",TRUE)</formula>
    </cfRule>
    <cfRule type="expression" dxfId="503" priority="223">
      <formula>IF(Q103="Functionally Equivalent",TRUE)</formula>
    </cfRule>
    <cfRule type="expression" dxfId="502" priority="224">
      <formula>IF(Q103="Likely to become compliant",TRUE)</formula>
    </cfRule>
    <cfRule type="expression" dxfId="501" priority="225">
      <formula>IF(Q103="Partly Compliant",TRUE)</formula>
    </cfRule>
    <cfRule type="expression" dxfId="500" priority="226">
      <formula>IF(Q103="Unknown/Missing",TRUE)</formula>
    </cfRule>
    <cfRule type="expression" dxfId="499" priority="227">
      <formula>IF(Q103="Not Required/Applicable",TRUE)</formula>
    </cfRule>
    <cfRule type="expression" dxfId="498" priority="228">
      <formula>IF(Q103="Not Compliant",TRUE)</formula>
    </cfRule>
    <cfRule type="expression" dxfId="497" priority="229">
      <formula>IF(Q103=" ",TRUE)</formula>
    </cfRule>
  </conditionalFormatting>
  <conditionalFormatting sqref="Q112:Q113">
    <cfRule type="expression" dxfId="496" priority="212">
      <formula>IF(Q112="Compliant",TRUE)</formula>
    </cfRule>
    <cfRule type="expression" dxfId="495" priority="213">
      <formula>IF(Q112="FE with work-a-round",TRUE)</formula>
    </cfRule>
    <cfRule type="expression" dxfId="494" priority="214">
      <formula>IF(Q112="Functionally Equivalent",TRUE)</formula>
    </cfRule>
    <cfRule type="expression" dxfId="493" priority="215">
      <formula>IF(Q112="Likely to become compliant",TRUE)</formula>
    </cfRule>
    <cfRule type="expression" dxfId="492" priority="216">
      <formula>IF(Q112="Partly Compliant",TRUE)</formula>
    </cfRule>
    <cfRule type="expression" dxfId="491" priority="217">
      <formula>IF(Q112="Unknown/Missing",TRUE)</formula>
    </cfRule>
    <cfRule type="expression" dxfId="490" priority="218">
      <formula>IF(Q112="Not Required/Applicable",TRUE)</formula>
    </cfRule>
    <cfRule type="expression" dxfId="489" priority="219">
      <formula>IF(Q112="Not Compliant",TRUE)</formula>
    </cfRule>
    <cfRule type="expression" dxfId="488" priority="220">
      <formula>IF(Q112=" ",TRUE)</formula>
    </cfRule>
  </conditionalFormatting>
  <conditionalFormatting sqref="V63">
    <cfRule type="expression" dxfId="487" priority="207">
      <formula>IF(W63=FALSE,TRUE,FALSE)</formula>
    </cfRule>
    <cfRule type="expression" dxfId="486" priority="208">
      <formula>IF(W63=TRUE,TRUE,FALSE)</formula>
    </cfRule>
  </conditionalFormatting>
  <conditionalFormatting sqref="V78">
    <cfRule type="expression" dxfId="485" priority="205">
      <formula>IF(W78=FALSE,TRUE,FALSE)</formula>
    </cfRule>
    <cfRule type="expression" dxfId="484" priority="206">
      <formula>IF(W78=TRUE,TRUE,FALSE)</formula>
    </cfRule>
  </conditionalFormatting>
  <conditionalFormatting sqref="V87">
    <cfRule type="expression" dxfId="483" priority="203">
      <formula>IF(W87=FALSE,TRUE,FALSE)</formula>
    </cfRule>
    <cfRule type="expression" dxfId="482" priority="204">
      <formula>IF(W87=TRUE,TRUE,FALSE)</formula>
    </cfRule>
  </conditionalFormatting>
  <conditionalFormatting sqref="V90">
    <cfRule type="expression" dxfId="481" priority="201">
      <formula>IF(W90=FALSE,TRUE,FALSE)</formula>
    </cfRule>
    <cfRule type="expression" dxfId="480" priority="202">
      <formula>IF(W90=TRUE,TRUE,FALSE)</formula>
    </cfRule>
  </conditionalFormatting>
  <conditionalFormatting sqref="V99">
    <cfRule type="expression" dxfId="479" priority="199">
      <formula>IF(W99=FALSE,TRUE,FALSE)</formula>
    </cfRule>
    <cfRule type="expression" dxfId="478" priority="200">
      <formula>IF(W99=TRUE,TRUE,FALSE)</formula>
    </cfRule>
  </conditionalFormatting>
  <conditionalFormatting sqref="V102">
    <cfRule type="expression" dxfId="477" priority="197">
      <formula>IF(W102=FALSE,TRUE,FALSE)</formula>
    </cfRule>
    <cfRule type="expression" dxfId="476" priority="198">
      <formula>IF(W102=TRUE,TRUE,FALSE)</formula>
    </cfRule>
  </conditionalFormatting>
  <conditionalFormatting sqref="V111">
    <cfRule type="expression" dxfId="475" priority="195">
      <formula>IF(W111=FALSE,TRUE,FALSE)</formula>
    </cfRule>
    <cfRule type="expression" dxfId="474" priority="196">
      <formula>IF(W111=TRUE,TRUE,FALSE)</formula>
    </cfRule>
  </conditionalFormatting>
  <conditionalFormatting sqref="V64">
    <cfRule type="expression" dxfId="473" priority="190">
      <formula>IF($N64="Compliant",TRUE)</formula>
    </cfRule>
    <cfRule type="expression" dxfId="472" priority="191">
      <formula>IF($N64="FE with work-a-round",TRUE)</formula>
    </cfRule>
    <cfRule type="expression" dxfId="471" priority="192">
      <formula>IF($N64="Functionally Equivalent",TRUE)</formula>
    </cfRule>
    <cfRule type="expression" dxfId="470" priority="193">
      <formula>IF($N64="Likely to become compliant",TRUE)</formula>
    </cfRule>
    <cfRule type="expression" dxfId="469" priority="194">
      <formula>IF($N64="Partly Compliant",TRUE)</formula>
    </cfRule>
  </conditionalFormatting>
  <conditionalFormatting sqref="V68">
    <cfRule type="expression" dxfId="468" priority="185">
      <formula>IF($N68="Compliant",TRUE)</formula>
    </cfRule>
    <cfRule type="expression" dxfId="467" priority="186">
      <formula>IF($N68="FE with work-a-round",TRUE)</formula>
    </cfRule>
    <cfRule type="expression" dxfId="466" priority="187">
      <formula>IF($N68="Functionally Equivalent",TRUE)</formula>
    </cfRule>
    <cfRule type="expression" dxfId="465" priority="188">
      <formula>IF($N68="Likely to become compliant",TRUE)</formula>
    </cfRule>
    <cfRule type="expression" dxfId="464" priority="189">
      <formula>IF($N68="Partly Compliant",TRUE)</formula>
    </cfRule>
  </conditionalFormatting>
  <conditionalFormatting sqref="V74">
    <cfRule type="expression" dxfId="463" priority="180">
      <formula>IF($N74="Compliant",TRUE)</formula>
    </cfRule>
    <cfRule type="expression" dxfId="462" priority="181">
      <formula>IF($N74="FE with work-a-round",TRUE)</formula>
    </cfRule>
    <cfRule type="expression" dxfId="461" priority="182">
      <formula>IF($N74="Functionally Equivalent",TRUE)</formula>
    </cfRule>
    <cfRule type="expression" dxfId="460" priority="183">
      <formula>IF($N74="Likely to become compliant",TRUE)</formula>
    </cfRule>
    <cfRule type="expression" dxfId="459" priority="184">
      <formula>IF($N74="Partly Compliant",TRUE)</formula>
    </cfRule>
  </conditionalFormatting>
  <conditionalFormatting sqref="V79">
    <cfRule type="expression" dxfId="458" priority="175">
      <formula>IF($N79="Compliant",TRUE)</formula>
    </cfRule>
    <cfRule type="expression" dxfId="457" priority="176">
      <formula>IF($N79="FE with work-a-round",TRUE)</formula>
    </cfRule>
    <cfRule type="expression" dxfId="456" priority="177">
      <formula>IF($N79="Functionally Equivalent",TRUE)</formula>
    </cfRule>
    <cfRule type="expression" dxfId="455" priority="178">
      <formula>IF($N79="Likely to become compliant",TRUE)</formula>
    </cfRule>
    <cfRule type="expression" dxfId="454" priority="179">
      <formula>IF($N79="Partly Compliant",TRUE)</formula>
    </cfRule>
  </conditionalFormatting>
  <conditionalFormatting sqref="V91">
    <cfRule type="expression" dxfId="453" priority="170">
      <formula>IF($N91="Compliant",TRUE)</formula>
    </cfRule>
    <cfRule type="expression" dxfId="452" priority="171">
      <formula>IF($N91="FE with work-a-round",TRUE)</formula>
    </cfRule>
    <cfRule type="expression" dxfId="451" priority="172">
      <formula>IF($N91="Functionally Equivalent",TRUE)</formula>
    </cfRule>
    <cfRule type="expression" dxfId="450" priority="173">
      <formula>IF($N91="Likely to become compliant",TRUE)</formula>
    </cfRule>
    <cfRule type="expression" dxfId="449" priority="174">
      <formula>IF($N91="Partly Compliant",TRUE)</formula>
    </cfRule>
  </conditionalFormatting>
  <conditionalFormatting sqref="V100">
    <cfRule type="expression" dxfId="448" priority="165">
      <formula>IF($N100="Compliant",TRUE)</formula>
    </cfRule>
    <cfRule type="expression" dxfId="447" priority="166">
      <formula>IF($N100="FE with work-a-round",TRUE)</formula>
    </cfRule>
    <cfRule type="expression" dxfId="446" priority="167">
      <formula>IF($N100="Functionally Equivalent",TRUE)</formula>
    </cfRule>
    <cfRule type="expression" dxfId="445" priority="168">
      <formula>IF($N100="Likely to become compliant",TRUE)</formula>
    </cfRule>
    <cfRule type="expression" dxfId="444" priority="169">
      <formula>IF($N100="Partly Compliant",TRUE)</formula>
    </cfRule>
  </conditionalFormatting>
  <conditionalFormatting sqref="V103">
    <cfRule type="expression" dxfId="443" priority="160">
      <formula>IF($N103="Compliant",TRUE)</formula>
    </cfRule>
    <cfRule type="expression" dxfId="442" priority="161">
      <formula>IF($N103="FE with work-a-round",TRUE)</formula>
    </cfRule>
    <cfRule type="expression" dxfId="441" priority="162">
      <formula>IF($N103="Functionally Equivalent",TRUE)</formula>
    </cfRule>
    <cfRule type="expression" dxfId="440" priority="163">
      <formula>IF($N103="Likely to become compliant",TRUE)</formula>
    </cfRule>
    <cfRule type="expression" dxfId="439" priority="164">
      <formula>IF($N103="Partly Compliant",TRUE)</formula>
    </cfRule>
  </conditionalFormatting>
  <conditionalFormatting sqref="V110">
    <cfRule type="expression" dxfId="438" priority="155">
      <formula>IF($N110="Compliant",TRUE)</formula>
    </cfRule>
    <cfRule type="expression" dxfId="437" priority="156">
      <formula>IF($N110="FE with work-a-round",TRUE)</formula>
    </cfRule>
    <cfRule type="expression" dxfId="436" priority="157">
      <formula>IF($N110="Functionally Equivalent",TRUE)</formula>
    </cfRule>
    <cfRule type="expression" dxfId="435" priority="158">
      <formula>IF($N110="Likely to become compliant",TRUE)</formula>
    </cfRule>
    <cfRule type="expression" dxfId="434" priority="159">
      <formula>IF($N110="Partly Compliant",TRUE)</formula>
    </cfRule>
  </conditionalFormatting>
  <conditionalFormatting sqref="V112">
    <cfRule type="expression" dxfId="433" priority="150">
      <formula>IF($N112="Compliant",TRUE)</formula>
    </cfRule>
    <cfRule type="expression" dxfId="432" priority="151">
      <formula>IF($N112="FE with work-a-round",TRUE)</formula>
    </cfRule>
    <cfRule type="expression" dxfId="431" priority="152">
      <formula>IF($N112="Functionally Equivalent",TRUE)</formula>
    </cfRule>
    <cfRule type="expression" dxfId="430" priority="153">
      <formula>IF($N112="Likely to become compliant",TRUE)</formula>
    </cfRule>
    <cfRule type="expression" dxfId="429" priority="154">
      <formula>IF($N112="Partly Compliant",TRUE)</formula>
    </cfRule>
  </conditionalFormatting>
  <conditionalFormatting sqref="V105">
    <cfRule type="expression" dxfId="428" priority="145">
      <formula>IF($N105="Compliant",TRUE)</formula>
    </cfRule>
    <cfRule type="expression" dxfId="427" priority="146">
      <formula>IF($N105="FE with work-a-round",TRUE)</formula>
    </cfRule>
    <cfRule type="expression" dxfId="426" priority="147">
      <formula>IF($N105="Functionally Equivalent",TRUE)</formula>
    </cfRule>
    <cfRule type="expression" dxfId="425" priority="148">
      <formula>IF($N105="Likely to become compliant",TRUE)</formula>
    </cfRule>
    <cfRule type="expression" dxfId="424" priority="149">
      <formula>IF($N105="Partly Compliant",TRUE)</formula>
    </cfRule>
  </conditionalFormatting>
  <conditionalFormatting sqref="V106">
    <cfRule type="expression" dxfId="423" priority="140">
      <formula>IF($N106="Compliant",TRUE)</formula>
    </cfRule>
    <cfRule type="expression" dxfId="422" priority="141">
      <formula>IF($N106="FE with work-a-round",TRUE)</formula>
    </cfRule>
    <cfRule type="expression" dxfId="421" priority="142">
      <formula>IF($N106="Functionally Equivalent",TRUE)</formula>
    </cfRule>
    <cfRule type="expression" dxfId="420" priority="143">
      <formula>IF($N106="Likely to become compliant",TRUE)</formula>
    </cfRule>
    <cfRule type="expression" dxfId="419" priority="144">
      <formula>IF($N106="Partly Compliant",TRUE)</formula>
    </cfRule>
  </conditionalFormatting>
  <conditionalFormatting sqref="V93">
    <cfRule type="expression" dxfId="418" priority="135">
      <formula>IF($N93="Compliant",TRUE)</formula>
    </cfRule>
    <cfRule type="expression" dxfId="417" priority="136">
      <formula>IF($N93="FE with work-a-round",TRUE)</formula>
    </cfRule>
    <cfRule type="expression" dxfId="416" priority="137">
      <formula>IF($N93="Functionally Equivalent",TRUE)</formula>
    </cfRule>
    <cfRule type="expression" dxfId="415" priority="138">
      <formula>IF($N93="Likely to become compliant",TRUE)</formula>
    </cfRule>
    <cfRule type="expression" dxfId="414" priority="139">
      <formula>IF($N93="Partly Compliant",TRUE)</formula>
    </cfRule>
  </conditionalFormatting>
  <conditionalFormatting sqref="V94">
    <cfRule type="expression" dxfId="413" priority="130">
      <formula>IF($N94="Compliant",TRUE)</formula>
    </cfRule>
    <cfRule type="expression" dxfId="412" priority="131">
      <formula>IF($N94="FE with work-a-round",TRUE)</formula>
    </cfRule>
    <cfRule type="expression" dxfId="411" priority="132">
      <formula>IF($N94="Functionally Equivalent",TRUE)</formula>
    </cfRule>
    <cfRule type="expression" dxfId="410" priority="133">
      <formula>IF($N94="Likely to become compliant",TRUE)</formula>
    </cfRule>
    <cfRule type="expression" dxfId="409" priority="134">
      <formula>IF($N94="Partly Compliant",TRUE)</formula>
    </cfRule>
  </conditionalFormatting>
  <conditionalFormatting sqref="V95">
    <cfRule type="expression" dxfId="408" priority="125">
      <formula>IF($N95="Compliant",TRUE)</formula>
    </cfRule>
    <cfRule type="expression" dxfId="407" priority="126">
      <formula>IF($N95="FE with work-a-round",TRUE)</formula>
    </cfRule>
    <cfRule type="expression" dxfId="406" priority="127">
      <formula>IF($N95="Functionally Equivalent",TRUE)</formula>
    </cfRule>
    <cfRule type="expression" dxfId="405" priority="128">
      <formula>IF($N95="Likely to become compliant",TRUE)</formula>
    </cfRule>
    <cfRule type="expression" dxfId="404" priority="129">
      <formula>IF($N95="Partly Compliant",TRUE)</formula>
    </cfRule>
  </conditionalFormatting>
  <conditionalFormatting sqref="V96">
    <cfRule type="expression" dxfId="403" priority="120">
      <formula>IF($N96="Compliant",TRUE)</formula>
    </cfRule>
    <cfRule type="expression" dxfId="402" priority="121">
      <formula>IF($N96="FE with work-a-round",TRUE)</formula>
    </cfRule>
    <cfRule type="expression" dxfId="401" priority="122">
      <formula>IF($N96="Functionally Equivalent",TRUE)</formula>
    </cfRule>
    <cfRule type="expression" dxfId="400" priority="123">
      <formula>IF($N96="Likely to become compliant",TRUE)</formula>
    </cfRule>
    <cfRule type="expression" dxfId="399" priority="124">
      <formula>IF($N96="Partly Compliant",TRUE)</formula>
    </cfRule>
  </conditionalFormatting>
  <conditionalFormatting sqref="V97">
    <cfRule type="expression" dxfId="398" priority="115">
      <formula>IF($N97="Compliant",TRUE)</formula>
    </cfRule>
    <cfRule type="expression" dxfId="397" priority="116">
      <formula>IF($N97="FE with work-a-round",TRUE)</formula>
    </cfRule>
    <cfRule type="expression" dxfId="396" priority="117">
      <formula>IF($N97="Functionally Equivalent",TRUE)</formula>
    </cfRule>
    <cfRule type="expression" dxfId="395" priority="118">
      <formula>IF($N97="Likely to become compliant",TRUE)</formula>
    </cfRule>
    <cfRule type="expression" dxfId="394" priority="119">
      <formula>IF($N97="Partly Compliant",TRUE)</formula>
    </cfRule>
  </conditionalFormatting>
  <conditionalFormatting sqref="V98">
    <cfRule type="expression" dxfId="393" priority="110">
      <formula>IF($N98="Compliant",TRUE)</formula>
    </cfRule>
    <cfRule type="expression" dxfId="392" priority="111">
      <formula>IF($N98="FE with work-a-round",TRUE)</formula>
    </cfRule>
    <cfRule type="expression" dxfId="391" priority="112">
      <formula>IF($N98="Functionally Equivalent",TRUE)</formula>
    </cfRule>
    <cfRule type="expression" dxfId="390" priority="113">
      <formula>IF($N98="Likely to become compliant",TRUE)</formula>
    </cfRule>
    <cfRule type="expression" dxfId="389" priority="114">
      <formula>IF($N98="Partly Compliant",TRUE)</formula>
    </cfRule>
  </conditionalFormatting>
  <conditionalFormatting sqref="V88">
    <cfRule type="expression" dxfId="388" priority="105">
      <formula>IF($N88="Compliant",TRUE)</formula>
    </cfRule>
    <cfRule type="expression" dxfId="387" priority="106">
      <formula>IF($N88="FE with work-a-round",TRUE)</formula>
    </cfRule>
    <cfRule type="expression" dxfId="386" priority="107">
      <formula>IF($N88="Functionally Equivalent",TRUE)</formula>
    </cfRule>
    <cfRule type="expression" dxfId="385" priority="108">
      <formula>IF($N88="Likely to become compliant",TRUE)</formula>
    </cfRule>
    <cfRule type="expression" dxfId="384" priority="109">
      <formula>IF($N88="Partly Compliant",TRUE)</formula>
    </cfRule>
  </conditionalFormatting>
  <conditionalFormatting sqref="V80">
    <cfRule type="expression" dxfId="383" priority="100">
      <formula>IF($N80="Compliant",TRUE)</formula>
    </cfRule>
    <cfRule type="expression" dxfId="382" priority="101">
      <formula>IF($N80="FE with work-a-round",TRUE)</formula>
    </cfRule>
    <cfRule type="expression" dxfId="381" priority="102">
      <formula>IF($N80="Functionally Equivalent",TRUE)</formula>
    </cfRule>
    <cfRule type="expression" dxfId="380" priority="103">
      <formula>IF($N80="Likely to become compliant",TRUE)</formula>
    </cfRule>
    <cfRule type="expression" dxfId="379" priority="104">
      <formula>IF($N80="Partly Compliant",TRUE)</formula>
    </cfRule>
  </conditionalFormatting>
  <conditionalFormatting sqref="V81">
    <cfRule type="expression" dxfId="378" priority="95">
      <formula>IF($N81="Compliant",TRUE)</formula>
    </cfRule>
    <cfRule type="expression" dxfId="377" priority="96">
      <formula>IF($N81="FE with work-a-round",TRUE)</formula>
    </cfRule>
    <cfRule type="expression" dxfId="376" priority="97">
      <formula>IF($N81="Functionally Equivalent",TRUE)</formula>
    </cfRule>
    <cfRule type="expression" dxfId="375" priority="98">
      <formula>IF($N81="Likely to become compliant",TRUE)</formula>
    </cfRule>
    <cfRule type="expression" dxfId="374" priority="99">
      <formula>IF($N81="Partly Compliant",TRUE)</formula>
    </cfRule>
  </conditionalFormatting>
  <conditionalFormatting sqref="V82">
    <cfRule type="expression" dxfId="373" priority="90">
      <formula>IF($N82="Compliant",TRUE)</formula>
    </cfRule>
    <cfRule type="expression" dxfId="372" priority="91">
      <formula>IF($N82="FE with work-a-round",TRUE)</formula>
    </cfRule>
    <cfRule type="expression" dxfId="371" priority="92">
      <formula>IF($N82="Functionally Equivalent",TRUE)</formula>
    </cfRule>
    <cfRule type="expression" dxfId="370" priority="93">
      <formula>IF($N82="Likely to become compliant",TRUE)</formula>
    </cfRule>
    <cfRule type="expression" dxfId="369" priority="94">
      <formula>IF($N82="Partly Compliant",TRUE)</formula>
    </cfRule>
  </conditionalFormatting>
  <conditionalFormatting sqref="V83">
    <cfRule type="expression" dxfId="368" priority="85">
      <formula>IF($N83="Compliant",TRUE)</formula>
    </cfRule>
    <cfRule type="expression" dxfId="367" priority="86">
      <formula>IF($N83="FE with work-a-round",TRUE)</formula>
    </cfRule>
    <cfRule type="expression" dxfId="366" priority="87">
      <formula>IF($N83="Functionally Equivalent",TRUE)</formula>
    </cfRule>
    <cfRule type="expression" dxfId="365" priority="88">
      <formula>IF($N83="Likely to become compliant",TRUE)</formula>
    </cfRule>
    <cfRule type="expression" dxfId="364" priority="89">
      <formula>IF($N83="Partly Compliant",TRUE)</formula>
    </cfRule>
  </conditionalFormatting>
  <conditionalFormatting sqref="V84">
    <cfRule type="expression" dxfId="363" priority="80">
      <formula>IF($N84="Compliant",TRUE)</formula>
    </cfRule>
    <cfRule type="expression" dxfId="362" priority="81">
      <formula>IF($N84="FE with work-a-round",TRUE)</formula>
    </cfRule>
    <cfRule type="expression" dxfId="361" priority="82">
      <formula>IF($N84="Functionally Equivalent",TRUE)</formula>
    </cfRule>
    <cfRule type="expression" dxfId="360" priority="83">
      <formula>IF($N84="Likely to become compliant",TRUE)</formula>
    </cfRule>
    <cfRule type="expression" dxfId="359" priority="84">
      <formula>IF($N84="Partly Compliant",TRUE)</formula>
    </cfRule>
  </conditionalFormatting>
  <conditionalFormatting sqref="V85">
    <cfRule type="expression" dxfId="358" priority="75">
      <formula>IF($N85="Compliant",TRUE)</formula>
    </cfRule>
    <cfRule type="expression" dxfId="357" priority="76">
      <formula>IF($N85="FE with work-a-round",TRUE)</formula>
    </cfRule>
    <cfRule type="expression" dxfId="356" priority="77">
      <formula>IF($N85="Functionally Equivalent",TRUE)</formula>
    </cfRule>
    <cfRule type="expression" dxfId="355" priority="78">
      <formula>IF($N85="Likely to become compliant",TRUE)</formula>
    </cfRule>
    <cfRule type="expression" dxfId="354" priority="79">
      <formula>IF($N85="Partly Compliant",TRUE)</formula>
    </cfRule>
  </conditionalFormatting>
  <conditionalFormatting sqref="V86">
    <cfRule type="expression" dxfId="353" priority="70">
      <formula>IF($N86="Compliant",TRUE)</formula>
    </cfRule>
    <cfRule type="expression" dxfId="352" priority="71">
      <formula>IF($N86="FE with work-a-round",TRUE)</formula>
    </cfRule>
    <cfRule type="expression" dxfId="351" priority="72">
      <formula>IF($N86="Functionally Equivalent",TRUE)</formula>
    </cfRule>
    <cfRule type="expression" dxfId="350" priority="73">
      <formula>IF($N86="Likely to become compliant",TRUE)</formula>
    </cfRule>
    <cfRule type="expression" dxfId="349" priority="74">
      <formula>IF($N86="Partly Compliant",TRUE)</formula>
    </cfRule>
  </conditionalFormatting>
  <conditionalFormatting sqref="V32">
    <cfRule type="expression" dxfId="348" priority="64">
      <formula>IF(W32=FALSE,TRUE,FALSE)</formula>
    </cfRule>
    <cfRule type="expression" dxfId="347" priority="65">
      <formula>IF(W32=TRUE,TRUE,FALSE)</formula>
    </cfRule>
  </conditionalFormatting>
  <conditionalFormatting sqref="V33:V37 V42:V49">
    <cfRule type="expression" dxfId="346" priority="63">
      <formula>IF($N33="Compliant",TRUE)</formula>
    </cfRule>
    <cfRule type="expression" dxfId="345" priority="66">
      <formula>IF($N33="FE with work-a-round",TRUE)</formula>
    </cfRule>
    <cfRule type="expression" dxfId="344" priority="67">
      <formula>IF($N33="Functionally Equivalent",TRUE)</formula>
    </cfRule>
    <cfRule type="expression" dxfId="343" priority="68">
      <formula>IF($N33="Likely to become compliant",TRUE)</formula>
    </cfRule>
    <cfRule type="expression" dxfId="342" priority="69">
      <formula>IF($N33="Partly Compliant",TRUE)</formula>
    </cfRule>
  </conditionalFormatting>
  <conditionalFormatting sqref="V41">
    <cfRule type="expression" dxfId="341" priority="58">
      <formula>IF($N41="Compliant",TRUE)</formula>
    </cfRule>
    <cfRule type="expression" dxfId="340" priority="59">
      <formula>IF($N41="FE with work-a-round",TRUE)</formula>
    </cfRule>
    <cfRule type="expression" dxfId="339" priority="60">
      <formula>IF($N41="Functionally Equivalent",TRUE)</formula>
    </cfRule>
    <cfRule type="expression" dxfId="338" priority="61">
      <formula>IF($N41="Likely to become compliant",TRUE)</formula>
    </cfRule>
    <cfRule type="expression" dxfId="337" priority="62">
      <formula>IF($N41="Partly Compliant",TRUE)</formula>
    </cfRule>
  </conditionalFormatting>
  <conditionalFormatting sqref="V40">
    <cfRule type="expression" dxfId="336" priority="53">
      <formula>IF($N40="Compliant",TRUE)</formula>
    </cfRule>
    <cfRule type="expression" dxfId="335" priority="54">
      <formula>IF($N40="FE with work-a-round",TRUE)</formula>
    </cfRule>
    <cfRule type="expression" dxfId="334" priority="55">
      <formula>IF($N40="Functionally Equivalent",TRUE)</formula>
    </cfRule>
    <cfRule type="expression" dxfId="333" priority="56">
      <formula>IF($N40="Likely to become compliant",TRUE)</formula>
    </cfRule>
    <cfRule type="expression" dxfId="332" priority="57">
      <formula>IF($N40="Partly Compliant",TRUE)</formula>
    </cfRule>
  </conditionalFormatting>
  <conditionalFormatting sqref="V38">
    <cfRule type="expression" dxfId="331" priority="48">
      <formula>IF($N38="Compliant",TRUE)</formula>
    </cfRule>
    <cfRule type="expression" dxfId="330" priority="49">
      <formula>IF($N38="FE with work-a-round",TRUE)</formula>
    </cfRule>
    <cfRule type="expression" dxfId="329" priority="50">
      <formula>IF($N38="Functionally Equivalent",TRUE)</formula>
    </cfRule>
    <cfRule type="expression" dxfId="328" priority="51">
      <formula>IF($N38="Likely to become compliant",TRUE)</formula>
    </cfRule>
    <cfRule type="expression" dxfId="327" priority="52">
      <formula>IF($N38="Partly Compliant",TRUE)</formula>
    </cfRule>
  </conditionalFormatting>
  <conditionalFormatting sqref="V39">
    <cfRule type="expression" dxfId="326" priority="43">
      <formula>IF($N39="Compliant",TRUE)</formula>
    </cfRule>
    <cfRule type="expression" dxfId="325" priority="44">
      <formula>IF($N39="FE with work-a-round",TRUE)</formula>
    </cfRule>
    <cfRule type="expression" dxfId="324" priority="45">
      <formula>IF($N39="Functionally Equivalent",TRUE)</formula>
    </cfRule>
    <cfRule type="expression" dxfId="323" priority="46">
      <formula>IF($N39="Likely to become compliant",TRUE)</formula>
    </cfRule>
    <cfRule type="expression" dxfId="322" priority="47">
      <formula>IF($N39="Partly Compliant",TRUE)</formula>
    </cfRule>
  </conditionalFormatting>
  <conditionalFormatting sqref="Q25">
    <cfRule type="expression" dxfId="321" priority="41">
      <formula>IF(R25=FALSE,TRUE,FALSE)</formula>
    </cfRule>
    <cfRule type="expression" dxfId="320" priority="42">
      <formula>IF(R25=TRUE,TRUE,FALSE)</formula>
    </cfRule>
  </conditionalFormatting>
  <conditionalFormatting sqref="Q32">
    <cfRule type="expression" dxfId="319" priority="39">
      <formula>IF(R32=FALSE,TRUE,FALSE)</formula>
    </cfRule>
    <cfRule type="expression" dxfId="318" priority="40">
      <formula>IF(R32=TRUE,TRUE,FALSE)</formula>
    </cfRule>
  </conditionalFormatting>
  <conditionalFormatting sqref="Q33">
    <cfRule type="expression" dxfId="317" priority="37">
      <formula>IF(R33=FALSE,TRUE,FALSE)</formula>
    </cfRule>
    <cfRule type="expression" dxfId="316" priority="38">
      <formula>IF(R33=TRUE,TRUE,FALSE)</formula>
    </cfRule>
  </conditionalFormatting>
  <conditionalFormatting sqref="Q18">
    <cfRule type="expression" dxfId="315" priority="35">
      <formula>IF($O$18=FALSE,TRUE,FALSE)</formula>
    </cfRule>
    <cfRule type="expression" dxfId="314" priority="36">
      <formula>IF($O$18=TRUE,TRUE,FALSE)</formula>
    </cfRule>
  </conditionalFormatting>
  <conditionalFormatting sqref="Q37">
    <cfRule type="expression" dxfId="313" priority="33">
      <formula>IF(R37=FALSE,TRUE,FALSE)</formula>
    </cfRule>
    <cfRule type="expression" dxfId="312" priority="34">
      <formula>IF(R37=TRUE,TRUE,FALSE)</formula>
    </cfRule>
  </conditionalFormatting>
  <conditionalFormatting sqref="Q64">
    <cfRule type="expression" dxfId="311" priority="31">
      <formula>IF(R64=FALSE,TRUE,FALSE)</formula>
    </cfRule>
    <cfRule type="expression" dxfId="310" priority="32">
      <formula>IF(R64=TRUE,TRUE,FALSE)</formula>
    </cfRule>
  </conditionalFormatting>
  <conditionalFormatting sqref="Q68">
    <cfRule type="expression" dxfId="309" priority="29">
      <formula>IF(R68=FALSE,TRUE,FALSE)</formula>
    </cfRule>
    <cfRule type="expression" dxfId="308" priority="30">
      <formula>IF(R68=TRUE,TRUE,FALSE)</formula>
    </cfRule>
  </conditionalFormatting>
  <conditionalFormatting sqref="Q74">
    <cfRule type="expression" dxfId="307" priority="27">
      <formula>IF(R74=FALSE,TRUE,FALSE)</formula>
    </cfRule>
    <cfRule type="expression" dxfId="306" priority="28">
      <formula>IF(R74=TRUE,TRUE,FALSE)</formula>
    </cfRule>
  </conditionalFormatting>
  <conditionalFormatting sqref="Q78">
    <cfRule type="expression" dxfId="305" priority="25">
      <formula>IF(R78=FALSE,TRUE,FALSE)</formula>
    </cfRule>
    <cfRule type="expression" dxfId="304" priority="26">
      <formula>IF(R78=TRUE,TRUE,FALSE)</formula>
    </cfRule>
  </conditionalFormatting>
  <conditionalFormatting sqref="Q90">
    <cfRule type="expression" dxfId="303" priority="23">
      <formula>IF(R90=FALSE,TRUE,FALSE)</formula>
    </cfRule>
    <cfRule type="expression" dxfId="302" priority="24">
      <formula>IF(R90=TRUE,TRUE,FALSE)</formula>
    </cfRule>
  </conditionalFormatting>
  <conditionalFormatting sqref="Q87">
    <cfRule type="expression" dxfId="301" priority="21">
      <formula>IF(R87=FALSE,TRUE,FALSE)</formula>
    </cfRule>
    <cfRule type="expression" dxfId="300" priority="22">
      <formula>IF(R87=TRUE,TRUE,FALSE)</formula>
    </cfRule>
  </conditionalFormatting>
  <conditionalFormatting sqref="Q102">
    <cfRule type="expression" dxfId="299" priority="19">
      <formula>IF(R102=FALSE,TRUE,FALSE)</formula>
    </cfRule>
    <cfRule type="expression" dxfId="298" priority="20">
      <formula>IF(R102=TRUE,TRUE,FALSE)</formula>
    </cfRule>
  </conditionalFormatting>
  <conditionalFormatting sqref="Q99">
    <cfRule type="expression" dxfId="297" priority="17">
      <formula>IF(R99=FALSE,TRUE,FALSE)</formula>
    </cfRule>
    <cfRule type="expression" dxfId="296" priority="18">
      <formula>IF(R99=TRUE,TRUE,FALSE)</formula>
    </cfRule>
  </conditionalFormatting>
  <conditionalFormatting sqref="Q111">
    <cfRule type="expression" dxfId="295" priority="15">
      <formula>IF(R111=FALSE,TRUE,FALSE)</formula>
    </cfRule>
    <cfRule type="expression" dxfId="294" priority="16">
      <formula>IF(R111=TRUE,TRUE,FALSE)</formula>
    </cfRule>
  </conditionalFormatting>
  <conditionalFormatting sqref="B91:B94">
    <cfRule type="expression" dxfId="293" priority="12">
      <formula>IF(AND($E91=FALSE,OR($I91&lt;&gt;"",$L91&lt;&gt;"")),TRUE,FALSE)</formula>
    </cfRule>
    <cfRule type="expression" dxfId="292" priority="13">
      <formula>IF(AND($E91=TRUE,OR($I91="",$J91="")),TRUE,FALSE)</formula>
    </cfRule>
    <cfRule type="expression" dxfId="291" priority="14">
      <formula>IF(AND($E91=TRUE,OR($I91&lt;&gt;"",$L91="")),TRUE,FALSE)</formula>
    </cfRule>
  </conditionalFormatting>
  <conditionalFormatting sqref="B95:B97">
    <cfRule type="expression" dxfId="290" priority="9">
      <formula>IF(AND($E95=FALSE,OR($I95&lt;&gt;"",$L95&lt;&gt;"")),TRUE,FALSE)</formula>
    </cfRule>
    <cfRule type="expression" dxfId="289" priority="10">
      <formula>IF(AND($E95=TRUE,OR($I95="",$J95="")),TRUE,FALSE)</formula>
    </cfRule>
    <cfRule type="expression" dxfId="288" priority="11">
      <formula>IF(AND($E95=TRUE,OR($I95&lt;&gt;"",$L95="")),TRUE,FALSE)</formula>
    </cfRule>
  </conditionalFormatting>
  <conditionalFormatting sqref="B98 B100:B101">
    <cfRule type="expression" dxfId="287" priority="3">
      <formula>IF(AND($E98=FALSE,OR($I98&lt;&gt;"",$L98&lt;&gt;"")),TRUE,FALSE)</formula>
    </cfRule>
    <cfRule type="expression" dxfId="286" priority="4">
      <formula>IF(AND($E98=TRUE,OR($I98="",$J98="")),TRUE,FALSE)</formula>
    </cfRule>
    <cfRule type="expression" dxfId="285" priority="5">
      <formula>IF(AND($E98=TRUE,OR($I98&lt;&gt;"",$L98="")),TRUE,FALSE)</formula>
    </cfRule>
  </conditionalFormatting>
  <conditionalFormatting sqref="B99">
    <cfRule type="expression" dxfId="284" priority="2">
      <formula>IF($E99,TRUE)</formula>
    </cfRule>
  </conditionalFormatting>
  <dataValidations count="3">
    <dataValidation type="custom" allowBlank="1" showInputMessage="1" showErrorMessage="1" promptTitle="Summary Cell" prompt="You can't enter any data here" sqref="N18 V18">
      <formula1>"Summary"</formula1>
    </dataValidation>
    <dataValidation showInputMessage="1" showErrorMessage="1" sqref="W55:W58 O55:O58"/>
    <dataValidation type="list" allowBlank="1" showInputMessage="1" showErrorMessage="1" sqref="N51:O51">
      <formula1>Initial_Compliance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Dropdowns!$F$2:$F$8</xm:f>
          </x14:formula1>
          <xm:sqref>N19:N21 N55:N58 N26:N28 N33:N50 N60:N62 N64 N68 N74 N79:N86 N91 N100 N103 N110 N112 N105:N106 N93:N98 N88 V19:V21 V26:V28 V60:V62 Q50 Q60:Q62 V33:V50 V55:V58 V64 V68 V74 V79:V86 V91 V100 V103 V110 V112 V105:V106 V93:V98 V88</xm:sqref>
        </x14:dataValidation>
        <x14:dataValidation type="list" allowBlank="1" showInputMessage="1" showErrorMessage="1">
          <x14:formula1>
            <xm:f>Dropdowns!$D$16:$D$23</xm:f>
          </x14:formula1>
          <xm:sqref>D34:D36 D19:D21 D56:D58 D26:D28 D38:D44 D46:D50 D61:D62 D65:D67 D112:D113 D79:D86 D88:D89 D91:D98 D100:D101 D103:D110 D69:D73 D75:D77 Q46:Q49 Q38:Q44 Q34:Q36 Q19:Q21 Q26:Q28 Q56:Q58 Q65:Q67 Q112:Q113 Q79:Q86 Q88:Q89 Q91:Q98 Q100:Q101 Q103:Q110 Q69:Q73 Q75:Q77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A92"/>
  <sheetViews>
    <sheetView topLeftCell="B1" workbookViewId="0">
      <selection activeCell="B28" sqref="A28:XFD28"/>
    </sheetView>
  </sheetViews>
  <sheetFormatPr defaultColWidth="8.796875" defaultRowHeight="13" x14ac:dyDescent="0.3"/>
  <cols>
    <col min="1" max="1" width="0" style="3484" hidden="1" customWidth="1"/>
    <col min="2" max="3" width="43.796875" style="3484" customWidth="1"/>
    <col min="4" max="4" width="29" style="3484" customWidth="1"/>
    <col min="5" max="6" width="9.69921875" style="3484" hidden="1" customWidth="1"/>
    <col min="7" max="8" width="8.796875" style="3484" hidden="1" customWidth="1"/>
    <col min="9" max="9" width="59.796875" style="3484" customWidth="1"/>
    <col min="10" max="10" width="8.3984375" style="3484" hidden="1" customWidth="1"/>
    <col min="11" max="11" width="9.19921875" style="3484" hidden="1" customWidth="1"/>
    <col min="12" max="12" width="26.19921875" style="3484" customWidth="1"/>
    <col min="13" max="14" width="26.296875" style="3484" customWidth="1"/>
    <col min="15" max="15" width="0" style="3484" hidden="1" customWidth="1"/>
    <col min="16" max="16" width="37" style="3484" customWidth="1"/>
    <col min="17" max="17" width="12" style="3484" hidden="1" customWidth="1"/>
    <col min="18" max="18" width="55.19921875" style="3484" customWidth="1"/>
    <col min="19" max="19" width="36.69921875" style="3484" customWidth="1"/>
    <col min="20" max="20" width="40.3984375" style="3484" customWidth="1"/>
    <col min="21" max="21" width="27.296875" style="3484" customWidth="1"/>
    <col min="22" max="22" width="0" style="3484" hidden="1" customWidth="1"/>
    <col min="23" max="23" width="51.69921875" style="14" customWidth="1"/>
    <col min="24" max="24" width="32.296875" style="3484" customWidth="1"/>
    <col min="25" max="25" width="26.296875" style="3484" customWidth="1"/>
    <col min="26" max="16384" width="8.796875" style="3484"/>
  </cols>
  <sheetData>
    <row r="1" spans="1:25" ht="69" customHeight="1" x14ac:dyDescent="0.3">
      <c r="B1" s="4521"/>
      <c r="C1" s="4521"/>
      <c r="D1" s="4521"/>
    </row>
    <row r="2" spans="1:25" ht="99.75" customHeight="1" x14ac:dyDescent="0.3">
      <c r="B2" s="4398" t="s">
        <v>2280</v>
      </c>
      <c r="C2" s="4494"/>
      <c r="D2" s="4494"/>
    </row>
    <row r="3" spans="1:25" x14ac:dyDescent="0.3">
      <c r="B3" s="4643"/>
      <c r="C3" s="4643"/>
      <c r="D3" s="4643"/>
    </row>
    <row r="4" spans="1:25" s="1085" customFormat="1" ht="54" customHeight="1" thickBot="1" x14ac:dyDescent="0.35">
      <c r="A4" s="4917" t="s">
        <v>2282</v>
      </c>
      <c r="B4" s="4917"/>
      <c r="C4" s="4917"/>
      <c r="D4" s="4917"/>
      <c r="E4" s="1106"/>
      <c r="F4" s="1107"/>
      <c r="G4" s="1107"/>
      <c r="H4" s="1107"/>
      <c r="I4" s="1107"/>
      <c r="J4" s="1107"/>
      <c r="K4" s="1107"/>
      <c r="W4" s="560"/>
    </row>
    <row r="5" spans="1:25" s="225" customFormat="1" ht="40.5" customHeight="1" thickTop="1" thickBot="1" x14ac:dyDescent="0.35">
      <c r="A5" s="1103"/>
      <c r="B5" s="1103" t="s">
        <v>1872</v>
      </c>
      <c r="C5" s="1103" t="s">
        <v>1873</v>
      </c>
      <c r="D5" s="1103" t="s">
        <v>1236</v>
      </c>
      <c r="E5" s="1103"/>
      <c r="F5" s="1103"/>
      <c r="G5" s="1104"/>
      <c r="H5" s="1103"/>
      <c r="I5" s="1103" t="s">
        <v>458</v>
      </c>
      <c r="J5" s="1104"/>
      <c r="K5" s="1104"/>
      <c r="L5" s="1103" t="s">
        <v>408</v>
      </c>
      <c r="M5" s="1103" t="s">
        <v>466</v>
      </c>
      <c r="N5" s="1104" t="s">
        <v>465</v>
      </c>
      <c r="O5" s="1103"/>
      <c r="P5" s="1103" t="s">
        <v>1212</v>
      </c>
      <c r="Q5" s="1103"/>
      <c r="R5" s="1103" t="s">
        <v>396</v>
      </c>
      <c r="S5" s="1103" t="s">
        <v>409</v>
      </c>
      <c r="T5" s="1103" t="s">
        <v>1211</v>
      </c>
      <c r="U5" s="1103" t="s">
        <v>1801</v>
      </c>
      <c r="V5" s="1103"/>
      <c r="W5" s="1103" t="s">
        <v>10</v>
      </c>
      <c r="X5" s="1103" t="s">
        <v>11</v>
      </c>
      <c r="Y5" s="1103" t="s">
        <v>12</v>
      </c>
    </row>
    <row r="6" spans="1:25" ht="19" thickTop="1" x14ac:dyDescent="0.3">
      <c r="A6" s="250"/>
      <c r="B6" s="4918" t="s">
        <v>900</v>
      </c>
      <c r="C6" s="4918"/>
      <c r="D6" s="4919"/>
    </row>
    <row r="7" spans="1:25" ht="45.65" customHeight="1" thickBot="1" x14ac:dyDescent="0.35">
      <c r="A7" s="251"/>
      <c r="B7" s="4920" t="s">
        <v>2283</v>
      </c>
      <c r="C7" s="4920"/>
      <c r="D7" s="4921"/>
    </row>
    <row r="8" spans="1:25" ht="15.5" thickTop="1" thickBot="1" x14ac:dyDescent="0.35">
      <c r="A8" s="14"/>
      <c r="B8" s="103"/>
    </row>
    <row r="9" spans="1:25" s="2" customFormat="1" ht="39" customHeight="1" thickTop="1" thickBot="1" x14ac:dyDescent="0.35">
      <c r="A9" s="3489"/>
      <c r="B9" s="3488" t="s">
        <v>901</v>
      </c>
      <c r="C9" s="400"/>
      <c r="D9" s="400"/>
      <c r="E9" s="400" t="b">
        <v>0</v>
      </c>
      <c r="F9" s="400"/>
      <c r="G9" s="400"/>
      <c r="H9" s="400"/>
      <c r="I9" s="400"/>
      <c r="J9" s="400"/>
      <c r="K9" s="400"/>
      <c r="L9" s="400"/>
      <c r="M9" s="400"/>
      <c r="N9" s="538"/>
      <c r="O9" s="3495"/>
      <c r="P9" s="3495"/>
      <c r="Q9" s="3495"/>
      <c r="R9" s="3495"/>
      <c r="S9" s="3495"/>
      <c r="T9" s="3495"/>
      <c r="U9" s="3495"/>
      <c r="V9" s="3495"/>
      <c r="W9" s="3495"/>
      <c r="X9" s="3495"/>
      <c r="Y9" s="3495"/>
    </row>
    <row r="10" spans="1:25" ht="18" customHeight="1" thickTop="1" thickBot="1" x14ac:dyDescent="0.35">
      <c r="A10" s="14"/>
      <c r="B10" s="535"/>
      <c r="C10" s="535"/>
      <c r="D10" s="535"/>
    </row>
    <row r="11" spans="1:25" s="2" customFormat="1" ht="19" thickTop="1" x14ac:dyDescent="0.3">
      <c r="A11" s="4911" t="s">
        <v>1254</v>
      </c>
      <c r="B11" s="4912"/>
      <c r="C11" s="4912"/>
      <c r="D11" s="4912"/>
      <c r="E11" s="4912"/>
      <c r="F11" s="4912"/>
      <c r="G11" s="4912"/>
      <c r="H11" s="4912"/>
      <c r="I11" s="4912"/>
      <c r="J11" s="4912"/>
      <c r="K11" s="4912"/>
      <c r="L11" s="4912"/>
      <c r="M11" s="4912"/>
      <c r="N11" s="4912"/>
      <c r="O11" s="4912"/>
      <c r="P11" s="4912"/>
      <c r="Q11" s="4912"/>
      <c r="R11" s="4912"/>
      <c r="S11" s="4912"/>
      <c r="T11" s="4912"/>
      <c r="U11" s="3497"/>
      <c r="V11" s="3497"/>
      <c r="W11" s="3497"/>
      <c r="X11" s="3497"/>
      <c r="Y11" s="536"/>
    </row>
    <row r="12" spans="1:25" ht="15" thickBot="1" x14ac:dyDescent="0.35">
      <c r="A12" s="252"/>
      <c r="B12" s="253"/>
      <c r="C12" s="50"/>
      <c r="D12" s="50"/>
      <c r="E12" s="50"/>
      <c r="F12" s="50"/>
      <c r="G12" s="50"/>
      <c r="H12" s="50"/>
      <c r="I12" s="50"/>
      <c r="J12" s="50"/>
      <c r="K12" s="50"/>
      <c r="L12" s="50"/>
      <c r="M12" s="50"/>
      <c r="N12" s="50"/>
      <c r="O12" s="50"/>
      <c r="P12" s="50"/>
      <c r="Q12" s="50"/>
      <c r="R12" s="50"/>
      <c r="S12" s="50"/>
      <c r="T12" s="50"/>
      <c r="U12" s="50"/>
      <c r="V12" s="50"/>
      <c r="W12" s="50"/>
      <c r="X12" s="50"/>
      <c r="Y12" s="154"/>
    </row>
    <row r="13" spans="1:25" s="2" customFormat="1" ht="44" thickTop="1" x14ac:dyDescent="0.3">
      <c r="A13" s="3486"/>
      <c r="B13" s="344" t="s">
        <v>824</v>
      </c>
      <c r="C13" s="2030" t="s">
        <v>475</v>
      </c>
      <c r="D13" s="2078" t="s">
        <v>1233</v>
      </c>
      <c r="E13" s="44" t="b">
        <f>E20</f>
        <v>0</v>
      </c>
      <c r="F13" s="44"/>
      <c r="G13" s="47"/>
      <c r="H13" s="47"/>
      <c r="I13" s="47"/>
      <c r="J13" s="47"/>
      <c r="K13" s="47"/>
      <c r="L13" s="47"/>
      <c r="M13" s="47"/>
      <c r="N13" s="50"/>
      <c r="O13" s="44" t="b">
        <v>0</v>
      </c>
      <c r="P13" s="44"/>
      <c r="Q13" s="44" t="b">
        <v>0</v>
      </c>
      <c r="R13" s="3498"/>
      <c r="S13" s="3498"/>
      <c r="T13" s="3498"/>
      <c r="U13" s="3498"/>
      <c r="V13" s="44" t="b">
        <v>0</v>
      </c>
      <c r="W13" s="113"/>
      <c r="X13" s="113"/>
      <c r="Y13" s="114"/>
    </row>
    <row r="14" spans="1:25" s="2" customFormat="1" ht="29" x14ac:dyDescent="0.3">
      <c r="A14" s="254"/>
      <c r="B14" s="346" t="s">
        <v>825</v>
      </c>
      <c r="C14" s="2079" t="s">
        <v>474</v>
      </c>
      <c r="D14" s="2079" t="s">
        <v>1233</v>
      </c>
      <c r="E14" s="44" t="b">
        <f>E25</f>
        <v>0</v>
      </c>
      <c r="F14" s="44"/>
      <c r="G14" s="47"/>
      <c r="H14" s="47"/>
      <c r="I14" s="47"/>
      <c r="J14" s="47"/>
      <c r="K14" s="47"/>
      <c r="L14" s="47"/>
      <c r="M14" s="47"/>
      <c r="N14" s="50"/>
      <c r="O14" s="44" t="b">
        <v>0</v>
      </c>
      <c r="P14" s="44"/>
      <c r="Q14" s="44" t="b">
        <v>0</v>
      </c>
      <c r="R14" s="3498"/>
      <c r="S14" s="3498"/>
      <c r="T14" s="3498"/>
      <c r="U14" s="3498"/>
      <c r="V14" s="44" t="b">
        <v>0</v>
      </c>
      <c r="W14" s="113"/>
      <c r="X14" s="113"/>
      <c r="Y14" s="114"/>
    </row>
    <row r="15" spans="1:25" s="2" customFormat="1" ht="43.5" x14ac:dyDescent="0.3">
      <c r="A15" s="3486"/>
      <c r="B15" s="348" t="s">
        <v>826</v>
      </c>
      <c r="C15" s="2079" t="s">
        <v>822</v>
      </c>
      <c r="D15" s="2079" t="s">
        <v>1233</v>
      </c>
      <c r="E15" s="361" t="b">
        <f>E33</f>
        <v>0</v>
      </c>
      <c r="F15" s="361"/>
      <c r="G15" s="361"/>
      <c r="H15" s="361"/>
      <c r="I15" s="361"/>
      <c r="J15" s="361"/>
      <c r="K15" s="361"/>
      <c r="L15" s="361"/>
      <c r="M15" s="361"/>
      <c r="N15" s="157"/>
      <c r="O15" s="3498"/>
      <c r="P15" s="3498"/>
      <c r="Q15" s="3498"/>
      <c r="R15" s="3498"/>
      <c r="S15" s="3498"/>
      <c r="T15" s="3498"/>
      <c r="U15" s="3498"/>
      <c r="V15" s="3498"/>
      <c r="W15" s="3498"/>
      <c r="X15" s="3498"/>
      <c r="Y15" s="116"/>
    </row>
    <row r="16" spans="1:25" s="2" customFormat="1" ht="29.5" thickBot="1" x14ac:dyDescent="0.35">
      <c r="A16" s="3487"/>
      <c r="B16" s="350" t="s">
        <v>827</v>
      </c>
      <c r="C16" s="2080" t="s">
        <v>823</v>
      </c>
      <c r="D16" s="2081" t="s">
        <v>1233</v>
      </c>
      <c r="E16" s="258" t="b">
        <f>E39</f>
        <v>0</v>
      </c>
      <c r="F16" s="258"/>
      <c r="G16" s="258"/>
      <c r="H16" s="258"/>
      <c r="I16" s="258"/>
      <c r="J16" s="258"/>
      <c r="K16" s="258"/>
      <c r="L16" s="258"/>
      <c r="M16" s="258"/>
      <c r="N16" s="159"/>
      <c r="O16" s="3499"/>
      <c r="P16" s="3499"/>
      <c r="Q16" s="3499"/>
      <c r="R16" s="3499"/>
      <c r="S16" s="3499"/>
      <c r="T16" s="3499"/>
      <c r="U16" s="3499"/>
      <c r="V16" s="3499"/>
      <c r="W16" s="3499"/>
      <c r="X16" s="3499"/>
      <c r="Y16" s="118"/>
    </row>
    <row r="17" spans="1:25" s="70" customFormat="1" ht="15.5" thickTop="1" thickBot="1" x14ac:dyDescent="0.35">
      <c r="A17" s="214"/>
      <c r="C17" s="214"/>
      <c r="E17" s="3490"/>
      <c r="F17" s="3490"/>
      <c r="G17" s="214"/>
      <c r="H17" s="214"/>
      <c r="I17" s="222"/>
      <c r="J17" s="222"/>
      <c r="K17" s="222"/>
      <c r="L17" s="222"/>
      <c r="M17" s="222"/>
      <c r="N17" s="214"/>
      <c r="O17" s="222"/>
      <c r="Q17" s="222"/>
      <c r="R17" s="222"/>
      <c r="S17" s="222"/>
      <c r="T17" s="222"/>
      <c r="U17" s="222"/>
      <c r="V17" s="222"/>
      <c r="W17" s="222"/>
      <c r="X17" s="222"/>
      <c r="Y17" s="222"/>
    </row>
    <row r="18" spans="1:25" s="225" customFormat="1" ht="19" thickTop="1" x14ac:dyDescent="0.3">
      <c r="A18" s="4911" t="s">
        <v>1135</v>
      </c>
      <c r="B18" s="4912"/>
      <c r="C18" s="4912"/>
      <c r="D18" s="4912"/>
      <c r="E18" s="4912"/>
      <c r="F18" s="4912"/>
      <c r="G18" s="4912"/>
      <c r="H18" s="4912"/>
      <c r="I18" s="4912"/>
      <c r="J18" s="4912"/>
      <c r="K18" s="4912"/>
      <c r="L18" s="4912"/>
      <c r="M18" s="4912"/>
      <c r="N18" s="4912"/>
      <c r="O18" s="3497"/>
      <c r="P18" s="3497"/>
      <c r="Q18" s="3497"/>
      <c r="R18" s="3497"/>
      <c r="S18" s="3497"/>
      <c r="T18" s="3497"/>
      <c r="U18" s="3497"/>
      <c r="V18" s="3497"/>
      <c r="W18" s="3497"/>
      <c r="X18" s="3497"/>
      <c r="Y18" s="256"/>
    </row>
    <row r="19" spans="1:25" s="70" customFormat="1" ht="15" thickBot="1" x14ac:dyDescent="0.35">
      <c r="A19" s="257"/>
      <c r="B19" s="2083"/>
      <c r="C19" s="2083"/>
      <c r="D19" s="2083"/>
      <c r="E19" s="2083"/>
      <c r="F19" s="2083"/>
      <c r="G19" s="2083"/>
      <c r="H19" s="2083"/>
      <c r="I19" s="2083"/>
      <c r="J19" s="2083"/>
      <c r="K19" s="2083"/>
      <c r="L19" s="2083"/>
      <c r="M19" s="2083"/>
      <c r="N19" s="2083"/>
      <c r="O19" s="2083"/>
      <c r="P19" s="2083"/>
      <c r="Q19" s="2083"/>
      <c r="R19" s="2083"/>
      <c r="S19" s="2083"/>
      <c r="T19" s="2083"/>
      <c r="U19" s="2083"/>
      <c r="V19" s="2083"/>
      <c r="W19" s="2083"/>
      <c r="X19" s="2083"/>
      <c r="Y19" s="2084"/>
    </row>
    <row r="20" spans="1:25" s="2" customFormat="1" ht="44.5" thickTop="1" thickBot="1" x14ac:dyDescent="0.35">
      <c r="A20" s="3487"/>
      <c r="B20" s="1051" t="s">
        <v>415</v>
      </c>
      <c r="C20" s="2085" t="s">
        <v>940</v>
      </c>
      <c r="D20" s="2086"/>
      <c r="E20" s="2085" t="b">
        <f>IF(AND(E21=TRUE,E29=TRUE,E27=TRUE),TRUE,FALSE)</f>
        <v>0</v>
      </c>
      <c r="F20" s="2085"/>
      <c r="G20" s="2085">
        <f>COUNTIFS(E21:E32,TRUE,G21:G32,"Not Blank")</f>
        <v>0</v>
      </c>
      <c r="H20" s="2085">
        <f>COUNTIFS(E21:E32,FALSE,G21:G32,"Not Blank")</f>
        <v>0</v>
      </c>
      <c r="I20" s="2087" t="str">
        <f>IF(AND(E20=FALSE,G20=0,H20=0),"Nothing Enterred below Yet",IF(AND(E20=FALSE,G20&gt;0,H20=0),"Entry below has not been summarised",IF(AND(G20=0,H20&gt;0),"**Non-Valid Entry/ies below - Check Yellow Box/es",IF(AND(E20,TRUE,G20=1,H20=0),"Valid Entry made below",IF(AND(E20=TRUE,G20=0,H20=0),"Valid Entry required below - Check amber box",IF(AND(E20=TRUE,G20&gt;1,H20=0),"**Too many Options used - check Red Boxes",IF(AND(G20&gt;0,H20&gt;0),"**Valid and Non-Valid Entries made below - Check Yellow Box/es")))))))</f>
        <v>Nothing Enterred below Yet</v>
      </c>
      <c r="J20" s="240"/>
      <c r="K20" s="240"/>
      <c r="L20" s="2087" t="str">
        <f>IF(AND(E20=FALSE,J20=0,K20=0),"Nothing Enterred below Yet",IF(AND(J20=0,K20&gt;0),"**Non-Valid Entry/ies below - Check Yellow Box/es",IF(J20&lt;F20,"Valid Entry required below - Check amber box",IF(AND(J20&gt;0,K20&gt;0),"**Valid and Non-Valid Entries made below - Check Yellow Box/es",IF(AND(E20=FALSE,J20&lt;4),"Not all requirements addressed below - Check Pink Box/es",IF(AND(E20,TRUE,J20=4,K20=0),"Valid Entries made below"))))))</f>
        <v>Nothing Enterred below Yet</v>
      </c>
      <c r="M20" s="240"/>
      <c r="N20" s="400"/>
      <c r="O20" s="91"/>
      <c r="P20" s="91"/>
      <c r="Q20" s="91"/>
      <c r="R20" s="91"/>
      <c r="S20" s="91"/>
      <c r="T20" s="91"/>
      <c r="U20" s="2088"/>
      <c r="V20" s="91"/>
      <c r="W20" s="2088"/>
      <c r="X20" s="2088"/>
      <c r="Y20" s="2089"/>
    </row>
    <row r="21" spans="1:25" ht="44" thickTop="1" x14ac:dyDescent="0.3">
      <c r="A21" s="16"/>
      <c r="B21" s="16"/>
      <c r="C21" s="1903" t="s">
        <v>2291</v>
      </c>
      <c r="D21" s="392" t="s">
        <v>13</v>
      </c>
      <c r="W21" s="3484"/>
    </row>
    <row r="22" spans="1:25" s="3493" customFormat="1" ht="18" customHeight="1" thickBot="1" x14ac:dyDescent="0.35">
      <c r="A22" s="18"/>
      <c r="B22" s="19"/>
      <c r="C22" s="3489"/>
      <c r="D22" s="3489"/>
      <c r="E22" s="3489"/>
      <c r="F22" s="3489"/>
      <c r="G22" s="70"/>
      <c r="H22" s="233"/>
      <c r="I22" s="150"/>
      <c r="N22" s="214"/>
      <c r="U22" s="3496"/>
    </row>
    <row r="23" spans="1:25" s="2" customFormat="1" ht="18.649999999999999" customHeight="1" thickTop="1" x14ac:dyDescent="0.3">
      <c r="A23" s="4911" t="s">
        <v>1137</v>
      </c>
      <c r="B23" s="4912"/>
      <c r="C23" s="4912"/>
      <c r="D23" s="4912"/>
      <c r="E23" s="4912"/>
      <c r="F23" s="4912"/>
      <c r="G23" s="4912"/>
      <c r="H23" s="4912"/>
      <c r="I23" s="4912"/>
      <c r="J23" s="4912"/>
      <c r="K23" s="4912"/>
      <c r="L23" s="4912"/>
      <c r="M23" s="4912"/>
      <c r="N23" s="4912"/>
      <c r="O23" s="537"/>
      <c r="P23" s="537"/>
      <c r="Q23" s="537"/>
      <c r="R23" s="537"/>
      <c r="S23" s="537"/>
      <c r="T23" s="537"/>
      <c r="U23" s="259"/>
      <c r="V23" s="537"/>
      <c r="W23" s="259"/>
      <c r="X23" s="259"/>
      <c r="Y23" s="260"/>
    </row>
    <row r="24" spans="1:25" s="2" customFormat="1" ht="18" customHeight="1" x14ac:dyDescent="0.3">
      <c r="A24" s="254"/>
      <c r="B24" s="157"/>
      <c r="C24" s="44"/>
      <c r="D24" s="44"/>
      <c r="E24" s="361"/>
      <c r="F24" s="361"/>
      <c r="G24" s="382"/>
      <c r="H24" s="361"/>
      <c r="I24" s="44"/>
      <c r="J24" s="216"/>
      <c r="K24" s="216"/>
      <c r="L24" s="44"/>
      <c r="M24" s="44"/>
      <c r="N24" s="382"/>
      <c r="O24" s="3498"/>
      <c r="P24" s="3498"/>
      <c r="Q24" s="3498"/>
      <c r="R24" s="3498"/>
      <c r="S24" s="3498"/>
      <c r="T24" s="3498"/>
      <c r="U24" s="113"/>
      <c r="V24" s="3498"/>
      <c r="W24" s="113"/>
      <c r="X24" s="113"/>
      <c r="Y24" s="114"/>
    </row>
    <row r="25" spans="1:25" s="3493" customFormat="1" ht="29.5" thickBot="1" x14ac:dyDescent="0.35">
      <c r="A25" s="121">
        <v>11</v>
      </c>
      <c r="B25" s="44" t="s">
        <v>474</v>
      </c>
      <c r="C25" s="2061" t="s">
        <v>670</v>
      </c>
      <c r="D25" s="1903" t="s">
        <v>1195</v>
      </c>
      <c r="E25" s="1976" t="b">
        <f>IF(AND(E26=TRUE,E27=TRUE,E29=TRUE),TRUE,FALSE)</f>
        <v>0</v>
      </c>
      <c r="F25" s="1976">
        <f>COUNTIF(E26:E29,TRUE)</f>
        <v>1</v>
      </c>
      <c r="G25" s="2082">
        <f>COUNTIFS(E26:E29,TRUE,G26:G29,"Not Blank")</f>
        <v>0</v>
      </c>
      <c r="H25" s="1920">
        <f>COUNTIFS(E26:E29,FALSE,G26:G29,"Not Blank")</f>
        <v>0</v>
      </c>
      <c r="I25" s="151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Valid Entry required below - Check Amber Line/s</v>
      </c>
      <c r="J25" s="1518">
        <f>COUNTIFS(E26:E29,TRUE,J26:J29,"Not Blank")</f>
        <v>0</v>
      </c>
      <c r="K25" s="1518">
        <f>COUNTIFS(E26:E29,FALSE,J26:J29,"Not Blank")</f>
        <v>0</v>
      </c>
      <c r="L25" s="1517" t="str">
        <f>IF(AND(E25=FALSE,J25=0,K25=0),"Nothing Enterred below Yet",IF(AND(J25=0,K25&gt;0),"**Non-Valid Entry/ies below - Check Yellow Box/es",IF(J25&lt;F25,"Valid Entry required below - Check amber box",IF(AND(J25&gt;0,K25&gt;0),"**Valid and Non-Valid Entries made below - Check Yellow Box/es",IF(AND(E25=FALSE,J25&lt;4),"Not all requirements addressed below - Check Pink Box/es",IF(AND(E25,TRUE,J25=4,K25=0),"Valid Entries made below"))))))</f>
        <v>Nothing Enterred below Yet</v>
      </c>
      <c r="M25" s="197"/>
      <c r="N25" s="4913"/>
      <c r="O25" s="44"/>
      <c r="P25" s="44"/>
      <c r="Q25" s="44"/>
      <c r="R25" s="44"/>
      <c r="S25" s="44"/>
      <c r="T25" s="44"/>
      <c r="U25" s="4915"/>
      <c r="V25" s="44"/>
      <c r="W25" s="44"/>
      <c r="X25" s="44"/>
      <c r="Y25" s="122"/>
    </row>
    <row r="26" spans="1:25" s="3493" customFormat="1" ht="73" thickTop="1" x14ac:dyDescent="0.3">
      <c r="A26" s="121" t="s">
        <v>1106</v>
      </c>
      <c r="B26" s="44"/>
      <c r="C26" s="2061" t="s">
        <v>1250</v>
      </c>
      <c r="D26" s="392" t="s">
        <v>13</v>
      </c>
      <c r="E26" s="361" t="b">
        <f>IF(D26="Compliant",TRUE,FALSE)</f>
        <v>1</v>
      </c>
      <c r="F26" s="361"/>
      <c r="G26" s="381" t="str">
        <f>IF(I26&lt;&gt;"", "Not Blank", "")</f>
        <v/>
      </c>
      <c r="H26" s="380"/>
      <c r="I26" s="189"/>
      <c r="J26" s="216" t="str">
        <f>IF(L26&lt;&gt;"", "Not Blank", "")</f>
        <v/>
      </c>
      <c r="K26" s="216"/>
      <c r="L26" s="44"/>
      <c r="M26" s="44"/>
      <c r="N26" s="4913"/>
      <c r="O26" s="44"/>
      <c r="P26" s="701" t="s">
        <v>3</v>
      </c>
      <c r="Q26" s="44"/>
      <c r="R26" s="44"/>
      <c r="S26" s="44"/>
      <c r="T26" s="44"/>
      <c r="U26" s="4915"/>
      <c r="V26" s="44"/>
      <c r="W26" s="44"/>
      <c r="X26" s="44"/>
      <c r="Y26" s="122"/>
    </row>
    <row r="27" spans="1:25" s="3493" customFormat="1" ht="72.5" x14ac:dyDescent="0.3">
      <c r="A27" s="121" t="s">
        <v>1106</v>
      </c>
      <c r="B27" s="44"/>
      <c r="C27" s="1903" t="s">
        <v>1950</v>
      </c>
      <c r="D27" s="392"/>
      <c r="E27" s="361" t="b">
        <f>IF(D27="Compliant",TRUE,FALSE)</f>
        <v>0</v>
      </c>
      <c r="F27" s="361"/>
      <c r="G27" s="381" t="str">
        <f>IF(I27&lt;&gt;"", "Not Blank", "")</f>
        <v/>
      </c>
      <c r="H27" s="380"/>
      <c r="I27" s="189"/>
      <c r="J27" s="216" t="str">
        <f>IF(L27&lt;&gt;"", "Not Blank", "")</f>
        <v/>
      </c>
      <c r="K27" s="216"/>
      <c r="L27" s="44"/>
      <c r="M27" s="44"/>
      <c r="N27" s="4913"/>
      <c r="O27" s="44"/>
      <c r="P27" s="44"/>
      <c r="Q27" s="44"/>
      <c r="R27" s="44"/>
      <c r="S27" s="44"/>
      <c r="T27" s="44"/>
      <c r="U27" s="4915"/>
      <c r="V27" s="44"/>
      <c r="W27" s="44"/>
      <c r="X27" s="44"/>
      <c r="Y27" s="122"/>
    </row>
    <row r="28" spans="1:25" s="3493" customFormat="1" ht="409.5" x14ac:dyDescent="0.3">
      <c r="A28" s="121">
        <v>7.5</v>
      </c>
      <c r="B28" s="44"/>
      <c r="C28" s="1903" t="s">
        <v>1114</v>
      </c>
      <c r="D28" s="392"/>
      <c r="E28" s="361" t="b">
        <f>IF(D28="Compliant",TRUE,FALSE)</f>
        <v>0</v>
      </c>
      <c r="F28" s="361"/>
      <c r="G28" s="381" t="str">
        <f>IF(I28&lt;&gt;"", "Not Blank", "")</f>
        <v/>
      </c>
      <c r="H28" s="380"/>
      <c r="I28" s="189"/>
      <c r="J28" s="216" t="str">
        <f>IF(L28&lt;&gt;"", "Not Blank", "")</f>
        <v/>
      </c>
      <c r="K28" s="216"/>
      <c r="L28" s="44"/>
      <c r="M28" s="44"/>
      <c r="N28" s="4913"/>
      <c r="O28" s="44"/>
      <c r="P28" s="44"/>
      <c r="Q28" s="44"/>
      <c r="R28" s="44"/>
      <c r="S28" s="44"/>
      <c r="T28" s="44"/>
      <c r="U28" s="4915"/>
      <c r="V28" s="44"/>
      <c r="W28" s="44"/>
      <c r="X28" s="44"/>
      <c r="Y28" s="122"/>
    </row>
    <row r="29" spans="1:25" s="3493" customFormat="1" ht="55" customHeight="1" thickBot="1" x14ac:dyDescent="0.35">
      <c r="A29" s="262" t="s">
        <v>1103</v>
      </c>
      <c r="B29" s="124"/>
      <c r="C29" s="1975" t="s">
        <v>1251</v>
      </c>
      <c r="D29" s="394"/>
      <c r="E29" s="258" t="b">
        <f>IF(D29="Compliant",TRUE,FALSE)</f>
        <v>0</v>
      </c>
      <c r="F29" s="258"/>
      <c r="G29" s="451" t="str">
        <f>IF(I29&lt;&gt;"", "Not Blank", "")</f>
        <v/>
      </c>
      <c r="H29" s="404"/>
      <c r="I29" s="190"/>
      <c r="J29" s="218" t="str">
        <f>IF(L29&lt;&gt;"", "Not Blank", "")</f>
        <v/>
      </c>
      <c r="K29" s="218"/>
      <c r="L29" s="124"/>
      <c r="M29" s="124"/>
      <c r="N29" s="4914"/>
      <c r="O29" s="124"/>
      <c r="P29" s="124"/>
      <c r="Q29" s="124"/>
      <c r="R29" s="124"/>
      <c r="S29" s="124"/>
      <c r="T29" s="124"/>
      <c r="U29" s="4916"/>
      <c r="V29" s="124"/>
      <c r="W29" s="124"/>
      <c r="X29" s="124"/>
      <c r="Y29" s="125"/>
    </row>
    <row r="30" spans="1:25" s="3493" customFormat="1" ht="19" customHeight="1" thickTop="1" thickBot="1" x14ac:dyDescent="0.35">
      <c r="A30" s="19"/>
      <c r="C30" s="149"/>
      <c r="E30" s="3489"/>
      <c r="F30" s="3489"/>
      <c r="G30" s="417"/>
      <c r="H30" s="17"/>
      <c r="I30" s="3494"/>
      <c r="J30" s="3490"/>
      <c r="K30" s="3490"/>
      <c r="N30" s="214"/>
      <c r="U30" s="3495"/>
    </row>
    <row r="31" spans="1:25" s="2" customFormat="1" ht="18.649999999999999" customHeight="1" thickTop="1" x14ac:dyDescent="0.3">
      <c r="A31" s="4911" t="s">
        <v>1138</v>
      </c>
      <c r="B31" s="4912"/>
      <c r="C31" s="4912"/>
      <c r="D31" s="4912"/>
      <c r="E31" s="4912"/>
      <c r="F31" s="4912"/>
      <c r="G31" s="4912"/>
      <c r="H31" s="4912"/>
      <c r="I31" s="4912"/>
      <c r="J31" s="4912"/>
      <c r="K31" s="4912"/>
      <c r="L31" s="4912"/>
      <c r="M31" s="4912"/>
      <c r="N31" s="4912"/>
      <c r="O31" s="537"/>
      <c r="P31" s="537"/>
      <c r="Q31" s="537"/>
      <c r="R31" s="537"/>
      <c r="S31" s="537"/>
      <c r="T31" s="537"/>
      <c r="U31" s="259"/>
      <c r="V31" s="537"/>
      <c r="W31" s="259"/>
      <c r="X31" s="259"/>
      <c r="Y31" s="260"/>
    </row>
    <row r="32" spans="1:25" x14ac:dyDescent="0.3">
      <c r="A32" s="153"/>
      <c r="B32" s="50"/>
      <c r="C32" s="50"/>
      <c r="D32" s="50"/>
      <c r="E32" s="50"/>
      <c r="F32" s="50"/>
      <c r="G32" s="50"/>
      <c r="H32" s="50"/>
      <c r="I32" s="50"/>
      <c r="J32" s="50"/>
      <c r="K32" s="50"/>
      <c r="L32" s="50"/>
      <c r="M32" s="50"/>
      <c r="N32" s="50"/>
      <c r="O32" s="50"/>
      <c r="P32" s="50"/>
      <c r="Q32" s="50"/>
      <c r="R32" s="50"/>
      <c r="S32" s="50"/>
      <c r="T32" s="50"/>
      <c r="U32" s="50"/>
      <c r="V32" s="50"/>
      <c r="W32" s="50"/>
      <c r="X32" s="50"/>
      <c r="Y32" s="154"/>
    </row>
    <row r="33" spans="1:27" s="3493" customFormat="1" ht="43.5" x14ac:dyDescent="0.3">
      <c r="A33" s="121">
        <v>7</v>
      </c>
      <c r="B33" s="44" t="s">
        <v>432</v>
      </c>
      <c r="C33" s="1903" t="s">
        <v>924</v>
      </c>
      <c r="D33" s="44"/>
      <c r="E33" s="44" t="b">
        <f>IF(AND(E34=TRUE,E40=TRUE),TRUE,FALSE)</f>
        <v>0</v>
      </c>
      <c r="F33" s="44">
        <f>COUNTIF(E34:E50,TRUE)</f>
        <v>0</v>
      </c>
      <c r="G33" s="44" t="e">
        <f>COUNTIFS(E34,TRUE,G34,"Not Blank")+COUNTIFS(E35:E37,TRUE,G35:G37,"Not Blank")+COUNTIFS(E38:E39,TRUE,G38:G39,"Not Blank")+COUNTIFS(#REF!,TRUE,#REF!,"Not Blank")+ COUNTIFS(E41:E45,TRUE,G41:G45,"Not Blank")+COUNTIFS(E47:E50,TRUE,G47:G50,"Not Blank")</f>
        <v>#REF!</v>
      </c>
      <c r="H33" s="44" t="e">
        <f>COUNTIFS(E34,FALSE,G34,"Not Blank")+COUNTIFS(E35:E37,FALSE,G35:G37,"Not Blank")+COUNTIFS(E38:E39,FALSE,G38:G39,"Not Blank")+COUNTIFS(#REF!,FALSE,#REF!,"Not Blank")+ COUNTIFS(E41:E45,FALSE,G41:G45,"Not Blank")+COUNTIFS(E47:E50,FALSE,G47:G50,"Not Blank")</f>
        <v>#REF!</v>
      </c>
      <c r="I33" s="44" t="e">
        <f>IF(AND(E33=FALSE,G33=0,H33=0),"Nothing Enterred below Yet",IF(AND(E33=FALSE,G33&gt;0,H33=0),"Entry below has not been summarised",IF(AND(G33=0,H33&gt;0),"**Non-Valid Entry/ies below - Check Yellow Box/es",IF(AND(E33,TRUE,G33=20,H33=0),"Valid Entry made below",IF(AND(E33=TRUE,G33&lt;20,H33=0),"Valid Entry required below - Check amber box",IF(AND(E33=TRUE,G33&gt;20,H33=0),"**Too many Options used - check Red Boxes",IF(AND(G33&gt;0,H33&gt;0),"**Valid and Non-Valid Entries made below - Check Yellow Box/es")))))))</f>
        <v>#REF!</v>
      </c>
      <c r="J33" s="44">
        <f>COUNTIFS(E34:E50,TRUE,J34:J50,"Not Blank")</f>
        <v>0</v>
      </c>
      <c r="K33" s="44">
        <f>COUNTIFS(E34:E50,FALSE,J34:J50,"Not Blank")</f>
        <v>1</v>
      </c>
      <c r="L33" s="44" t="str">
        <f>IF(AND(E33=FALSE,J33=0,K33=0),"Nothing Enterred below Yet",IF(AND(E33=FALSE,J33&gt;0,K33=0),"Entry below has not been summarised",IF(AND(J33=0,K33&gt;0),"**Non-Valid Entry/ies below - Check Yellow Box/es",IF(AND(E33,TRUE,J33=20,K33=0),"Valid Entry made below",IF(AND(E33=TRUE,J33&lt;20,K33=0),"Valid Entry required below - Check amber box",IF(AND(E33=TRUE,J33&gt;20,K33=0),"**Too many Options used - check Red Boxes",IF(AND(J33&gt;0,K33&gt;0),"**Valid and Non-Valid Entries made below - Check Yellow Box/es")))))))</f>
        <v>**Non-Valid Entry/ies below - Check Yellow Box/es</v>
      </c>
      <c r="M33" s="44"/>
      <c r="N33" s="44"/>
      <c r="O33" s="44" t="e">
        <f>IF(AND(O34=TRUE,#REF!=TRUE,#REF!=TRUE,#REF!=TRUE,O40=TRUE,O41=TRUE,O42=TRUE,O43=TRUE,#REF!=TRUE,O44=TRUE,O45=TRUE,O46=TRUE),TRUE,FALSE)</f>
        <v>#REF!</v>
      </c>
      <c r="P33" s="44"/>
      <c r="Q33" s="44" t="e">
        <f>IF(AND(Q34=TRUE,#REF!=TRUE,#REF!=TRUE,#REF!=TRUE,Q40=TRUE,Q41=TRUE,Q42=TRUE,Q43=TRUE,#REF!=TRUE,Q44=TRUE,Q45=TRUE,Q46=TRUE),TRUE,FALSE)</f>
        <v>#REF!</v>
      </c>
      <c r="R33" s="44"/>
      <c r="S33" s="44"/>
      <c r="T33" s="44"/>
      <c r="U33" s="3498"/>
      <c r="V33" s="44" t="e">
        <f>IF(AND(V34=TRUE,#REF!=TRUE,#REF!=TRUE,#REF!=TRUE,V40=TRUE,V41=TRUE,V42=TRUE,V43=TRUE,#REF!=TRUE,V44=TRUE,V45=TRUE,V46=TRUE),TRUE,FALSE)</f>
        <v>#REF!</v>
      </c>
      <c r="W33" s="44"/>
      <c r="X33" s="44"/>
      <c r="Y33" s="122"/>
    </row>
    <row r="34" spans="1:27" s="3493" customFormat="1" ht="42.65" customHeight="1" thickBot="1" x14ac:dyDescent="0.35">
      <c r="A34" s="123">
        <v>7.1</v>
      </c>
      <c r="B34" s="124"/>
      <c r="C34" s="1919" t="s">
        <v>1255</v>
      </c>
      <c r="D34" s="124"/>
      <c r="E34" s="124" t="b">
        <f>IF(AND(E35=TRUE,E36=TRUE,E37=TRUE,E38=TRUE,E39=TRUE),TRUE,FALSE)</f>
        <v>0</v>
      </c>
      <c r="F34" s="124"/>
      <c r="G34" s="124" t="str">
        <f>IF(I34&lt;&gt;"", "Not Blank", "")</f>
        <v>Not Blank</v>
      </c>
      <c r="H34" s="124"/>
      <c r="I34" s="124">
        <v>1</v>
      </c>
      <c r="J34" s="124" t="str">
        <f>IF(L34&lt;&gt;"", "Not Blank", "")</f>
        <v>Not Blank</v>
      </c>
      <c r="K34" s="124"/>
      <c r="L34" s="124">
        <v>1</v>
      </c>
      <c r="M34" s="124"/>
      <c r="N34" s="258"/>
      <c r="O34" s="124" t="b">
        <v>0</v>
      </c>
      <c r="P34" s="124"/>
      <c r="Q34" s="124" t="b">
        <v>0</v>
      </c>
      <c r="R34" s="124"/>
      <c r="S34" s="124"/>
      <c r="T34" s="124"/>
      <c r="U34" s="3499"/>
      <c r="V34" s="124" t="b">
        <v>0</v>
      </c>
      <c r="W34" s="124"/>
      <c r="X34" s="124"/>
      <c r="Y34" s="125"/>
    </row>
    <row r="35" spans="1:27" ht="13.5" thickTop="1" x14ac:dyDescent="0.3">
      <c r="A35" s="16"/>
      <c r="B35" s="16"/>
      <c r="W35" s="3484"/>
    </row>
    <row r="36" spans="1:27" s="3493" customFormat="1" ht="19" customHeight="1" thickBot="1" x14ac:dyDescent="0.35">
      <c r="A36" s="19"/>
      <c r="E36" s="3489"/>
      <c r="F36" s="3489"/>
      <c r="G36" s="417"/>
      <c r="H36" s="17"/>
      <c r="I36" s="3494"/>
      <c r="J36" s="3490"/>
      <c r="K36" s="3490"/>
      <c r="N36" s="384"/>
      <c r="U36" s="3495"/>
    </row>
    <row r="37" spans="1:27" s="2" customFormat="1" ht="18.649999999999999" customHeight="1" thickTop="1" x14ac:dyDescent="0.3">
      <c r="A37" s="4911" t="s">
        <v>1139</v>
      </c>
      <c r="B37" s="4912"/>
      <c r="C37" s="4912"/>
      <c r="D37" s="4912"/>
      <c r="E37" s="4912"/>
      <c r="F37" s="4912"/>
      <c r="G37" s="4912"/>
      <c r="H37" s="4912"/>
      <c r="I37" s="4912"/>
      <c r="J37" s="4912"/>
      <c r="K37" s="4912"/>
      <c r="L37" s="4912"/>
      <c r="M37" s="4912"/>
      <c r="N37" s="4912"/>
      <c r="O37" s="537"/>
      <c r="P37" s="537"/>
      <c r="Q37" s="537"/>
      <c r="R37" s="537"/>
      <c r="S37" s="537"/>
      <c r="T37" s="537"/>
      <c r="U37" s="259"/>
      <c r="V37" s="537"/>
      <c r="W37" s="259"/>
      <c r="X37" s="259"/>
      <c r="Y37" s="260"/>
    </row>
    <row r="38" spans="1:27" s="3493" customFormat="1" ht="23.15" customHeight="1" x14ac:dyDescent="0.3">
      <c r="A38" s="263"/>
      <c r="B38" s="44"/>
      <c r="C38" s="197"/>
      <c r="D38" s="44"/>
      <c r="E38" s="361"/>
      <c r="F38" s="361"/>
      <c r="G38" s="381"/>
      <c r="H38" s="380"/>
      <c r="I38" s="44"/>
      <c r="J38" s="216"/>
      <c r="K38" s="216"/>
      <c r="L38" s="44"/>
      <c r="M38" s="44"/>
      <c r="N38" s="382"/>
      <c r="O38" s="44"/>
      <c r="P38" s="44"/>
      <c r="Q38" s="44"/>
      <c r="R38" s="44"/>
      <c r="S38" s="44"/>
      <c r="T38" s="44"/>
      <c r="U38" s="3498"/>
      <c r="V38" s="44"/>
      <c r="W38" s="44"/>
      <c r="X38" s="44"/>
      <c r="Y38" s="122"/>
    </row>
    <row r="39" spans="1:27" s="3493" customFormat="1" ht="72.5" x14ac:dyDescent="0.3">
      <c r="A39" s="121">
        <v>6</v>
      </c>
      <c r="B39" s="44" t="s">
        <v>734</v>
      </c>
      <c r="C39" s="44" t="s">
        <v>1257</v>
      </c>
      <c r="D39" s="44"/>
      <c r="E39" s="44" t="b">
        <f>IF(AND(E40=TRUE,E41=TRUE,E42=TRUE,E43=TRUE,E44=TRUE,E45=TRUE,E46=TRUE,E47=TRUE,E48=TRUE),TRUE,FALSE)</f>
        <v>0</v>
      </c>
      <c r="F39" s="44"/>
      <c r="G39" s="44">
        <f>COUNTIFS(E40:E48,TRUE,G40:G48,"Not Blank")</f>
        <v>0</v>
      </c>
      <c r="H39" s="44">
        <f>COUNTIFS(E40:E48,FALSE,G40:G48,"Not Blank")</f>
        <v>0</v>
      </c>
      <c r="I39" s="44"/>
      <c r="J39" s="44"/>
      <c r="K39" s="44"/>
      <c r="L39" s="44"/>
      <c r="M39" s="44"/>
      <c r="N39" s="152"/>
      <c r="O39" s="112"/>
      <c r="P39" s="112"/>
      <c r="Q39" s="112"/>
      <c r="R39" s="44"/>
      <c r="S39" s="44"/>
      <c r="T39" s="44"/>
      <c r="U39" s="539"/>
      <c r="V39" s="112"/>
      <c r="W39" s="44"/>
      <c r="X39" s="44"/>
      <c r="Y39" s="122"/>
    </row>
    <row r="40" spans="1:27" ht="13.5" thickBot="1" x14ac:dyDescent="0.35">
      <c r="A40" s="264"/>
      <c r="B40" s="223"/>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7" ht="13.5" thickTop="1" x14ac:dyDescent="0.3">
      <c r="A41" s="16"/>
      <c r="B41" s="16"/>
      <c r="W41" s="3484"/>
    </row>
    <row r="42" spans="1:27" s="3493" customFormat="1" ht="14.5" x14ac:dyDescent="0.3">
      <c r="U42" s="3496"/>
    </row>
    <row r="43" spans="1:27" s="225" customFormat="1" ht="18.649999999999999" customHeight="1" x14ac:dyDescent="0.3">
      <c r="A43" s="4594" t="s">
        <v>1245</v>
      </c>
      <c r="B43" s="4595"/>
      <c r="C43" s="4595"/>
      <c r="D43" s="4595"/>
      <c r="E43" s="4595"/>
      <c r="F43" s="4595"/>
      <c r="G43" s="4595"/>
      <c r="H43" s="4595"/>
      <c r="I43" s="4595"/>
      <c r="J43" s="4595"/>
      <c r="K43" s="4595"/>
      <c r="L43" s="4595"/>
      <c r="M43" s="4595"/>
      <c r="N43" s="4595"/>
      <c r="O43" s="226"/>
      <c r="P43" s="226"/>
      <c r="Q43" s="226"/>
      <c r="R43" s="227"/>
      <c r="S43" s="228"/>
      <c r="T43" s="228"/>
      <c r="U43" s="3485"/>
      <c r="V43" s="226"/>
      <c r="W43" s="227"/>
      <c r="X43" s="227"/>
      <c r="Y43" s="228"/>
    </row>
    <row r="44" spans="1:27" s="3493" customFormat="1" ht="14.5" x14ac:dyDescent="0.3">
      <c r="A44" s="121"/>
      <c r="B44" s="44"/>
      <c r="C44" s="44"/>
      <c r="D44" s="44"/>
      <c r="E44" s="44"/>
      <c r="F44" s="44"/>
      <c r="G44" s="44"/>
      <c r="H44" s="44"/>
      <c r="I44" s="44"/>
      <c r="J44" s="44"/>
      <c r="K44" s="44"/>
      <c r="L44" s="44"/>
      <c r="M44" s="44"/>
      <c r="N44" s="44"/>
      <c r="O44" s="44"/>
      <c r="P44" s="44"/>
      <c r="Q44" s="44"/>
      <c r="R44" s="44"/>
      <c r="S44" s="44"/>
      <c r="T44" s="44"/>
      <c r="U44" s="475"/>
      <c r="V44" s="44"/>
      <c r="W44" s="44"/>
      <c r="X44" s="44"/>
      <c r="Y44" s="122"/>
    </row>
    <row r="45" spans="1:27" s="2" customFormat="1" ht="140.15" customHeight="1" x14ac:dyDescent="0.3">
      <c r="A45" s="254" t="s">
        <v>855</v>
      </c>
      <c r="B45" s="44" t="s">
        <v>459</v>
      </c>
      <c r="C45" s="44" t="s">
        <v>1256</v>
      </c>
      <c r="D45" s="44"/>
      <c r="E45" s="44" t="b">
        <f>IF(AND(E46=TRUE,E56=TRUE),TRUE,FALSE)</f>
        <v>0</v>
      </c>
      <c r="F45" s="44">
        <f>COUNTIF(E47:E54,TRUE)</f>
        <v>0</v>
      </c>
      <c r="G45" s="44">
        <f>COUNTIFS(E48:E54,TRUE,G48:G54,"Not Blank")</f>
        <v>0</v>
      </c>
      <c r="H45" s="44">
        <f>COUNTIFS(E48:E54,FALSE,G48:G54,"Not Blank")</f>
        <v>0</v>
      </c>
      <c r="I45" s="44" t="str">
        <f>IF(AND(E46=FALSE,E47=FALSE,F46=0,G47=0,H47=0,F54=0,H54=""),"Nothing Enterred below Yet",IF(AND(E45=TRUE,F45&gt;1,F54=1),"**Too many Options used - check Red Boxes",IF(F45&lt;&gt;G45,"Valid Entry required below - Check amber box",IF(AND(G45=0,H45&gt;0),"**Non-Valid Entry/ies below - Check Yellow Box/es",IF(OR(AND(E47,TRUE,E54=FALSE,F47=6,H47=0),AND(E47=FALSE,E54=TRUE,F47=0,I54&lt;&gt;"")),"Valid Entry made below",IF(OR(AND(G47&gt;0,H47&gt;0),H54=1),"**Valid and Non-Valid Entries made below - Check Yellow Box/es",IF(AND(F54=0,F47&lt;7),"More Entries required below")))))))</f>
        <v>Nothing Enterred below Yet</v>
      </c>
      <c r="J45" s="44">
        <f>COUNTIFS(E48:E54,TRUE,J48:J54,"Not Blank")</f>
        <v>0</v>
      </c>
      <c r="K45" s="44">
        <f>COUNTIFS(E48:E54,FALSE,J48:J54,"Not Blank")</f>
        <v>0</v>
      </c>
      <c r="L45" s="44" t="str">
        <f>IF(AND(E46=FALSE,E47=FALSE,F46=0,J47=0,K47=0,F54=0,K54=""),"Nothing Enterred below Yet", IF(AND(E45=TRUE,F45&gt;1,F54=1),"**Too many Options used - check Red Boxes",IF(F45&lt;&gt;J45,"Valid Entry required below - Check amber box", IF(AND(J45=0,K45&gt;0),"**Non-Valid Entry/ies below - Check Yellow Box/es",IF(OR(AND(E47,TRUE,E54=FALSE,F47=6,K47=0),AND(E47=FALSE,E54=TRUE,F47=0,L54&lt;&gt;"")),"Valid Entry made below",IF(OR(AND(J47&gt;0,K47&gt;0),K54=1),"**Valid and Non-Valid Entries made below - Check Yellow Box/es",IF(AND(F54=0,F47&lt;7),"More Entries required below","NA")))))))</f>
        <v>Nothing Enterred below Yet</v>
      </c>
      <c r="M45" s="44"/>
      <c r="N45" s="540"/>
      <c r="O45" s="427"/>
      <c r="P45" s="427"/>
      <c r="Q45" s="427"/>
      <c r="R45" s="157"/>
      <c r="S45" s="157"/>
      <c r="T45" s="50"/>
      <c r="U45" s="265"/>
      <c r="V45" s="427"/>
      <c r="W45" s="50"/>
      <c r="X45" s="50"/>
      <c r="Y45" s="154"/>
      <c r="Z45" s="3484"/>
      <c r="AA45" s="3484"/>
    </row>
    <row r="46" spans="1:27" ht="13.5" thickBot="1" x14ac:dyDescent="0.35">
      <c r="A46" s="264"/>
      <c r="B46" s="223"/>
      <c r="C46" s="155"/>
      <c r="D46" s="155"/>
      <c r="E46" s="155"/>
      <c r="F46" s="155"/>
      <c r="G46" s="155"/>
      <c r="H46" s="155"/>
      <c r="I46" s="155"/>
      <c r="J46" s="155"/>
      <c r="K46" s="155"/>
      <c r="L46" s="155"/>
      <c r="M46" s="155"/>
      <c r="N46" s="155"/>
      <c r="O46" s="155"/>
      <c r="P46" s="155"/>
      <c r="Q46" s="155"/>
      <c r="R46" s="155"/>
      <c r="S46" s="155"/>
      <c r="T46" s="155"/>
      <c r="U46" s="155"/>
      <c r="V46" s="155"/>
      <c r="W46" s="155"/>
      <c r="X46" s="155"/>
      <c r="Y46" s="156"/>
    </row>
    <row r="47" spans="1:27" ht="15" thickTop="1" x14ac:dyDescent="0.3">
      <c r="A47" s="16"/>
      <c r="B47" s="16"/>
      <c r="W47" s="3492"/>
    </row>
    <row r="48" spans="1:27" ht="14.5" x14ac:dyDescent="0.3">
      <c r="A48" s="16"/>
      <c r="B48" s="16"/>
      <c r="W48" s="3493"/>
    </row>
    <row r="49" spans="1:23" ht="14.5" x14ac:dyDescent="0.3">
      <c r="A49" s="16"/>
      <c r="B49" s="16"/>
      <c r="W49" s="3493"/>
    </row>
    <row r="50" spans="1:23" ht="14.5" x14ac:dyDescent="0.3">
      <c r="A50" s="16"/>
      <c r="B50" s="16"/>
      <c r="W50" s="3493"/>
    </row>
    <row r="51" spans="1:23" ht="14.5" x14ac:dyDescent="0.3">
      <c r="A51" s="16"/>
      <c r="B51" s="16"/>
      <c r="W51" s="3493"/>
    </row>
    <row r="52" spans="1:23" ht="14.5" x14ac:dyDescent="0.3">
      <c r="A52" s="16"/>
      <c r="B52" s="16"/>
      <c r="W52" s="3493"/>
    </row>
    <row r="53" spans="1:23" ht="14.5" x14ac:dyDescent="0.3">
      <c r="A53" s="16"/>
      <c r="B53" s="16"/>
      <c r="W53" s="3493"/>
    </row>
    <row r="54" spans="1:23" ht="14.5" x14ac:dyDescent="0.3">
      <c r="A54" s="16"/>
      <c r="B54" s="16"/>
      <c r="W54" s="3493"/>
    </row>
    <row r="55" spans="1:23" ht="14.5" x14ac:dyDescent="0.3">
      <c r="A55" s="16"/>
      <c r="B55" s="16"/>
      <c r="W55" s="3493"/>
    </row>
    <row r="56" spans="1:23" ht="14.5" x14ac:dyDescent="0.3">
      <c r="A56" s="16"/>
      <c r="B56" s="16"/>
      <c r="W56" s="3493"/>
    </row>
    <row r="57" spans="1:23" ht="14.5" x14ac:dyDescent="0.3">
      <c r="A57" s="16"/>
      <c r="B57" s="16"/>
      <c r="W57" s="3493"/>
    </row>
    <row r="58" spans="1:23" ht="14.5" x14ac:dyDescent="0.3">
      <c r="W58" s="3493"/>
    </row>
    <row r="59" spans="1:23" ht="14.5" x14ac:dyDescent="0.3">
      <c r="W59" s="3493"/>
    </row>
    <row r="60" spans="1:23" ht="14.5" x14ac:dyDescent="0.3">
      <c r="W60" s="3493"/>
    </row>
    <row r="61" spans="1:23" ht="14.5" x14ac:dyDescent="0.3">
      <c r="W61" s="3493"/>
    </row>
    <row r="62" spans="1:23" ht="14.5" x14ac:dyDescent="0.3">
      <c r="W62" s="3493"/>
    </row>
    <row r="63" spans="1:23" ht="14.5" x14ac:dyDescent="0.3">
      <c r="W63" s="3493"/>
    </row>
    <row r="64" spans="1:23" ht="14.5" x14ac:dyDescent="0.3">
      <c r="W64" s="3493"/>
    </row>
    <row r="65" spans="23:23" ht="14.5" x14ac:dyDescent="0.3">
      <c r="W65" s="3493"/>
    </row>
    <row r="66" spans="23:23" ht="14.5" x14ac:dyDescent="0.3">
      <c r="W66" s="3493"/>
    </row>
    <row r="67" spans="23:23" ht="14.5" x14ac:dyDescent="0.3">
      <c r="W67" s="3493"/>
    </row>
    <row r="68" spans="23:23" ht="14.5" x14ac:dyDescent="0.3">
      <c r="W68" s="3493"/>
    </row>
    <row r="69" spans="23:23" ht="14.5" x14ac:dyDescent="0.3">
      <c r="W69" s="3493"/>
    </row>
    <row r="70" spans="23:23" ht="14.5" x14ac:dyDescent="0.3">
      <c r="W70" s="3493"/>
    </row>
    <row r="71" spans="23:23" ht="14.5" x14ac:dyDescent="0.3">
      <c r="W71" s="3491"/>
    </row>
    <row r="72" spans="23:23" ht="14.5" x14ac:dyDescent="0.3">
      <c r="W72" s="3493"/>
    </row>
    <row r="73" spans="23:23" ht="14.5" x14ac:dyDescent="0.3">
      <c r="W73" s="3493"/>
    </row>
    <row r="74" spans="23:23" ht="14.5" x14ac:dyDescent="0.3">
      <c r="W74" s="3493"/>
    </row>
    <row r="75" spans="23:23" ht="14.5" x14ac:dyDescent="0.3">
      <c r="W75" s="3493"/>
    </row>
    <row r="76" spans="23:23" ht="14.5" x14ac:dyDescent="0.3">
      <c r="W76" s="3493"/>
    </row>
    <row r="77" spans="23:23" ht="14.5" x14ac:dyDescent="0.3">
      <c r="W77" s="3493"/>
    </row>
    <row r="78" spans="23:23" ht="14.5" x14ac:dyDescent="0.3">
      <c r="W78" s="3493"/>
    </row>
    <row r="79" spans="23:23" ht="14.5" x14ac:dyDescent="0.3">
      <c r="W79" s="3493"/>
    </row>
    <row r="80" spans="23:23" ht="14.5" x14ac:dyDescent="0.3">
      <c r="W80" s="3493"/>
    </row>
    <row r="81" spans="23:23" ht="14.5" x14ac:dyDescent="0.3">
      <c r="W81" s="3493"/>
    </row>
    <row r="82" spans="23:23" ht="14.5" x14ac:dyDescent="0.3">
      <c r="W82" s="3493"/>
    </row>
    <row r="83" spans="23:23" ht="14.5" x14ac:dyDescent="0.3">
      <c r="W83" s="3493"/>
    </row>
    <row r="84" spans="23:23" ht="14.5" x14ac:dyDescent="0.3">
      <c r="W84" s="3493"/>
    </row>
    <row r="86" spans="23:23" ht="14.5" x14ac:dyDescent="0.3">
      <c r="W86" s="3493"/>
    </row>
    <row r="87" spans="23:23" x14ac:dyDescent="0.3">
      <c r="W87" s="242"/>
    </row>
    <row r="88" spans="23:23" ht="14.5" x14ac:dyDescent="0.3">
      <c r="W88" s="3493"/>
    </row>
    <row r="89" spans="23:23" ht="14.5" x14ac:dyDescent="0.3">
      <c r="W89" s="3491"/>
    </row>
    <row r="90" spans="23:23" ht="14.5" x14ac:dyDescent="0.3">
      <c r="W90" s="3493"/>
    </row>
    <row r="91" spans="23:23" ht="14.5" x14ac:dyDescent="0.3">
      <c r="W91" s="3493"/>
    </row>
    <row r="92" spans="23:23" ht="14.5" x14ac:dyDescent="0.3">
      <c r="W92" s="233"/>
    </row>
  </sheetData>
  <mergeCells count="20">
    <mergeCell ref="B7:D7"/>
    <mergeCell ref="A11:C11"/>
    <mergeCell ref="D11:N11"/>
    <mergeCell ref="B1:D1"/>
    <mergeCell ref="B2:D2"/>
    <mergeCell ref="B3:D3"/>
    <mergeCell ref="A4:D4"/>
    <mergeCell ref="B6:D6"/>
    <mergeCell ref="O11:T11"/>
    <mergeCell ref="A18:C18"/>
    <mergeCell ref="D18:N18"/>
    <mergeCell ref="A43:N43"/>
    <mergeCell ref="N25:N29"/>
    <mergeCell ref="A23:C23"/>
    <mergeCell ref="D23:N23"/>
    <mergeCell ref="U25:U29"/>
    <mergeCell ref="A31:C31"/>
    <mergeCell ref="D31:N31"/>
    <mergeCell ref="A37:C37"/>
    <mergeCell ref="D37:N37"/>
  </mergeCells>
  <conditionalFormatting sqref="Q36:Q38">
    <cfRule type="expression" dxfId="283" priority="57">
      <formula>IF($E36,TRUE)</formula>
    </cfRule>
  </conditionalFormatting>
  <conditionalFormatting sqref="U36:U38">
    <cfRule type="containsText" dxfId="282" priority="53" operator="containsText" text="Applicable">
      <formula>NOT(ISERROR(SEARCH("Applicable",U36)))</formula>
    </cfRule>
    <cfRule type="containsText" dxfId="281" priority="54" operator="containsText" text="Functionally">
      <formula>NOT(ISERROR(SEARCH("Functionally",U36)))</formula>
    </cfRule>
    <cfRule type="containsText" dxfId="280" priority="55" operator="containsText" text="Not Compliant">
      <formula>NOT(ISERROR(SEARCH("Not Compliant",U36)))</formula>
    </cfRule>
    <cfRule type="containsText" dxfId="279" priority="56" operator="containsText" text="Compliant">
      <formula>NOT(ISERROR(SEARCH("Compliant",U36)))</formula>
    </cfRule>
  </conditionalFormatting>
  <conditionalFormatting sqref="P36:P39">
    <cfRule type="expression" dxfId="278" priority="58">
      <formula>IF(#REF!,TRUE)</formula>
    </cfRule>
    <cfRule type="expression" dxfId="277" priority="59">
      <formula>IF($E36,TRUE)</formula>
    </cfRule>
  </conditionalFormatting>
  <conditionalFormatting sqref="Q39">
    <cfRule type="expression" dxfId="276" priority="52">
      <formula>IF($E39,TRUE)</formula>
    </cfRule>
  </conditionalFormatting>
  <conditionalFormatting sqref="U39">
    <cfRule type="containsText" dxfId="275" priority="48" operator="containsText" text="Applicable">
      <formula>NOT(ISERROR(SEARCH("Applicable",U39)))</formula>
    </cfRule>
    <cfRule type="containsText" dxfId="274" priority="49" operator="containsText" text="Functionally">
      <formula>NOT(ISERROR(SEARCH("Functionally",U39)))</formula>
    </cfRule>
    <cfRule type="containsText" dxfId="273" priority="50" operator="containsText" text="Not Compliant">
      <formula>NOT(ISERROR(SEARCH("Not Compliant",U39)))</formula>
    </cfRule>
    <cfRule type="containsText" dxfId="272" priority="51" operator="containsText" text="Compliant">
      <formula>NOT(ISERROR(SEARCH("Compliant",U39)))</formula>
    </cfRule>
  </conditionalFormatting>
  <conditionalFormatting sqref="N39">
    <cfRule type="containsText" dxfId="271" priority="60" operator="containsText" text="Not Compliant">
      <formula>NOT(ISERROR(SEARCH("Not Compliant",N39)))</formula>
    </cfRule>
    <cfRule type="expression" dxfId="270" priority="61">
      <formula>IF(AND($E39=TRUE,$I39="",$N39="Compliant"),TRUE,FALSE)</formula>
    </cfRule>
    <cfRule type="expression" dxfId="269" priority="62">
      <formula>IF(AND($E39=TRUE,$I39&lt;&gt;"",$N39="Compliant"),TRUE,FALSE)</formula>
    </cfRule>
    <cfRule type="expression" dxfId="268" priority="63">
      <formula>IF(AND($E39=FALSE,$N39&lt;&gt;""),TRUE,FALSE)</formula>
    </cfRule>
    <cfRule type="expression" dxfId="267" priority="64">
      <formula>IF(AND($I39&lt;&gt;"",$N39&lt;&gt;""),TRUE,FALSE)</formula>
    </cfRule>
  </conditionalFormatting>
  <conditionalFormatting sqref="N36:N38">
    <cfRule type="containsText" dxfId="266" priority="65" operator="containsText" text="Not Compliant">
      <formula>NOT(ISERROR(SEARCH("Not Compliant",N36)))</formula>
    </cfRule>
    <cfRule type="expression" dxfId="265" priority="66">
      <formula>IF(AND($E36=TRUE,$I36="",$N36="Compliant"),TRUE,FALSE)</formula>
    </cfRule>
    <cfRule type="expression" dxfId="264" priority="67">
      <formula>IF(AND($E36=TRUE,$I36&lt;&gt;"",$N36="Compliant"),TRUE,FALSE)</formula>
    </cfRule>
    <cfRule type="expression" dxfId="263" priority="68">
      <formula>IF($N36&lt;&gt;"",TRUE,FALSE)</formula>
    </cfRule>
    <cfRule type="expression" dxfId="262" priority="69">
      <formula>IF(AND($E36=FALSE,$N36&lt;&gt;""),TRUE,FALSE)</formula>
    </cfRule>
    <cfRule type="expression" dxfId="261" priority="70">
      <formula>IF(AND($I36&lt;&gt;"",$N36&lt;&gt;""),TRUE,FALSE)</formula>
    </cfRule>
  </conditionalFormatting>
  <conditionalFormatting sqref="Q42">
    <cfRule type="expression" dxfId="260" priority="39">
      <formula>IF($E42,TRUE)</formula>
    </cfRule>
  </conditionalFormatting>
  <conditionalFormatting sqref="U42">
    <cfRule type="containsText" dxfId="259" priority="35" operator="containsText" text="Applicable">
      <formula>NOT(ISERROR(SEARCH("Applicable",U42)))</formula>
    </cfRule>
    <cfRule type="containsText" dxfId="258" priority="36" operator="containsText" text="Functionally">
      <formula>NOT(ISERROR(SEARCH("Functionally",U42)))</formula>
    </cfRule>
    <cfRule type="containsText" dxfId="257" priority="37" operator="containsText" text="Not Compliant">
      <formula>NOT(ISERROR(SEARCH("Not Compliant",U42)))</formula>
    </cfRule>
    <cfRule type="containsText" dxfId="256" priority="38" operator="containsText" text="Compliant">
      <formula>NOT(ISERROR(SEARCH("Compliant",U42)))</formula>
    </cfRule>
  </conditionalFormatting>
  <conditionalFormatting sqref="P42">
    <cfRule type="expression" dxfId="255" priority="40">
      <formula>IF(#REF!,TRUE)</formula>
    </cfRule>
    <cfRule type="expression" dxfId="254" priority="41">
      <formula>IF($E42,TRUE)</formula>
    </cfRule>
  </conditionalFormatting>
  <conditionalFormatting sqref="N45">
    <cfRule type="beginsWith" dxfId="253" priority="30" operator="beginsWith" text="Partly">
      <formula>LEFT(N45,LEN("Partly"))="Partly"</formula>
    </cfRule>
    <cfRule type="containsText" dxfId="252" priority="31" operator="containsText" text="Missing">
      <formula>NOT(ISERROR(SEARCH("Missing",N45)))</formula>
    </cfRule>
    <cfRule type="beginsWith" dxfId="251" priority="32" operator="beginsWith" text="Not">
      <formula>LEFT(N45,LEN("Not"))="Not"</formula>
    </cfRule>
    <cfRule type="beginsWith" dxfId="250" priority="33" operator="beginsWith" text="Compliant">
      <formula>LEFT(N45,LEN("Compliant"))="Compliant"</formula>
    </cfRule>
    <cfRule type="containsText" dxfId="249" priority="34" operator="containsText" text="Equivalent">
      <formula>NOT(ISERROR(SEARCH("Equivalent",N45)))</formula>
    </cfRule>
  </conditionalFormatting>
  <conditionalFormatting sqref="N42">
    <cfRule type="containsText" dxfId="248" priority="42" operator="containsText" text="Not Compliant">
      <formula>NOT(ISERROR(SEARCH("Not Compliant",N42)))</formula>
    </cfRule>
    <cfRule type="expression" dxfId="247" priority="43">
      <formula>IF(AND($E42=TRUE,$I42="",$N42="Compliant"),TRUE,FALSE)</formula>
    </cfRule>
    <cfRule type="expression" dxfId="246" priority="44">
      <formula>IF(AND($E42=TRUE,$I42&lt;&gt;"",$N42="Compliant"),TRUE,FALSE)</formula>
    </cfRule>
    <cfRule type="expression" dxfId="245" priority="45">
      <formula>IF($N42&lt;&gt;"",TRUE,FALSE)</formula>
    </cfRule>
    <cfRule type="expression" dxfId="244" priority="46">
      <formula>IF(AND($E42=FALSE,$N42&lt;&gt;""),TRUE,FALSE)</formula>
    </cfRule>
    <cfRule type="expression" dxfId="243" priority="47">
      <formula>IF(AND($I42&lt;&gt;"",$N42&lt;&gt;""),TRUE,FALSE)</formula>
    </cfRule>
  </conditionalFormatting>
  <conditionalFormatting sqref="B15">
    <cfRule type="expression" dxfId="242" priority="29">
      <formula>IF($E15=TRUE,TRUE,FALSE)</formula>
    </cfRule>
  </conditionalFormatting>
  <conditionalFormatting sqref="B13">
    <cfRule type="expression" dxfId="241" priority="28">
      <formula>IF($E13=TRUE,TRUE,FALSE)</formula>
    </cfRule>
  </conditionalFormatting>
  <conditionalFormatting sqref="B14">
    <cfRule type="expression" dxfId="240" priority="27">
      <formula>IF($E14=TRUE,TRUE,FALSE)</formula>
    </cfRule>
  </conditionalFormatting>
  <conditionalFormatting sqref="B16">
    <cfRule type="expression" dxfId="239" priority="26">
      <formula>IF($E16=TRUE,TRUE,FALSE)</formula>
    </cfRule>
  </conditionalFormatting>
  <conditionalFormatting sqref="D13:D16">
    <cfRule type="expression" dxfId="238" priority="25">
      <formula>IF($E13,TRUE)</formula>
    </cfRule>
  </conditionalFormatting>
  <conditionalFormatting sqref="V36:V38">
    <cfRule type="expression" dxfId="237" priority="24">
      <formula>IF($E36,TRUE)</formula>
    </cfRule>
  </conditionalFormatting>
  <conditionalFormatting sqref="V39">
    <cfRule type="expression" dxfId="236" priority="23">
      <formula>IF($E39,TRUE)</formula>
    </cfRule>
  </conditionalFormatting>
  <conditionalFormatting sqref="V42">
    <cfRule type="expression" dxfId="235" priority="22">
      <formula>IF($E42,TRUE)</formula>
    </cfRule>
  </conditionalFormatting>
  <conditionalFormatting sqref="O36:O38">
    <cfRule type="expression" dxfId="234" priority="21">
      <formula>IF($E36,TRUE)</formula>
    </cfRule>
  </conditionalFormatting>
  <conditionalFormatting sqref="O39">
    <cfRule type="expression" dxfId="233" priority="20">
      <formula>IF($E39,TRUE)</formula>
    </cfRule>
  </conditionalFormatting>
  <conditionalFormatting sqref="O42">
    <cfRule type="expression" dxfId="232" priority="19">
      <formula>IF($E42,TRUE)</formula>
    </cfRule>
  </conditionalFormatting>
  <conditionalFormatting sqref="P26">
    <cfRule type="expression" dxfId="231" priority="10">
      <formula>IF($Q26="Compliant",TRUE)</formula>
    </cfRule>
    <cfRule type="expression" dxfId="230" priority="11">
      <formula>IF($Q26="FE with work-a-round",TRUE)</formula>
    </cfRule>
    <cfRule type="expression" dxfId="229" priority="12">
      <formula>IF($Q26="Functionally Equivalent",TRUE)</formula>
    </cfRule>
    <cfRule type="expression" dxfId="228" priority="13">
      <formula>IF($Q26="Likely to become compliant",TRUE)</formula>
    </cfRule>
    <cfRule type="expression" dxfId="227" priority="14">
      <formula>IF($Q26="Partly Compliant",TRUE)</formula>
    </cfRule>
    <cfRule type="expression" dxfId="226" priority="15">
      <formula>IF($Q26="Unknown/Missing",TRUE)</formula>
    </cfRule>
    <cfRule type="expression" dxfId="225" priority="16">
      <formula>IF($Q26="Not Required/Applicable",TRUE)</formula>
    </cfRule>
    <cfRule type="expression" dxfId="224" priority="17">
      <formula>IF($Q26="Not Compliant",TRUE)</formula>
    </cfRule>
    <cfRule type="expression" dxfId="223" priority="18">
      <formula>IF($Q26=" ",TRUE)</formula>
    </cfRule>
  </conditionalFormatting>
  <conditionalFormatting sqref="P26">
    <cfRule type="expression" dxfId="222" priority="1">
      <formula>IF($Q26="Compliant",TRUE)</formula>
    </cfRule>
    <cfRule type="expression" dxfId="221" priority="2">
      <formula>IF($Q26="FE with work-a-round",TRUE)</formula>
    </cfRule>
    <cfRule type="expression" dxfId="220" priority="3">
      <formula>IF($Q26="Functionally Equivalent",TRUE)</formula>
    </cfRule>
    <cfRule type="expression" dxfId="219" priority="4">
      <formula>IF($Q26="Likely to become compliant",TRUE)</formula>
    </cfRule>
    <cfRule type="expression" dxfId="218" priority="5">
      <formula>IF($Q26="Partly Compliant",TRUE)</formula>
    </cfRule>
    <cfRule type="expression" dxfId="217" priority="6">
      <formula>IF($Q26="Unknown/Missing",TRUE)</formula>
    </cfRule>
    <cfRule type="expression" dxfId="216" priority="7">
      <formula>IF($Q26="Not Required/Applicable",TRUE)</formula>
    </cfRule>
    <cfRule type="expression" dxfId="215" priority="8">
      <formula>IF($Q26="Not Compliant",TRUE)</formula>
    </cfRule>
    <cfRule type="expression" dxfId="214" priority="9">
      <formula>IF($Q26=" ",TRUE)</formula>
    </cfRule>
  </conditionalFormatting>
  <dataValidations count="1">
    <dataValidation type="list" allowBlank="1" showInputMessage="1" showErrorMessage="1" sqref="N25 N36 N45">
      <formula1>Initial_Compliance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Dropdowns!$E$11:$E$15</xm:f>
          </x14:formula1>
          <xm:sqref>P26</xm:sqref>
        </x14:dataValidation>
        <x14:dataValidation type="list" allowBlank="1" showInputMessage="1" showErrorMessage="1">
          <x14:formula1>
            <xm:f>Dropdowns!$F$9:$F$13</xm:f>
          </x14:formula1>
          <xm:sqref>N34</xm:sqref>
        </x14:dataValidation>
        <x14:dataValidation type="list" allowBlank="1" showInputMessage="1" showErrorMessage="1">
          <x14:formula1>
            <xm:f>Dropdowns!$D$16:$D$23</xm:f>
          </x14:formula1>
          <xm:sqref>D26:D29</xm:sqref>
        </x14:dataValidation>
        <x14:dataValidation type="list" allowBlank="1" showInputMessage="1" showErrorMessage="1">
          <x14:formula1>
            <xm:f>Dropdowns!$G$11:$G$16</xm:f>
          </x14:formula1>
          <xm:sqref>U13:U14 U17 U25 U33:U34 U36 U38:U39 U42 U44</xm:sqref>
        </x14:dataValidation>
        <x14:dataValidation type="list" allowBlank="1" showInputMessage="1" showErrorMessage="1">
          <x14:formula1>
            <xm:f>Dropdowns!$C$11:$C$13</xm:f>
          </x14:formula1>
          <xm:sqref>N9 U15:U16 U9 N15:N16</xm:sqref>
        </x14:dataValidation>
        <x14:dataValidation type="list" allowBlank="1" showInputMessage="1" showErrorMessage="1">
          <x14:formula1>
            <xm:f>Dropdowns!$F$9:$F$12</xm:f>
          </x14:formula1>
          <xm:sqref>N20 N33 N38:N39 N44 N42</xm:sqref>
        </x14:dataValidation>
        <x14:dataValidation type="list" allowBlank="1" showInputMessage="1" showErrorMessage="1">
          <x14:formula1>
            <xm:f>Dropdowns!$C$16:$C$19</xm:f>
          </x14:formula1>
          <xm:sqref>U20 U24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92"/>
  <sheetViews>
    <sheetView topLeftCell="B1" workbookViewId="0">
      <selection activeCell="A4" sqref="A4:D4"/>
    </sheetView>
  </sheetViews>
  <sheetFormatPr defaultColWidth="8.796875" defaultRowHeight="13" x14ac:dyDescent="0.3"/>
  <cols>
    <col min="1" max="1" width="0" style="3484" hidden="1" customWidth="1"/>
    <col min="2" max="3" width="43.796875" style="3484" customWidth="1"/>
    <col min="4" max="4" width="29" style="3484" customWidth="1"/>
    <col min="5" max="6" width="9.69921875" style="3484" hidden="1" customWidth="1"/>
    <col min="7" max="8" width="8.796875" style="3484" hidden="1" customWidth="1"/>
    <col min="9" max="9" width="59.796875" style="3484" customWidth="1"/>
    <col min="10" max="10" width="8.3984375" style="3484" hidden="1" customWidth="1"/>
    <col min="11" max="11" width="9.19921875" style="3484" hidden="1" customWidth="1"/>
    <col min="12" max="12" width="26.19921875" style="3484" customWidth="1"/>
    <col min="13" max="14" width="26.296875" style="3484" customWidth="1"/>
    <col min="15" max="15" width="0" style="3484" hidden="1" customWidth="1"/>
    <col min="16" max="16" width="37" style="3484" customWidth="1"/>
    <col min="17" max="17" width="12" style="3484" hidden="1" customWidth="1"/>
    <col min="18" max="18" width="55.19921875" style="3484" customWidth="1"/>
    <col min="19" max="19" width="36.69921875" style="3484" customWidth="1"/>
    <col min="20" max="20" width="40.3984375" style="3484" customWidth="1"/>
    <col min="21" max="21" width="27.296875" style="3484" customWidth="1"/>
    <col min="22" max="22" width="0" style="3484" hidden="1" customWidth="1"/>
    <col min="23" max="23" width="51.69921875" style="14" customWidth="1"/>
    <col min="24" max="24" width="32.296875" style="3484" customWidth="1"/>
    <col min="25" max="25" width="26.296875" style="3484" customWidth="1"/>
    <col min="26" max="16384" width="8.796875" style="3484"/>
  </cols>
  <sheetData>
    <row r="1" spans="1:25" ht="69" customHeight="1" x14ac:dyDescent="0.3">
      <c r="B1" s="4521"/>
      <c r="C1" s="4521"/>
      <c r="D1" s="4521"/>
    </row>
    <row r="2" spans="1:25" ht="99.75" customHeight="1" x14ac:dyDescent="0.3">
      <c r="B2" s="4398" t="s">
        <v>2280</v>
      </c>
      <c r="C2" s="4494"/>
      <c r="D2" s="4494"/>
    </row>
    <row r="3" spans="1:25" x14ac:dyDescent="0.3">
      <c r="B3" s="4643"/>
      <c r="C3" s="4643"/>
      <c r="D3" s="4643"/>
    </row>
    <row r="4" spans="1:25" s="1085" customFormat="1" ht="54" customHeight="1" thickBot="1" x14ac:dyDescent="0.35">
      <c r="A4" s="4917" t="s">
        <v>2284</v>
      </c>
      <c r="B4" s="4917"/>
      <c r="C4" s="4917"/>
      <c r="D4" s="4917"/>
      <c r="E4" s="1106"/>
      <c r="F4" s="1107"/>
      <c r="G4" s="1107"/>
      <c r="H4" s="1107"/>
      <c r="I4" s="1107"/>
      <c r="J4" s="1107"/>
      <c r="K4" s="1107"/>
      <c r="W4" s="560"/>
    </row>
    <row r="5" spans="1:25" s="225" customFormat="1" ht="40.5" customHeight="1" thickTop="1" thickBot="1" x14ac:dyDescent="0.35">
      <c r="A5" s="1103"/>
      <c r="B5" s="1103" t="s">
        <v>1872</v>
      </c>
      <c r="C5" s="1103" t="s">
        <v>1873</v>
      </c>
      <c r="D5" s="1103" t="s">
        <v>1236</v>
      </c>
      <c r="E5" s="1103"/>
      <c r="F5" s="1103"/>
      <c r="G5" s="1104"/>
      <c r="H5" s="1103"/>
      <c r="I5" s="1103" t="s">
        <v>458</v>
      </c>
      <c r="J5" s="1104"/>
      <c r="K5" s="1104"/>
      <c r="L5" s="1103" t="s">
        <v>408</v>
      </c>
      <c r="M5" s="1103" t="s">
        <v>466</v>
      </c>
      <c r="N5" s="1104" t="s">
        <v>465</v>
      </c>
      <c r="O5" s="1103"/>
      <c r="P5" s="1103" t="s">
        <v>1212</v>
      </c>
      <c r="Q5" s="1103"/>
      <c r="R5" s="1103" t="s">
        <v>396</v>
      </c>
      <c r="S5" s="1103" t="s">
        <v>409</v>
      </c>
      <c r="T5" s="1103" t="s">
        <v>1211</v>
      </c>
      <c r="U5" s="1103" t="s">
        <v>1801</v>
      </c>
      <c r="V5" s="1103"/>
      <c r="W5" s="1103" t="s">
        <v>10</v>
      </c>
      <c r="X5" s="1103" t="s">
        <v>11</v>
      </c>
      <c r="Y5" s="1103" t="s">
        <v>12</v>
      </c>
    </row>
    <row r="6" spans="1:25" ht="19" thickTop="1" x14ac:dyDescent="0.3">
      <c r="A6" s="250"/>
      <c r="B6" s="4918" t="s">
        <v>900</v>
      </c>
      <c r="C6" s="4918"/>
      <c r="D6" s="4919"/>
    </row>
    <row r="7" spans="1:25" ht="45.65" customHeight="1" thickBot="1" x14ac:dyDescent="0.35">
      <c r="A7" s="251"/>
      <c r="B7" s="4920" t="s">
        <v>2283</v>
      </c>
      <c r="C7" s="4920"/>
      <c r="D7" s="4921"/>
    </row>
    <row r="8" spans="1:25" ht="15.5" thickTop="1" thickBot="1" x14ac:dyDescent="0.35">
      <c r="A8" s="14"/>
      <c r="B8" s="103"/>
    </row>
    <row r="9" spans="1:25" s="2" customFormat="1" ht="39" customHeight="1" thickTop="1" thickBot="1" x14ac:dyDescent="0.35">
      <c r="A9" s="3489"/>
      <c r="B9" s="3488" t="s">
        <v>901</v>
      </c>
      <c r="C9" s="400"/>
      <c r="D9" s="400"/>
      <c r="E9" s="400" t="b">
        <v>0</v>
      </c>
      <c r="F9" s="400"/>
      <c r="G9" s="400"/>
      <c r="H9" s="400"/>
      <c r="I9" s="400"/>
      <c r="J9" s="400"/>
      <c r="K9" s="400"/>
      <c r="L9" s="400"/>
      <c r="M9" s="400"/>
      <c r="N9" s="538"/>
      <c r="O9" s="3495"/>
      <c r="P9" s="3495"/>
      <c r="Q9" s="3495"/>
      <c r="R9" s="3495"/>
      <c r="S9" s="3495"/>
      <c r="T9" s="3495"/>
      <c r="U9" s="3495"/>
      <c r="V9" s="3495"/>
      <c r="W9" s="3495"/>
      <c r="X9" s="3495"/>
      <c r="Y9" s="3495"/>
    </row>
    <row r="10" spans="1:25" ht="18" customHeight="1" thickTop="1" thickBot="1" x14ac:dyDescent="0.35">
      <c r="A10" s="14"/>
      <c r="B10" s="535"/>
      <c r="C10" s="535"/>
      <c r="D10" s="535"/>
    </row>
    <row r="11" spans="1:25" s="2" customFormat="1" ht="19" thickTop="1" x14ac:dyDescent="0.3">
      <c r="A11" s="4911" t="s">
        <v>1254</v>
      </c>
      <c r="B11" s="4912"/>
      <c r="C11" s="4912"/>
      <c r="D11" s="4912"/>
      <c r="E11" s="4912"/>
      <c r="F11" s="4912"/>
      <c r="G11" s="4912"/>
      <c r="H11" s="4912"/>
      <c r="I11" s="4912"/>
      <c r="J11" s="4912"/>
      <c r="K11" s="4912"/>
      <c r="L11" s="4912"/>
      <c r="M11" s="4912"/>
      <c r="N11" s="4912"/>
      <c r="O11" s="4912"/>
      <c r="P11" s="4912"/>
      <c r="Q11" s="4912"/>
      <c r="R11" s="4912"/>
      <c r="S11" s="4912"/>
      <c r="T11" s="4912"/>
      <c r="U11" s="3497"/>
      <c r="V11" s="3497"/>
      <c r="W11" s="3497"/>
      <c r="X11" s="3497"/>
      <c r="Y11" s="536"/>
    </row>
    <row r="12" spans="1:25" ht="15" thickBot="1" x14ac:dyDescent="0.35">
      <c r="A12" s="252"/>
      <c r="B12" s="253"/>
      <c r="C12" s="50"/>
      <c r="D12" s="50"/>
      <c r="E12" s="50"/>
      <c r="F12" s="50"/>
      <c r="G12" s="50"/>
      <c r="H12" s="50"/>
      <c r="I12" s="50"/>
      <c r="J12" s="50"/>
      <c r="K12" s="50"/>
      <c r="L12" s="50"/>
      <c r="M12" s="50"/>
      <c r="N12" s="50"/>
      <c r="O12" s="50"/>
      <c r="P12" s="50"/>
      <c r="Q12" s="50"/>
      <c r="R12" s="50"/>
      <c r="S12" s="50"/>
      <c r="T12" s="50"/>
      <c r="U12" s="50"/>
      <c r="V12" s="50"/>
      <c r="W12" s="50"/>
      <c r="X12" s="50"/>
      <c r="Y12" s="154"/>
    </row>
    <row r="13" spans="1:25" s="2" customFormat="1" ht="44" thickTop="1" x14ac:dyDescent="0.3">
      <c r="A13" s="3486"/>
      <c r="B13" s="344" t="s">
        <v>824</v>
      </c>
      <c r="C13" s="2030" t="s">
        <v>475</v>
      </c>
      <c r="D13" s="2078" t="s">
        <v>1233</v>
      </c>
      <c r="E13" s="44" t="b">
        <f>E20</f>
        <v>0</v>
      </c>
      <c r="F13" s="44"/>
      <c r="G13" s="47"/>
      <c r="H13" s="47"/>
      <c r="I13" s="47"/>
      <c r="J13" s="47"/>
      <c r="K13" s="47"/>
      <c r="L13" s="47"/>
      <c r="M13" s="47"/>
      <c r="N13" s="50"/>
      <c r="O13" s="44" t="b">
        <v>0</v>
      </c>
      <c r="P13" s="44"/>
      <c r="Q13" s="44" t="b">
        <v>0</v>
      </c>
      <c r="R13" s="3498"/>
      <c r="S13" s="3498"/>
      <c r="T13" s="3498"/>
      <c r="U13" s="3498"/>
      <c r="V13" s="44" t="b">
        <v>0</v>
      </c>
      <c r="W13" s="113"/>
      <c r="X13" s="113"/>
      <c r="Y13" s="114"/>
    </row>
    <row r="14" spans="1:25" s="2" customFormat="1" ht="29" x14ac:dyDescent="0.3">
      <c r="A14" s="254"/>
      <c r="B14" s="346" t="s">
        <v>825</v>
      </c>
      <c r="C14" s="2079" t="s">
        <v>474</v>
      </c>
      <c r="D14" s="2079" t="s">
        <v>1233</v>
      </c>
      <c r="E14" s="44" t="b">
        <f>E25</f>
        <v>0</v>
      </c>
      <c r="F14" s="44"/>
      <c r="G14" s="47"/>
      <c r="H14" s="47"/>
      <c r="I14" s="47"/>
      <c r="J14" s="47"/>
      <c r="K14" s="47"/>
      <c r="L14" s="47"/>
      <c r="M14" s="47"/>
      <c r="N14" s="50"/>
      <c r="O14" s="44" t="b">
        <v>0</v>
      </c>
      <c r="P14" s="44"/>
      <c r="Q14" s="44" t="b">
        <v>0</v>
      </c>
      <c r="R14" s="3498"/>
      <c r="S14" s="3498"/>
      <c r="T14" s="3498"/>
      <c r="U14" s="3498"/>
      <c r="V14" s="44" t="b">
        <v>0</v>
      </c>
      <c r="W14" s="113"/>
      <c r="X14" s="113"/>
      <c r="Y14" s="114"/>
    </row>
    <row r="15" spans="1:25" s="2" customFormat="1" ht="43.5" x14ac:dyDescent="0.3">
      <c r="A15" s="3486"/>
      <c r="B15" s="348" t="s">
        <v>826</v>
      </c>
      <c r="C15" s="2079" t="s">
        <v>822</v>
      </c>
      <c r="D15" s="2079" t="s">
        <v>1233</v>
      </c>
      <c r="E15" s="361" t="b">
        <f>E33</f>
        <v>0</v>
      </c>
      <c r="F15" s="361"/>
      <c r="G15" s="361"/>
      <c r="H15" s="361"/>
      <c r="I15" s="361"/>
      <c r="J15" s="361"/>
      <c r="K15" s="361"/>
      <c r="L15" s="361"/>
      <c r="M15" s="361"/>
      <c r="N15" s="157"/>
      <c r="O15" s="3498"/>
      <c r="P15" s="3498"/>
      <c r="Q15" s="3498"/>
      <c r="R15" s="3498"/>
      <c r="S15" s="3498"/>
      <c r="T15" s="3498"/>
      <c r="U15" s="3498"/>
      <c r="V15" s="3498"/>
      <c r="W15" s="3498"/>
      <c r="X15" s="3498"/>
      <c r="Y15" s="116"/>
    </row>
    <row r="16" spans="1:25" s="2" customFormat="1" ht="29.5" thickBot="1" x14ac:dyDescent="0.35">
      <c r="A16" s="3487"/>
      <c r="B16" s="350" t="s">
        <v>827</v>
      </c>
      <c r="C16" s="2080" t="s">
        <v>823</v>
      </c>
      <c r="D16" s="2081" t="s">
        <v>1233</v>
      </c>
      <c r="E16" s="258" t="b">
        <f>E39</f>
        <v>0</v>
      </c>
      <c r="F16" s="258"/>
      <c r="G16" s="258"/>
      <c r="H16" s="258"/>
      <c r="I16" s="258"/>
      <c r="J16" s="258"/>
      <c r="K16" s="258"/>
      <c r="L16" s="258"/>
      <c r="M16" s="258"/>
      <c r="N16" s="159"/>
      <c r="O16" s="3499"/>
      <c r="P16" s="3499"/>
      <c r="Q16" s="3499"/>
      <c r="R16" s="3499"/>
      <c r="S16" s="3499"/>
      <c r="T16" s="3499"/>
      <c r="U16" s="3499"/>
      <c r="V16" s="3499"/>
      <c r="W16" s="3499"/>
      <c r="X16" s="3499"/>
      <c r="Y16" s="118"/>
    </row>
    <row r="17" spans="1:25" s="70" customFormat="1" ht="15.5" thickTop="1" thickBot="1" x14ac:dyDescent="0.35">
      <c r="A17" s="214"/>
      <c r="C17" s="214"/>
      <c r="E17" s="3490"/>
      <c r="F17" s="3490"/>
      <c r="G17" s="214"/>
      <c r="H17" s="214"/>
      <c r="I17" s="222"/>
      <c r="J17" s="222"/>
      <c r="K17" s="222"/>
      <c r="L17" s="222"/>
      <c r="M17" s="222"/>
      <c r="N17" s="214"/>
      <c r="O17" s="222"/>
      <c r="Q17" s="222"/>
      <c r="R17" s="222"/>
      <c r="S17" s="222"/>
      <c r="T17" s="222"/>
      <c r="U17" s="222"/>
      <c r="V17" s="222"/>
      <c r="W17" s="222"/>
      <c r="X17" s="222"/>
      <c r="Y17" s="222"/>
    </row>
    <row r="18" spans="1:25" s="225" customFormat="1" ht="19" thickTop="1" x14ac:dyDescent="0.3">
      <c r="A18" s="4911" t="s">
        <v>1135</v>
      </c>
      <c r="B18" s="4912"/>
      <c r="C18" s="4912"/>
      <c r="D18" s="4912"/>
      <c r="E18" s="4912"/>
      <c r="F18" s="4912"/>
      <c r="G18" s="4912"/>
      <c r="H18" s="4912"/>
      <c r="I18" s="4912"/>
      <c r="J18" s="4912"/>
      <c r="K18" s="4912"/>
      <c r="L18" s="4912"/>
      <c r="M18" s="4912"/>
      <c r="N18" s="4912"/>
      <c r="O18" s="3497"/>
      <c r="P18" s="3497"/>
      <c r="Q18" s="3497"/>
      <c r="R18" s="3497"/>
      <c r="S18" s="3497"/>
      <c r="T18" s="3497"/>
      <c r="U18" s="3497"/>
      <c r="V18" s="3497"/>
      <c r="W18" s="3497"/>
      <c r="X18" s="3497"/>
      <c r="Y18" s="256"/>
    </row>
    <row r="19" spans="1:25" s="70" customFormat="1" ht="15" thickBot="1" x14ac:dyDescent="0.35">
      <c r="A19" s="257"/>
      <c r="B19" s="2083"/>
      <c r="C19" s="2083"/>
      <c r="D19" s="2083"/>
      <c r="E19" s="2083"/>
      <c r="F19" s="2083"/>
      <c r="G19" s="2083"/>
      <c r="H19" s="2083"/>
      <c r="I19" s="2083"/>
      <c r="J19" s="2083"/>
      <c r="K19" s="2083"/>
      <c r="L19" s="2083"/>
      <c r="M19" s="2083"/>
      <c r="N19" s="2083"/>
      <c r="O19" s="2083"/>
      <c r="P19" s="2083"/>
      <c r="Q19" s="2083"/>
      <c r="R19" s="2083"/>
      <c r="S19" s="2083"/>
      <c r="T19" s="2083"/>
      <c r="U19" s="2083"/>
      <c r="V19" s="2083"/>
      <c r="W19" s="2083"/>
      <c r="X19" s="2083"/>
      <c r="Y19" s="2084"/>
    </row>
    <row r="20" spans="1:25" s="2" customFormat="1" ht="44.5" thickTop="1" thickBot="1" x14ac:dyDescent="0.35">
      <c r="A20" s="3487"/>
      <c r="B20" s="1051" t="s">
        <v>415</v>
      </c>
      <c r="C20" s="2085" t="s">
        <v>940</v>
      </c>
      <c r="D20" s="2086"/>
      <c r="E20" s="2085" t="b">
        <f>IF(AND(E21=TRUE,E29=TRUE,E27=TRUE),TRUE,FALSE)</f>
        <v>0</v>
      </c>
      <c r="F20" s="2085"/>
      <c r="G20" s="2085">
        <f>COUNTIFS(E21:E32,TRUE,G21:G32,"Not Blank")</f>
        <v>0</v>
      </c>
      <c r="H20" s="2085">
        <f>COUNTIFS(E21:E32,FALSE,G21:G32,"Not Blank")</f>
        <v>0</v>
      </c>
      <c r="I20" s="2087" t="str">
        <f>IF(AND(E20=FALSE,G20=0,H20=0),"Nothing Enterred below Yet",IF(AND(E20=FALSE,G20&gt;0,H20=0),"Entry below has not been summarised",IF(AND(G20=0,H20&gt;0),"**Non-Valid Entry/ies below - Check Yellow Box/es",IF(AND(E20,TRUE,G20=1,H20=0),"Valid Entry made below",IF(AND(E20=TRUE,G20=0,H20=0),"Valid Entry required below - Check amber box",IF(AND(E20=TRUE,G20&gt;1,H20=0),"**Too many Options used - check Red Boxes",IF(AND(G20&gt;0,H20&gt;0),"**Valid and Non-Valid Entries made below - Check Yellow Box/es")))))))</f>
        <v>Nothing Enterred below Yet</v>
      </c>
      <c r="J20" s="240"/>
      <c r="K20" s="240"/>
      <c r="L20" s="2087" t="str">
        <f>IF(AND(E20=FALSE,J20=0,K20=0),"Nothing Enterred below Yet",IF(AND(J20=0,K20&gt;0),"**Non-Valid Entry/ies below - Check Yellow Box/es",IF(J20&lt;F20,"Valid Entry required below - Check amber box",IF(AND(J20&gt;0,K20&gt;0),"**Valid and Non-Valid Entries made below - Check Yellow Box/es",IF(AND(E20=FALSE,J20&lt;4),"Not all requirements addressed below - Check Pink Box/es",IF(AND(E20,TRUE,J20=4,K20=0),"Valid Entries made below"))))))</f>
        <v>Nothing Enterred below Yet</v>
      </c>
      <c r="M20" s="240"/>
      <c r="N20" s="400"/>
      <c r="O20" s="91"/>
      <c r="P20" s="91"/>
      <c r="Q20" s="91"/>
      <c r="R20" s="91"/>
      <c r="S20" s="91"/>
      <c r="T20" s="91"/>
      <c r="U20" s="2088"/>
      <c r="V20" s="91"/>
      <c r="W20" s="2088"/>
      <c r="X20" s="2088"/>
      <c r="Y20" s="2089"/>
    </row>
    <row r="21" spans="1:25" ht="13.5" thickTop="1" x14ac:dyDescent="0.3">
      <c r="A21" s="16"/>
      <c r="B21" s="16"/>
      <c r="W21" s="3484"/>
    </row>
    <row r="22" spans="1:25" s="3493" customFormat="1" ht="18" customHeight="1" thickBot="1" x14ac:dyDescent="0.35">
      <c r="A22" s="18"/>
      <c r="B22" s="19"/>
      <c r="C22" s="3489"/>
      <c r="D22" s="3489"/>
      <c r="E22" s="3489"/>
      <c r="F22" s="3489"/>
      <c r="G22" s="70"/>
      <c r="H22" s="233"/>
      <c r="I22" s="150"/>
      <c r="N22" s="214"/>
      <c r="U22" s="3496"/>
    </row>
    <row r="23" spans="1:25" s="2" customFormat="1" ht="18.649999999999999" customHeight="1" thickTop="1" x14ac:dyDescent="0.3">
      <c r="A23" s="4911" t="s">
        <v>1137</v>
      </c>
      <c r="B23" s="4912"/>
      <c r="C23" s="4912"/>
      <c r="D23" s="4912"/>
      <c r="E23" s="4912"/>
      <c r="F23" s="4912"/>
      <c r="G23" s="4912"/>
      <c r="H23" s="4912"/>
      <c r="I23" s="4912"/>
      <c r="J23" s="4912"/>
      <c r="K23" s="4912"/>
      <c r="L23" s="4912"/>
      <c r="M23" s="4912"/>
      <c r="N23" s="4912"/>
      <c r="O23" s="537"/>
      <c r="P23" s="537"/>
      <c r="Q23" s="537"/>
      <c r="R23" s="537"/>
      <c r="S23" s="537"/>
      <c r="T23" s="537"/>
      <c r="U23" s="259"/>
      <c r="V23" s="537"/>
      <c r="W23" s="259"/>
      <c r="X23" s="259"/>
      <c r="Y23" s="260"/>
    </row>
    <row r="24" spans="1:25" s="2" customFormat="1" ht="18" customHeight="1" x14ac:dyDescent="0.3">
      <c r="A24" s="254"/>
      <c r="B24" s="157"/>
      <c r="C24" s="44"/>
      <c r="D24" s="44"/>
      <c r="E24" s="361"/>
      <c r="F24" s="361"/>
      <c r="G24" s="382"/>
      <c r="H24" s="361"/>
      <c r="I24" s="44"/>
      <c r="J24" s="216"/>
      <c r="K24" s="216"/>
      <c r="L24" s="44"/>
      <c r="M24" s="44"/>
      <c r="N24" s="382"/>
      <c r="O24" s="3498"/>
      <c r="P24" s="3498"/>
      <c r="Q24" s="3498"/>
      <c r="R24" s="3498"/>
      <c r="S24" s="3498"/>
      <c r="T24" s="3498"/>
      <c r="U24" s="113"/>
      <c r="V24" s="3498"/>
      <c r="W24" s="113"/>
      <c r="X24" s="113"/>
      <c r="Y24" s="114"/>
    </row>
    <row r="25" spans="1:25" s="3493" customFormat="1" ht="29.5" thickBot="1" x14ac:dyDescent="0.35">
      <c r="A25" s="121">
        <v>11</v>
      </c>
      <c r="B25" s="44" t="s">
        <v>474</v>
      </c>
      <c r="C25" s="2061" t="s">
        <v>670</v>
      </c>
      <c r="D25" s="1903" t="s">
        <v>1195</v>
      </c>
      <c r="E25" s="1976" t="b">
        <f>IF(AND(E26=TRUE,E27=TRUE,E29=TRUE),TRUE,FALSE)</f>
        <v>0</v>
      </c>
      <c r="F25" s="1976">
        <f>COUNTIF(E26:E29,TRUE)</f>
        <v>1</v>
      </c>
      <c r="G25" s="2082">
        <f>COUNTIFS(E26:E29,TRUE,G26:G29,"Not Blank")</f>
        <v>0</v>
      </c>
      <c r="H25" s="1920">
        <f>COUNTIFS(E26:E29,FALSE,G26:G29,"Not Blank")</f>
        <v>0</v>
      </c>
      <c r="I25" s="151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Valid Entry required below - Check Amber Line/s</v>
      </c>
      <c r="J25" s="1518">
        <f>COUNTIFS(E26:E29,TRUE,J26:J29,"Not Blank")</f>
        <v>0</v>
      </c>
      <c r="K25" s="1518">
        <f>COUNTIFS(E26:E29,FALSE,J26:J29,"Not Blank")</f>
        <v>0</v>
      </c>
      <c r="L25" s="1517" t="str">
        <f>IF(AND(E25=FALSE,J25=0,K25=0),"Nothing Enterred below Yet",IF(AND(J25=0,K25&gt;0),"**Non-Valid Entry/ies below - Check Yellow Box/es",IF(J25&lt;F25,"Valid Entry required below - Check amber box",IF(AND(J25&gt;0,K25&gt;0),"**Valid and Non-Valid Entries made below - Check Yellow Box/es",IF(AND(E25=FALSE,J25&lt;4),"Not all requirements addressed below - Check Pink Box/es",IF(AND(E25,TRUE,J25=4,K25=0),"Valid Entries made below"))))))</f>
        <v>Nothing Enterred below Yet</v>
      </c>
      <c r="M25" s="197"/>
      <c r="N25" s="4913"/>
      <c r="O25" s="44"/>
      <c r="P25" s="44"/>
      <c r="Q25" s="44"/>
      <c r="R25" s="44"/>
      <c r="S25" s="44"/>
      <c r="T25" s="44"/>
      <c r="U25" s="4915"/>
      <c r="V25" s="44"/>
      <c r="W25" s="44"/>
      <c r="X25" s="44"/>
      <c r="Y25" s="122"/>
    </row>
    <row r="26" spans="1:25" s="3493" customFormat="1" ht="73" thickTop="1" x14ac:dyDescent="0.3">
      <c r="A26" s="121" t="s">
        <v>1106</v>
      </c>
      <c r="B26" s="44"/>
      <c r="C26" s="2061" t="s">
        <v>1250</v>
      </c>
      <c r="D26" s="392" t="s">
        <v>13</v>
      </c>
      <c r="E26" s="361" t="b">
        <f>IF(D26="Compliant",TRUE,FALSE)</f>
        <v>1</v>
      </c>
      <c r="F26" s="361"/>
      <c r="G26" s="381" t="str">
        <f>IF(I26&lt;&gt;"", "Not Blank", "")</f>
        <v/>
      </c>
      <c r="H26" s="380"/>
      <c r="I26" s="189"/>
      <c r="J26" s="216" t="str">
        <f>IF(L26&lt;&gt;"", "Not Blank", "")</f>
        <v/>
      </c>
      <c r="K26" s="216"/>
      <c r="L26" s="44"/>
      <c r="M26" s="44"/>
      <c r="N26" s="4913"/>
      <c r="O26" s="44"/>
      <c r="P26" s="701" t="s">
        <v>3</v>
      </c>
      <c r="Q26" s="44"/>
      <c r="R26" s="44"/>
      <c r="S26" s="44"/>
      <c r="T26" s="44"/>
      <c r="U26" s="4915"/>
      <c r="V26" s="44"/>
      <c r="W26" s="44"/>
      <c r="X26" s="44"/>
      <c r="Y26" s="122"/>
    </row>
    <row r="27" spans="1:25" s="3493" customFormat="1" ht="72.5" x14ac:dyDescent="0.3">
      <c r="A27" s="121" t="s">
        <v>1106</v>
      </c>
      <c r="B27" s="44"/>
      <c r="C27" s="1903" t="s">
        <v>1950</v>
      </c>
      <c r="D27" s="392"/>
      <c r="E27" s="361" t="b">
        <f>IF(D27="Compliant",TRUE,FALSE)</f>
        <v>0</v>
      </c>
      <c r="F27" s="361"/>
      <c r="G27" s="381" t="str">
        <f>IF(I27&lt;&gt;"", "Not Blank", "")</f>
        <v/>
      </c>
      <c r="H27" s="380"/>
      <c r="I27" s="189"/>
      <c r="J27" s="216" t="str">
        <f>IF(L27&lt;&gt;"", "Not Blank", "")</f>
        <v/>
      </c>
      <c r="K27" s="216"/>
      <c r="L27" s="44"/>
      <c r="M27" s="44"/>
      <c r="N27" s="4913"/>
      <c r="O27" s="44"/>
      <c r="P27" s="44"/>
      <c r="Q27" s="44"/>
      <c r="R27" s="44"/>
      <c r="S27" s="44"/>
      <c r="T27" s="44"/>
      <c r="U27" s="4915"/>
      <c r="V27" s="44"/>
      <c r="W27" s="44"/>
      <c r="X27" s="44"/>
      <c r="Y27" s="122"/>
    </row>
    <row r="28" spans="1:25" s="3493" customFormat="1" ht="409.5" x14ac:dyDescent="0.3">
      <c r="A28" s="121">
        <v>7.5</v>
      </c>
      <c r="B28" s="44"/>
      <c r="C28" s="1903" t="s">
        <v>1114</v>
      </c>
      <c r="D28" s="392"/>
      <c r="E28" s="361" t="b">
        <f>IF(D28="Compliant",TRUE,FALSE)</f>
        <v>0</v>
      </c>
      <c r="F28" s="361"/>
      <c r="G28" s="381" t="str">
        <f>IF(I28&lt;&gt;"", "Not Blank", "")</f>
        <v/>
      </c>
      <c r="H28" s="380"/>
      <c r="I28" s="189"/>
      <c r="J28" s="216" t="str">
        <f>IF(L28&lt;&gt;"", "Not Blank", "")</f>
        <v/>
      </c>
      <c r="K28" s="216"/>
      <c r="L28" s="44"/>
      <c r="M28" s="44"/>
      <c r="N28" s="4913"/>
      <c r="O28" s="44"/>
      <c r="P28" s="44"/>
      <c r="Q28" s="44"/>
      <c r="R28" s="44"/>
      <c r="S28" s="44"/>
      <c r="T28" s="44"/>
      <c r="U28" s="4915"/>
      <c r="V28" s="44"/>
      <c r="W28" s="44"/>
      <c r="X28" s="44"/>
      <c r="Y28" s="122"/>
    </row>
    <row r="29" spans="1:25" s="3493" customFormat="1" ht="55" customHeight="1" thickBot="1" x14ac:dyDescent="0.35">
      <c r="A29" s="262" t="s">
        <v>1103</v>
      </c>
      <c r="B29" s="124"/>
      <c r="C29" s="1975" t="s">
        <v>1251</v>
      </c>
      <c r="D29" s="394"/>
      <c r="E29" s="258" t="b">
        <f>IF(D29="Compliant",TRUE,FALSE)</f>
        <v>0</v>
      </c>
      <c r="F29" s="258"/>
      <c r="G29" s="451" t="str">
        <f>IF(I29&lt;&gt;"", "Not Blank", "")</f>
        <v/>
      </c>
      <c r="H29" s="404"/>
      <c r="I29" s="190"/>
      <c r="J29" s="218" t="str">
        <f>IF(L29&lt;&gt;"", "Not Blank", "")</f>
        <v/>
      </c>
      <c r="K29" s="218"/>
      <c r="L29" s="124"/>
      <c r="M29" s="124"/>
      <c r="N29" s="4914"/>
      <c r="O29" s="124"/>
      <c r="P29" s="124"/>
      <c r="Q29" s="124"/>
      <c r="R29" s="124"/>
      <c r="S29" s="124"/>
      <c r="T29" s="124"/>
      <c r="U29" s="4916"/>
      <c r="V29" s="124"/>
      <c r="W29" s="124"/>
      <c r="X29" s="124"/>
      <c r="Y29" s="125"/>
    </row>
    <row r="30" spans="1:25" s="3493" customFormat="1" ht="19" customHeight="1" thickTop="1" thickBot="1" x14ac:dyDescent="0.35">
      <c r="A30" s="19"/>
      <c r="C30" s="149"/>
      <c r="E30" s="3489"/>
      <c r="F30" s="3489"/>
      <c r="G30" s="417"/>
      <c r="H30" s="17"/>
      <c r="I30" s="3494"/>
      <c r="J30" s="3490"/>
      <c r="K30" s="3490"/>
      <c r="N30" s="214"/>
      <c r="U30" s="3495"/>
    </row>
    <row r="31" spans="1:25" s="2" customFormat="1" ht="18.649999999999999" customHeight="1" thickTop="1" x14ac:dyDescent="0.3">
      <c r="A31" s="4911" t="s">
        <v>1138</v>
      </c>
      <c r="B31" s="4912"/>
      <c r="C31" s="4912"/>
      <c r="D31" s="4912"/>
      <c r="E31" s="4912"/>
      <c r="F31" s="4912"/>
      <c r="G31" s="4912"/>
      <c r="H31" s="4912"/>
      <c r="I31" s="4912"/>
      <c r="J31" s="4912"/>
      <c r="K31" s="4912"/>
      <c r="L31" s="4912"/>
      <c r="M31" s="4912"/>
      <c r="N31" s="4912"/>
      <c r="O31" s="537"/>
      <c r="P31" s="537"/>
      <c r="Q31" s="537"/>
      <c r="R31" s="537"/>
      <c r="S31" s="537"/>
      <c r="T31" s="537"/>
      <c r="U31" s="259"/>
      <c r="V31" s="537"/>
      <c r="W31" s="259"/>
      <c r="X31" s="259"/>
      <c r="Y31" s="260"/>
    </row>
    <row r="32" spans="1:25" x14ac:dyDescent="0.3">
      <c r="A32" s="153"/>
      <c r="B32" s="50"/>
      <c r="C32" s="50"/>
      <c r="D32" s="50"/>
      <c r="E32" s="50"/>
      <c r="F32" s="50"/>
      <c r="G32" s="50"/>
      <c r="H32" s="50"/>
      <c r="I32" s="50"/>
      <c r="J32" s="50"/>
      <c r="K32" s="50"/>
      <c r="L32" s="50"/>
      <c r="M32" s="50"/>
      <c r="N32" s="50"/>
      <c r="O32" s="50"/>
      <c r="P32" s="50"/>
      <c r="Q32" s="50"/>
      <c r="R32" s="50"/>
      <c r="S32" s="50"/>
      <c r="T32" s="50"/>
      <c r="U32" s="50"/>
      <c r="V32" s="50"/>
      <c r="W32" s="50"/>
      <c r="X32" s="50"/>
      <c r="Y32" s="154"/>
    </row>
    <row r="33" spans="1:27" s="3493" customFormat="1" ht="43.5" x14ac:dyDescent="0.3">
      <c r="A33" s="121">
        <v>7</v>
      </c>
      <c r="B33" s="44" t="s">
        <v>432</v>
      </c>
      <c r="C33" s="1903" t="s">
        <v>924</v>
      </c>
      <c r="D33" s="44"/>
      <c r="E33" s="44" t="b">
        <f>IF(AND(E34=TRUE,E40=TRUE),TRUE,FALSE)</f>
        <v>0</v>
      </c>
      <c r="F33" s="44">
        <f>COUNTIF(E34:E50,TRUE)</f>
        <v>0</v>
      </c>
      <c r="G33" s="44" t="e">
        <f>COUNTIFS(E34,TRUE,G34,"Not Blank")+COUNTIFS(E35:E37,TRUE,G35:G37,"Not Blank")+COUNTIFS(E38:E39,TRUE,G38:G39,"Not Blank")+COUNTIFS(#REF!,TRUE,#REF!,"Not Blank")+ COUNTIFS(E41:E45,TRUE,G41:G45,"Not Blank")+COUNTIFS(E47:E50,TRUE,G47:G50,"Not Blank")</f>
        <v>#REF!</v>
      </c>
      <c r="H33" s="44" t="e">
        <f>COUNTIFS(E34,FALSE,G34,"Not Blank")+COUNTIFS(E35:E37,FALSE,G35:G37,"Not Blank")+COUNTIFS(E38:E39,FALSE,G38:G39,"Not Blank")+COUNTIFS(#REF!,FALSE,#REF!,"Not Blank")+ COUNTIFS(E41:E45,FALSE,G41:G45,"Not Blank")+COUNTIFS(E47:E50,FALSE,G47:G50,"Not Blank")</f>
        <v>#REF!</v>
      </c>
      <c r="I33" s="44" t="e">
        <f>IF(AND(E33=FALSE,G33=0,H33=0),"Nothing Enterred below Yet",IF(AND(E33=FALSE,G33&gt;0,H33=0),"Entry below has not been summarised",IF(AND(G33=0,H33&gt;0),"**Non-Valid Entry/ies below - Check Yellow Box/es",IF(AND(E33,TRUE,G33=20,H33=0),"Valid Entry made below",IF(AND(E33=TRUE,G33&lt;20,H33=0),"Valid Entry required below - Check amber box",IF(AND(E33=TRUE,G33&gt;20,H33=0),"**Too many Options used - check Red Boxes",IF(AND(G33&gt;0,H33&gt;0),"**Valid and Non-Valid Entries made below - Check Yellow Box/es")))))))</f>
        <v>#REF!</v>
      </c>
      <c r="J33" s="44">
        <f>COUNTIFS(E34:E50,TRUE,J34:J50,"Not Blank")</f>
        <v>0</v>
      </c>
      <c r="K33" s="44">
        <f>COUNTIFS(E34:E50,FALSE,J34:J50,"Not Blank")</f>
        <v>1</v>
      </c>
      <c r="L33" s="44" t="str">
        <f>IF(AND(E33=FALSE,J33=0,K33=0),"Nothing Enterred below Yet",IF(AND(E33=FALSE,J33&gt;0,K33=0),"Entry below has not been summarised",IF(AND(J33=0,K33&gt;0),"**Non-Valid Entry/ies below - Check Yellow Box/es",IF(AND(E33,TRUE,J33=20,K33=0),"Valid Entry made below",IF(AND(E33=TRUE,J33&lt;20,K33=0),"Valid Entry required below - Check amber box",IF(AND(E33=TRUE,J33&gt;20,K33=0),"**Too many Options used - check Red Boxes",IF(AND(J33&gt;0,K33&gt;0),"**Valid and Non-Valid Entries made below - Check Yellow Box/es")))))))</f>
        <v>**Non-Valid Entry/ies below - Check Yellow Box/es</v>
      </c>
      <c r="M33" s="44"/>
      <c r="N33" s="44"/>
      <c r="O33" s="44" t="e">
        <f>IF(AND(O34=TRUE,#REF!=TRUE,#REF!=TRUE,#REF!=TRUE,O40=TRUE,O41=TRUE,O42=TRUE,O43=TRUE,#REF!=TRUE,O44=TRUE,O45=TRUE,O46=TRUE),TRUE,FALSE)</f>
        <v>#REF!</v>
      </c>
      <c r="P33" s="44"/>
      <c r="Q33" s="44" t="e">
        <f>IF(AND(Q34=TRUE,#REF!=TRUE,#REF!=TRUE,#REF!=TRUE,Q40=TRUE,Q41=TRUE,Q42=TRUE,Q43=TRUE,#REF!=TRUE,Q44=TRUE,Q45=TRUE,Q46=TRUE),TRUE,FALSE)</f>
        <v>#REF!</v>
      </c>
      <c r="R33" s="44"/>
      <c r="S33" s="44"/>
      <c r="T33" s="44"/>
      <c r="U33" s="3498"/>
      <c r="V33" s="44" t="e">
        <f>IF(AND(V34=TRUE,#REF!=TRUE,#REF!=TRUE,#REF!=TRUE,V40=TRUE,V41=TRUE,V42=TRUE,V43=TRUE,#REF!=TRUE,V44=TRUE,V45=TRUE,V46=TRUE),TRUE,FALSE)</f>
        <v>#REF!</v>
      </c>
      <c r="W33" s="44"/>
      <c r="X33" s="44"/>
      <c r="Y33" s="122"/>
    </row>
    <row r="34" spans="1:27" s="3493" customFormat="1" ht="42.65" customHeight="1" thickBot="1" x14ac:dyDescent="0.35">
      <c r="A34" s="123">
        <v>7.1</v>
      </c>
      <c r="B34" s="124"/>
      <c r="C34" s="1919" t="s">
        <v>1255</v>
      </c>
      <c r="D34" s="124"/>
      <c r="E34" s="124" t="b">
        <f>IF(AND(E35=TRUE,E36=TRUE,E37=TRUE,E38=TRUE,E39=TRUE),TRUE,FALSE)</f>
        <v>0</v>
      </c>
      <c r="F34" s="124"/>
      <c r="G34" s="124" t="str">
        <f>IF(I34&lt;&gt;"", "Not Blank", "")</f>
        <v>Not Blank</v>
      </c>
      <c r="H34" s="124"/>
      <c r="I34" s="124">
        <v>1</v>
      </c>
      <c r="J34" s="124" t="str">
        <f>IF(L34&lt;&gt;"", "Not Blank", "")</f>
        <v>Not Blank</v>
      </c>
      <c r="K34" s="124"/>
      <c r="L34" s="124">
        <v>1</v>
      </c>
      <c r="M34" s="124"/>
      <c r="N34" s="258"/>
      <c r="O34" s="124" t="b">
        <v>0</v>
      </c>
      <c r="P34" s="124"/>
      <c r="Q34" s="124" t="b">
        <v>0</v>
      </c>
      <c r="R34" s="124"/>
      <c r="S34" s="124"/>
      <c r="T34" s="124"/>
      <c r="U34" s="3499"/>
      <c r="V34" s="124" t="b">
        <v>0</v>
      </c>
      <c r="W34" s="124"/>
      <c r="X34" s="124"/>
      <c r="Y34" s="125"/>
    </row>
    <row r="35" spans="1:27" ht="13.5" thickTop="1" x14ac:dyDescent="0.3">
      <c r="A35" s="16"/>
      <c r="B35" s="16"/>
      <c r="W35" s="3484"/>
    </row>
    <row r="36" spans="1:27" s="3493" customFormat="1" ht="19" customHeight="1" thickBot="1" x14ac:dyDescent="0.35">
      <c r="A36" s="19"/>
      <c r="E36" s="3489"/>
      <c r="F36" s="3489"/>
      <c r="G36" s="417"/>
      <c r="H36" s="17"/>
      <c r="I36" s="3494"/>
      <c r="J36" s="3490"/>
      <c r="K36" s="3490"/>
      <c r="N36" s="384"/>
      <c r="U36" s="3495"/>
    </row>
    <row r="37" spans="1:27" s="2" customFormat="1" ht="18.649999999999999" customHeight="1" thickTop="1" x14ac:dyDescent="0.3">
      <c r="A37" s="4911" t="s">
        <v>1139</v>
      </c>
      <c r="B37" s="4912"/>
      <c r="C37" s="4912"/>
      <c r="D37" s="4912"/>
      <c r="E37" s="4912"/>
      <c r="F37" s="4912"/>
      <c r="G37" s="4912"/>
      <c r="H37" s="4912"/>
      <c r="I37" s="4912"/>
      <c r="J37" s="4912"/>
      <c r="K37" s="4912"/>
      <c r="L37" s="4912"/>
      <c r="M37" s="4912"/>
      <c r="N37" s="4912"/>
      <c r="O37" s="537"/>
      <c r="P37" s="537"/>
      <c r="Q37" s="537"/>
      <c r="R37" s="537"/>
      <c r="S37" s="537"/>
      <c r="T37" s="537"/>
      <c r="U37" s="259"/>
      <c r="V37" s="537"/>
      <c r="W37" s="259"/>
      <c r="X37" s="259"/>
      <c r="Y37" s="260"/>
    </row>
    <row r="38" spans="1:27" s="3493" customFormat="1" ht="23.15" customHeight="1" x14ac:dyDescent="0.3">
      <c r="A38" s="263"/>
      <c r="B38" s="44"/>
      <c r="C38" s="197"/>
      <c r="D38" s="44"/>
      <c r="E38" s="361"/>
      <c r="F38" s="361"/>
      <c r="G38" s="381"/>
      <c r="H38" s="380"/>
      <c r="I38" s="44"/>
      <c r="J38" s="216"/>
      <c r="K38" s="216"/>
      <c r="L38" s="44"/>
      <c r="M38" s="44"/>
      <c r="N38" s="382"/>
      <c r="O38" s="44"/>
      <c r="P38" s="44"/>
      <c r="Q38" s="44"/>
      <c r="R38" s="44"/>
      <c r="S38" s="44"/>
      <c r="T38" s="44"/>
      <c r="U38" s="3498"/>
      <c r="V38" s="44"/>
      <c r="W38" s="44"/>
      <c r="X38" s="44"/>
      <c r="Y38" s="122"/>
    </row>
    <row r="39" spans="1:27" s="3493" customFormat="1" ht="72.5" x14ac:dyDescent="0.3">
      <c r="A39" s="121">
        <v>6</v>
      </c>
      <c r="B39" s="44" t="s">
        <v>734</v>
      </c>
      <c r="C39" s="44" t="s">
        <v>1257</v>
      </c>
      <c r="D39" s="44"/>
      <c r="E39" s="44" t="b">
        <f>IF(AND(E40=TRUE,E41=TRUE,E42=TRUE,E43=TRUE,E44=TRUE,E45=TRUE,E46=TRUE,E47=TRUE,E48=TRUE),TRUE,FALSE)</f>
        <v>0</v>
      </c>
      <c r="F39" s="44"/>
      <c r="G39" s="44">
        <f>COUNTIFS(E40:E48,TRUE,G40:G48,"Not Blank")</f>
        <v>0</v>
      </c>
      <c r="H39" s="44">
        <f>COUNTIFS(E40:E48,FALSE,G40:G48,"Not Blank")</f>
        <v>0</v>
      </c>
      <c r="I39" s="44"/>
      <c r="J39" s="44"/>
      <c r="K39" s="44"/>
      <c r="L39" s="44"/>
      <c r="M39" s="44"/>
      <c r="N39" s="152"/>
      <c r="O39" s="112"/>
      <c r="P39" s="112"/>
      <c r="Q39" s="112"/>
      <c r="R39" s="44"/>
      <c r="S39" s="44"/>
      <c r="T39" s="44"/>
      <c r="U39" s="539"/>
      <c r="V39" s="112"/>
      <c r="W39" s="44"/>
      <c r="X39" s="44"/>
      <c r="Y39" s="122"/>
    </row>
    <row r="40" spans="1:27" ht="13.5" thickBot="1" x14ac:dyDescent="0.35">
      <c r="A40" s="264"/>
      <c r="B40" s="223"/>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7" ht="13.5" thickTop="1" x14ac:dyDescent="0.3">
      <c r="A41" s="16"/>
      <c r="B41" s="16"/>
      <c r="W41" s="3484"/>
    </row>
    <row r="42" spans="1:27" s="3493" customFormat="1" ht="14.5" x14ac:dyDescent="0.3">
      <c r="U42" s="3496"/>
    </row>
    <row r="43" spans="1:27" s="225" customFormat="1" ht="18.649999999999999" customHeight="1" x14ac:dyDescent="0.3">
      <c r="A43" s="4594" t="s">
        <v>1245</v>
      </c>
      <c r="B43" s="4595"/>
      <c r="C43" s="4595"/>
      <c r="D43" s="4595"/>
      <c r="E43" s="4595"/>
      <c r="F43" s="4595"/>
      <c r="G43" s="4595"/>
      <c r="H43" s="4595"/>
      <c r="I43" s="4595"/>
      <c r="J43" s="4595"/>
      <c r="K43" s="4595"/>
      <c r="L43" s="4595"/>
      <c r="M43" s="4595"/>
      <c r="N43" s="4595"/>
      <c r="O43" s="226"/>
      <c r="P43" s="226"/>
      <c r="Q43" s="226"/>
      <c r="R43" s="227"/>
      <c r="S43" s="228"/>
      <c r="T43" s="228"/>
      <c r="U43" s="3485"/>
      <c r="V43" s="226"/>
      <c r="W43" s="227"/>
      <c r="X43" s="227"/>
      <c r="Y43" s="228"/>
    </row>
    <row r="44" spans="1:27" s="3493" customFormat="1" ht="14.5" x14ac:dyDescent="0.3">
      <c r="A44" s="121"/>
      <c r="B44" s="44"/>
      <c r="C44" s="44"/>
      <c r="D44" s="44"/>
      <c r="E44" s="44"/>
      <c r="F44" s="44"/>
      <c r="G44" s="44"/>
      <c r="H44" s="44"/>
      <c r="I44" s="44"/>
      <c r="J44" s="44"/>
      <c r="K44" s="44"/>
      <c r="L44" s="44"/>
      <c r="M44" s="44"/>
      <c r="N44" s="44"/>
      <c r="O44" s="44"/>
      <c r="P44" s="44"/>
      <c r="Q44" s="44"/>
      <c r="R44" s="44"/>
      <c r="S44" s="44"/>
      <c r="T44" s="44"/>
      <c r="U44" s="475"/>
      <c r="V44" s="44"/>
      <c r="W44" s="44"/>
      <c r="X44" s="44"/>
      <c r="Y44" s="122"/>
    </row>
    <row r="45" spans="1:27" s="2" customFormat="1" ht="140.15" customHeight="1" x14ac:dyDescent="0.3">
      <c r="A45" s="254" t="s">
        <v>855</v>
      </c>
      <c r="B45" s="44" t="s">
        <v>459</v>
      </c>
      <c r="C45" s="44" t="s">
        <v>1256</v>
      </c>
      <c r="D45" s="44"/>
      <c r="E45" s="44" t="b">
        <f>IF(AND(E46=TRUE,E56=TRUE),TRUE,FALSE)</f>
        <v>0</v>
      </c>
      <c r="F45" s="44">
        <f>COUNTIF(E47:E54,TRUE)</f>
        <v>0</v>
      </c>
      <c r="G45" s="44">
        <f>COUNTIFS(E48:E54,TRUE,G48:G54,"Not Blank")</f>
        <v>0</v>
      </c>
      <c r="H45" s="44">
        <f>COUNTIFS(E48:E54,FALSE,G48:G54,"Not Blank")</f>
        <v>0</v>
      </c>
      <c r="I45" s="44" t="str">
        <f>IF(AND(E46=FALSE,E47=FALSE,F46=0,G47=0,H47=0,F54=0,H54=""),"Nothing Enterred below Yet",IF(AND(E45=TRUE,F45&gt;1,F54=1),"**Too many Options used - check Red Boxes",IF(F45&lt;&gt;G45,"Valid Entry required below - Check amber box",IF(AND(G45=0,H45&gt;0),"**Non-Valid Entry/ies below - Check Yellow Box/es",IF(OR(AND(E47,TRUE,E54=FALSE,F47=6,H47=0),AND(E47=FALSE,E54=TRUE,F47=0,I54&lt;&gt;"")),"Valid Entry made below",IF(OR(AND(G47&gt;0,H47&gt;0),H54=1),"**Valid and Non-Valid Entries made below - Check Yellow Box/es",IF(AND(F54=0,F47&lt;7),"More Entries required below")))))))</f>
        <v>Nothing Enterred below Yet</v>
      </c>
      <c r="J45" s="44">
        <f>COUNTIFS(E48:E54,TRUE,J48:J54,"Not Blank")</f>
        <v>0</v>
      </c>
      <c r="K45" s="44">
        <f>COUNTIFS(E48:E54,FALSE,J48:J54,"Not Blank")</f>
        <v>0</v>
      </c>
      <c r="L45" s="44" t="str">
        <f>IF(AND(E46=FALSE,E47=FALSE,F46=0,J47=0,K47=0,F54=0,K54=""),"Nothing Enterred below Yet", IF(AND(E45=TRUE,F45&gt;1,F54=1),"**Too many Options used - check Red Boxes",IF(F45&lt;&gt;J45,"Valid Entry required below - Check amber box", IF(AND(J45=0,K45&gt;0),"**Non-Valid Entry/ies below - Check Yellow Box/es",IF(OR(AND(E47,TRUE,E54=FALSE,F47=6,K47=0),AND(E47=FALSE,E54=TRUE,F47=0,L54&lt;&gt;"")),"Valid Entry made below",IF(OR(AND(J47&gt;0,K47&gt;0),K54=1),"**Valid and Non-Valid Entries made below - Check Yellow Box/es",IF(AND(F54=0,F47&lt;7),"More Entries required below","NA")))))))</f>
        <v>Nothing Enterred below Yet</v>
      </c>
      <c r="M45" s="44"/>
      <c r="N45" s="540"/>
      <c r="O45" s="427"/>
      <c r="P45" s="427"/>
      <c r="Q45" s="427"/>
      <c r="R45" s="157"/>
      <c r="S45" s="157"/>
      <c r="T45" s="50"/>
      <c r="U45" s="265"/>
      <c r="V45" s="427"/>
      <c r="W45" s="50"/>
      <c r="X45" s="50"/>
      <c r="Y45" s="154"/>
      <c r="Z45" s="3484"/>
      <c r="AA45" s="3484"/>
    </row>
    <row r="46" spans="1:27" ht="13.5" thickBot="1" x14ac:dyDescent="0.35">
      <c r="A46" s="264"/>
      <c r="B46" s="223"/>
      <c r="C46" s="155"/>
      <c r="D46" s="155"/>
      <c r="E46" s="155"/>
      <c r="F46" s="155"/>
      <c r="G46" s="155"/>
      <c r="H46" s="155"/>
      <c r="I46" s="155"/>
      <c r="J46" s="155"/>
      <c r="K46" s="155"/>
      <c r="L46" s="155"/>
      <c r="M46" s="155"/>
      <c r="N46" s="155"/>
      <c r="O46" s="155"/>
      <c r="P46" s="155"/>
      <c r="Q46" s="155"/>
      <c r="R46" s="155"/>
      <c r="S46" s="155"/>
      <c r="T46" s="155"/>
      <c r="U46" s="155"/>
      <c r="V46" s="155"/>
      <c r="W46" s="155"/>
      <c r="X46" s="155"/>
      <c r="Y46" s="156"/>
    </row>
    <row r="47" spans="1:27" ht="15" thickTop="1" x14ac:dyDescent="0.3">
      <c r="A47" s="16"/>
      <c r="B47" s="16"/>
      <c r="W47" s="3492"/>
    </row>
    <row r="48" spans="1:27" ht="14.5" x14ac:dyDescent="0.3">
      <c r="A48" s="16"/>
      <c r="B48" s="16"/>
      <c r="W48" s="3493"/>
    </row>
    <row r="49" spans="1:23" ht="14.5" x14ac:dyDescent="0.3">
      <c r="A49" s="16"/>
      <c r="B49" s="16"/>
      <c r="W49" s="3493"/>
    </row>
    <row r="50" spans="1:23" ht="14.5" x14ac:dyDescent="0.3">
      <c r="A50" s="16"/>
      <c r="B50" s="16"/>
      <c r="W50" s="3493"/>
    </row>
    <row r="51" spans="1:23" ht="14.5" x14ac:dyDescent="0.3">
      <c r="A51" s="16"/>
      <c r="B51" s="16"/>
      <c r="W51" s="3493"/>
    </row>
    <row r="52" spans="1:23" ht="14.5" x14ac:dyDescent="0.3">
      <c r="A52" s="16"/>
      <c r="B52" s="16"/>
      <c r="W52" s="3493"/>
    </row>
    <row r="53" spans="1:23" ht="14.5" x14ac:dyDescent="0.3">
      <c r="A53" s="16"/>
      <c r="B53" s="16"/>
      <c r="W53" s="3493"/>
    </row>
    <row r="54" spans="1:23" ht="14.5" x14ac:dyDescent="0.3">
      <c r="A54" s="16"/>
      <c r="B54" s="16"/>
      <c r="W54" s="3493"/>
    </row>
    <row r="55" spans="1:23" ht="14.5" x14ac:dyDescent="0.3">
      <c r="A55" s="16"/>
      <c r="B55" s="16"/>
      <c r="W55" s="3493"/>
    </row>
    <row r="56" spans="1:23" ht="14.5" x14ac:dyDescent="0.3">
      <c r="A56" s="16"/>
      <c r="B56" s="16"/>
      <c r="W56" s="3493"/>
    </row>
    <row r="57" spans="1:23" ht="14.5" x14ac:dyDescent="0.3">
      <c r="A57" s="16"/>
      <c r="B57" s="16"/>
      <c r="W57" s="3493"/>
    </row>
    <row r="58" spans="1:23" ht="14.5" x14ac:dyDescent="0.3">
      <c r="W58" s="3493"/>
    </row>
    <row r="59" spans="1:23" ht="14.5" x14ac:dyDescent="0.3">
      <c r="W59" s="3493"/>
    </row>
    <row r="60" spans="1:23" ht="14.5" x14ac:dyDescent="0.3">
      <c r="W60" s="3493"/>
    </row>
    <row r="61" spans="1:23" ht="14.5" x14ac:dyDescent="0.3">
      <c r="W61" s="3493"/>
    </row>
    <row r="62" spans="1:23" ht="14.5" x14ac:dyDescent="0.3">
      <c r="W62" s="3493"/>
    </row>
    <row r="63" spans="1:23" ht="14.5" x14ac:dyDescent="0.3">
      <c r="W63" s="3493"/>
    </row>
    <row r="64" spans="1:23" ht="14.5" x14ac:dyDescent="0.3">
      <c r="W64" s="3493"/>
    </row>
    <row r="65" spans="23:23" ht="14.5" x14ac:dyDescent="0.3">
      <c r="W65" s="3493"/>
    </row>
    <row r="66" spans="23:23" ht="14.5" x14ac:dyDescent="0.3">
      <c r="W66" s="3493"/>
    </row>
    <row r="67" spans="23:23" ht="14.5" x14ac:dyDescent="0.3">
      <c r="W67" s="3493"/>
    </row>
    <row r="68" spans="23:23" ht="14.5" x14ac:dyDescent="0.3">
      <c r="W68" s="3493"/>
    </row>
    <row r="69" spans="23:23" ht="14.5" x14ac:dyDescent="0.3">
      <c r="W69" s="3493"/>
    </row>
    <row r="70" spans="23:23" ht="14.5" x14ac:dyDescent="0.3">
      <c r="W70" s="3493"/>
    </row>
    <row r="71" spans="23:23" ht="14.5" x14ac:dyDescent="0.3">
      <c r="W71" s="3491"/>
    </row>
    <row r="72" spans="23:23" ht="14.5" x14ac:dyDescent="0.3">
      <c r="W72" s="3493"/>
    </row>
    <row r="73" spans="23:23" ht="14.5" x14ac:dyDescent="0.3">
      <c r="W73" s="3493"/>
    </row>
    <row r="74" spans="23:23" ht="14.5" x14ac:dyDescent="0.3">
      <c r="W74" s="3493"/>
    </row>
    <row r="75" spans="23:23" ht="14.5" x14ac:dyDescent="0.3">
      <c r="W75" s="3493"/>
    </row>
    <row r="76" spans="23:23" ht="14.5" x14ac:dyDescent="0.3">
      <c r="W76" s="3493"/>
    </row>
    <row r="77" spans="23:23" ht="14.5" x14ac:dyDescent="0.3">
      <c r="W77" s="3493"/>
    </row>
    <row r="78" spans="23:23" ht="14.5" x14ac:dyDescent="0.3">
      <c r="W78" s="3493"/>
    </row>
    <row r="79" spans="23:23" ht="14.5" x14ac:dyDescent="0.3">
      <c r="W79" s="3493"/>
    </row>
    <row r="80" spans="23:23" ht="14.5" x14ac:dyDescent="0.3">
      <c r="W80" s="3493"/>
    </row>
    <row r="81" spans="23:23" ht="14.5" x14ac:dyDescent="0.3">
      <c r="W81" s="3493"/>
    </row>
    <row r="82" spans="23:23" ht="14.5" x14ac:dyDescent="0.3">
      <c r="W82" s="3493"/>
    </row>
    <row r="83" spans="23:23" ht="14.5" x14ac:dyDescent="0.3">
      <c r="W83" s="3493"/>
    </row>
    <row r="84" spans="23:23" ht="14.5" x14ac:dyDescent="0.3">
      <c r="W84" s="3493"/>
    </row>
    <row r="86" spans="23:23" ht="14.5" x14ac:dyDescent="0.3">
      <c r="W86" s="3493"/>
    </row>
    <row r="87" spans="23:23" x14ac:dyDescent="0.3">
      <c r="W87" s="242"/>
    </row>
    <row r="88" spans="23:23" ht="14.5" x14ac:dyDescent="0.3">
      <c r="W88" s="3493"/>
    </row>
    <row r="89" spans="23:23" ht="14.5" x14ac:dyDescent="0.3">
      <c r="W89" s="3491"/>
    </row>
    <row r="90" spans="23:23" ht="14.5" x14ac:dyDescent="0.3">
      <c r="W90" s="3493"/>
    </row>
    <row r="91" spans="23:23" ht="14.5" x14ac:dyDescent="0.3">
      <c r="W91" s="3493"/>
    </row>
    <row r="92" spans="23:23" ht="14.5" x14ac:dyDescent="0.3">
      <c r="W92" s="233"/>
    </row>
  </sheetData>
  <mergeCells count="20">
    <mergeCell ref="B7:D7"/>
    <mergeCell ref="A11:C11"/>
    <mergeCell ref="D11:N11"/>
    <mergeCell ref="B1:D1"/>
    <mergeCell ref="B2:D2"/>
    <mergeCell ref="B3:D3"/>
    <mergeCell ref="A4:D4"/>
    <mergeCell ref="B6:D6"/>
    <mergeCell ref="O11:T11"/>
    <mergeCell ref="A18:C18"/>
    <mergeCell ref="D18:N18"/>
    <mergeCell ref="A43:N43"/>
    <mergeCell ref="N25:N29"/>
    <mergeCell ref="A23:C23"/>
    <mergeCell ref="D23:N23"/>
    <mergeCell ref="U25:U29"/>
    <mergeCell ref="A31:C31"/>
    <mergeCell ref="D31:N31"/>
    <mergeCell ref="A37:C37"/>
    <mergeCell ref="D37:N37"/>
  </mergeCells>
  <conditionalFormatting sqref="Q36:Q38">
    <cfRule type="expression" dxfId="213" priority="57">
      <formula>IF($E36,TRUE)</formula>
    </cfRule>
  </conditionalFormatting>
  <conditionalFormatting sqref="U36:U38">
    <cfRule type="containsText" dxfId="212" priority="53" operator="containsText" text="Applicable">
      <formula>NOT(ISERROR(SEARCH("Applicable",U36)))</formula>
    </cfRule>
    <cfRule type="containsText" dxfId="211" priority="54" operator="containsText" text="Functionally">
      <formula>NOT(ISERROR(SEARCH("Functionally",U36)))</formula>
    </cfRule>
    <cfRule type="containsText" dxfId="210" priority="55" operator="containsText" text="Not Compliant">
      <formula>NOT(ISERROR(SEARCH("Not Compliant",U36)))</formula>
    </cfRule>
    <cfRule type="containsText" dxfId="209" priority="56" operator="containsText" text="Compliant">
      <formula>NOT(ISERROR(SEARCH("Compliant",U36)))</formula>
    </cfRule>
  </conditionalFormatting>
  <conditionalFormatting sqref="P36:P39">
    <cfRule type="expression" dxfId="208" priority="58">
      <formula>IF(#REF!,TRUE)</formula>
    </cfRule>
    <cfRule type="expression" dxfId="207" priority="59">
      <formula>IF($E36,TRUE)</formula>
    </cfRule>
  </conditionalFormatting>
  <conditionalFormatting sqref="Q39">
    <cfRule type="expression" dxfId="206" priority="52">
      <formula>IF($E39,TRUE)</formula>
    </cfRule>
  </conditionalFormatting>
  <conditionalFormatting sqref="U39">
    <cfRule type="containsText" dxfId="205" priority="48" operator="containsText" text="Applicable">
      <formula>NOT(ISERROR(SEARCH("Applicable",U39)))</formula>
    </cfRule>
    <cfRule type="containsText" dxfId="204" priority="49" operator="containsText" text="Functionally">
      <formula>NOT(ISERROR(SEARCH("Functionally",U39)))</formula>
    </cfRule>
    <cfRule type="containsText" dxfId="203" priority="50" operator="containsText" text="Not Compliant">
      <formula>NOT(ISERROR(SEARCH("Not Compliant",U39)))</formula>
    </cfRule>
    <cfRule type="containsText" dxfId="202" priority="51" operator="containsText" text="Compliant">
      <formula>NOT(ISERROR(SEARCH("Compliant",U39)))</formula>
    </cfRule>
  </conditionalFormatting>
  <conditionalFormatting sqref="N39">
    <cfRule type="containsText" dxfId="201" priority="60" operator="containsText" text="Not Compliant">
      <formula>NOT(ISERROR(SEARCH("Not Compliant",N39)))</formula>
    </cfRule>
    <cfRule type="expression" dxfId="200" priority="61">
      <formula>IF(AND($E39=TRUE,$I39="",$N39="Compliant"),TRUE,FALSE)</formula>
    </cfRule>
    <cfRule type="expression" dxfId="199" priority="62">
      <formula>IF(AND($E39=TRUE,$I39&lt;&gt;"",$N39="Compliant"),TRUE,FALSE)</formula>
    </cfRule>
    <cfRule type="expression" dxfId="198" priority="63">
      <formula>IF(AND($E39=FALSE,$N39&lt;&gt;""),TRUE,FALSE)</formula>
    </cfRule>
    <cfRule type="expression" dxfId="197" priority="64">
      <formula>IF(AND($I39&lt;&gt;"",$N39&lt;&gt;""),TRUE,FALSE)</formula>
    </cfRule>
  </conditionalFormatting>
  <conditionalFormatting sqref="N36:N38">
    <cfRule type="containsText" dxfId="196" priority="65" operator="containsText" text="Not Compliant">
      <formula>NOT(ISERROR(SEARCH("Not Compliant",N36)))</formula>
    </cfRule>
    <cfRule type="expression" dxfId="195" priority="66">
      <formula>IF(AND($E36=TRUE,$I36="",$N36="Compliant"),TRUE,FALSE)</formula>
    </cfRule>
    <cfRule type="expression" dxfId="194" priority="67">
      <formula>IF(AND($E36=TRUE,$I36&lt;&gt;"",$N36="Compliant"),TRUE,FALSE)</formula>
    </cfRule>
    <cfRule type="expression" dxfId="193" priority="68">
      <formula>IF($N36&lt;&gt;"",TRUE,FALSE)</formula>
    </cfRule>
    <cfRule type="expression" dxfId="192" priority="69">
      <formula>IF(AND($E36=FALSE,$N36&lt;&gt;""),TRUE,FALSE)</formula>
    </cfRule>
    <cfRule type="expression" dxfId="191" priority="70">
      <formula>IF(AND($I36&lt;&gt;"",$N36&lt;&gt;""),TRUE,FALSE)</formula>
    </cfRule>
  </conditionalFormatting>
  <conditionalFormatting sqref="Q42">
    <cfRule type="expression" dxfId="190" priority="39">
      <formula>IF($E42,TRUE)</formula>
    </cfRule>
  </conditionalFormatting>
  <conditionalFormatting sqref="U42">
    <cfRule type="containsText" dxfId="189" priority="35" operator="containsText" text="Applicable">
      <formula>NOT(ISERROR(SEARCH("Applicable",U42)))</formula>
    </cfRule>
    <cfRule type="containsText" dxfId="188" priority="36" operator="containsText" text="Functionally">
      <formula>NOT(ISERROR(SEARCH("Functionally",U42)))</formula>
    </cfRule>
    <cfRule type="containsText" dxfId="187" priority="37" operator="containsText" text="Not Compliant">
      <formula>NOT(ISERROR(SEARCH("Not Compliant",U42)))</formula>
    </cfRule>
    <cfRule type="containsText" dxfId="186" priority="38" operator="containsText" text="Compliant">
      <formula>NOT(ISERROR(SEARCH("Compliant",U42)))</formula>
    </cfRule>
  </conditionalFormatting>
  <conditionalFormatting sqref="P42">
    <cfRule type="expression" dxfId="185" priority="40">
      <formula>IF(#REF!,TRUE)</formula>
    </cfRule>
    <cfRule type="expression" dxfId="184" priority="41">
      <formula>IF($E42,TRUE)</formula>
    </cfRule>
  </conditionalFormatting>
  <conditionalFormatting sqref="N45">
    <cfRule type="beginsWith" dxfId="183" priority="30" operator="beginsWith" text="Partly">
      <formula>LEFT(N45,LEN("Partly"))="Partly"</formula>
    </cfRule>
    <cfRule type="containsText" dxfId="182" priority="31" operator="containsText" text="Missing">
      <formula>NOT(ISERROR(SEARCH("Missing",N45)))</formula>
    </cfRule>
    <cfRule type="beginsWith" dxfId="181" priority="32" operator="beginsWith" text="Not">
      <formula>LEFT(N45,LEN("Not"))="Not"</formula>
    </cfRule>
    <cfRule type="beginsWith" dxfId="180" priority="33" operator="beginsWith" text="Compliant">
      <formula>LEFT(N45,LEN("Compliant"))="Compliant"</formula>
    </cfRule>
    <cfRule type="containsText" dxfId="179" priority="34" operator="containsText" text="Equivalent">
      <formula>NOT(ISERROR(SEARCH("Equivalent",N45)))</formula>
    </cfRule>
  </conditionalFormatting>
  <conditionalFormatting sqref="N42">
    <cfRule type="containsText" dxfId="178" priority="42" operator="containsText" text="Not Compliant">
      <formula>NOT(ISERROR(SEARCH("Not Compliant",N42)))</formula>
    </cfRule>
    <cfRule type="expression" dxfId="177" priority="43">
      <formula>IF(AND($E42=TRUE,$I42="",$N42="Compliant"),TRUE,FALSE)</formula>
    </cfRule>
    <cfRule type="expression" dxfId="176" priority="44">
      <formula>IF(AND($E42=TRUE,$I42&lt;&gt;"",$N42="Compliant"),TRUE,FALSE)</formula>
    </cfRule>
    <cfRule type="expression" dxfId="175" priority="45">
      <formula>IF($N42&lt;&gt;"",TRUE,FALSE)</formula>
    </cfRule>
    <cfRule type="expression" dxfId="174" priority="46">
      <formula>IF(AND($E42=FALSE,$N42&lt;&gt;""),TRUE,FALSE)</formula>
    </cfRule>
    <cfRule type="expression" dxfId="173" priority="47">
      <formula>IF(AND($I42&lt;&gt;"",$N42&lt;&gt;""),TRUE,FALSE)</formula>
    </cfRule>
  </conditionalFormatting>
  <conditionalFormatting sqref="B15">
    <cfRule type="expression" dxfId="172" priority="29">
      <formula>IF($E15=TRUE,TRUE,FALSE)</formula>
    </cfRule>
  </conditionalFormatting>
  <conditionalFormatting sqref="B13">
    <cfRule type="expression" dxfId="171" priority="28">
      <formula>IF($E13=TRUE,TRUE,FALSE)</formula>
    </cfRule>
  </conditionalFormatting>
  <conditionalFormatting sqref="B14">
    <cfRule type="expression" dxfId="170" priority="27">
      <formula>IF($E14=TRUE,TRUE,FALSE)</formula>
    </cfRule>
  </conditionalFormatting>
  <conditionalFormatting sqref="B16">
    <cfRule type="expression" dxfId="169" priority="26">
      <formula>IF($E16=TRUE,TRUE,FALSE)</formula>
    </cfRule>
  </conditionalFormatting>
  <conditionalFormatting sqref="D13:D16">
    <cfRule type="expression" dxfId="168" priority="25">
      <formula>IF($E13,TRUE)</formula>
    </cfRule>
  </conditionalFormatting>
  <conditionalFormatting sqref="V36:V38">
    <cfRule type="expression" dxfId="167" priority="24">
      <formula>IF($E36,TRUE)</formula>
    </cfRule>
  </conditionalFormatting>
  <conditionalFormatting sqref="V39">
    <cfRule type="expression" dxfId="166" priority="23">
      <formula>IF($E39,TRUE)</formula>
    </cfRule>
  </conditionalFormatting>
  <conditionalFormatting sqref="V42">
    <cfRule type="expression" dxfId="165" priority="22">
      <formula>IF($E42,TRUE)</formula>
    </cfRule>
  </conditionalFormatting>
  <conditionalFormatting sqref="O36:O38">
    <cfRule type="expression" dxfId="164" priority="21">
      <formula>IF($E36,TRUE)</formula>
    </cfRule>
  </conditionalFormatting>
  <conditionalFormatting sqref="O39">
    <cfRule type="expression" dxfId="163" priority="20">
      <formula>IF($E39,TRUE)</formula>
    </cfRule>
  </conditionalFormatting>
  <conditionalFormatting sqref="O42">
    <cfRule type="expression" dxfId="162" priority="19">
      <formula>IF($E42,TRUE)</formula>
    </cfRule>
  </conditionalFormatting>
  <conditionalFormatting sqref="P26">
    <cfRule type="expression" dxfId="161" priority="10">
      <formula>IF($Q26="Compliant",TRUE)</formula>
    </cfRule>
    <cfRule type="expression" dxfId="160" priority="11">
      <formula>IF($Q26="FE with work-a-round",TRUE)</formula>
    </cfRule>
    <cfRule type="expression" dxfId="159" priority="12">
      <formula>IF($Q26="Functionally Equivalent",TRUE)</formula>
    </cfRule>
    <cfRule type="expression" dxfId="158" priority="13">
      <formula>IF($Q26="Likely to become compliant",TRUE)</formula>
    </cfRule>
    <cfRule type="expression" dxfId="157" priority="14">
      <formula>IF($Q26="Partly Compliant",TRUE)</formula>
    </cfRule>
    <cfRule type="expression" dxfId="156" priority="15">
      <formula>IF($Q26="Unknown/Missing",TRUE)</formula>
    </cfRule>
    <cfRule type="expression" dxfId="155" priority="16">
      <formula>IF($Q26="Not Required/Applicable",TRUE)</formula>
    </cfRule>
    <cfRule type="expression" dxfId="154" priority="17">
      <formula>IF($Q26="Not Compliant",TRUE)</formula>
    </cfRule>
    <cfRule type="expression" dxfId="153" priority="18">
      <formula>IF($Q26=" ",TRUE)</formula>
    </cfRule>
  </conditionalFormatting>
  <conditionalFormatting sqref="P26">
    <cfRule type="expression" dxfId="152" priority="1">
      <formula>IF($Q26="Compliant",TRUE)</formula>
    </cfRule>
    <cfRule type="expression" dxfId="151" priority="2">
      <formula>IF($Q26="FE with work-a-round",TRUE)</formula>
    </cfRule>
    <cfRule type="expression" dxfId="150" priority="3">
      <formula>IF($Q26="Functionally Equivalent",TRUE)</formula>
    </cfRule>
    <cfRule type="expression" dxfId="149" priority="4">
      <formula>IF($Q26="Likely to become compliant",TRUE)</formula>
    </cfRule>
    <cfRule type="expression" dxfId="148" priority="5">
      <formula>IF($Q26="Partly Compliant",TRUE)</formula>
    </cfRule>
    <cfRule type="expression" dxfId="147" priority="6">
      <formula>IF($Q26="Unknown/Missing",TRUE)</formula>
    </cfRule>
    <cfRule type="expression" dxfId="146" priority="7">
      <formula>IF($Q26="Not Required/Applicable",TRUE)</formula>
    </cfRule>
    <cfRule type="expression" dxfId="145" priority="8">
      <formula>IF($Q26="Not Compliant",TRUE)</formula>
    </cfRule>
    <cfRule type="expression" dxfId="144" priority="9">
      <formula>IF($Q26=" ",TRUE)</formula>
    </cfRule>
  </conditionalFormatting>
  <dataValidations count="1">
    <dataValidation type="list" allowBlank="1" showInputMessage="1" showErrorMessage="1" sqref="N25 N36 N45">
      <formula1>Initial_Compliance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Dropdowns!$C$16:$C$19</xm:f>
          </x14:formula1>
          <xm:sqref>U20 U24</xm:sqref>
        </x14:dataValidation>
        <x14:dataValidation type="list" allowBlank="1" showInputMessage="1" showErrorMessage="1">
          <x14:formula1>
            <xm:f>Dropdowns!$F$9:$F$12</xm:f>
          </x14:formula1>
          <xm:sqref>N20 N33 N38:N39 N44 N42</xm:sqref>
        </x14:dataValidation>
        <x14:dataValidation type="list" allowBlank="1" showInputMessage="1" showErrorMessage="1">
          <x14:formula1>
            <xm:f>Dropdowns!$C$11:$C$13</xm:f>
          </x14:formula1>
          <xm:sqref>N9 U15:U16 U9 N15:N16</xm:sqref>
        </x14:dataValidation>
        <x14:dataValidation type="list" allowBlank="1" showInputMessage="1" showErrorMessage="1">
          <x14:formula1>
            <xm:f>Dropdowns!$G$11:$G$16</xm:f>
          </x14:formula1>
          <xm:sqref>U13:U14 U17 U25 U33:U34 U36 U38:U39 U42 U44</xm:sqref>
        </x14:dataValidation>
        <x14:dataValidation type="list" allowBlank="1" showInputMessage="1" showErrorMessage="1">
          <x14:formula1>
            <xm:f>Dropdowns!$D$16:$D$23</xm:f>
          </x14:formula1>
          <xm:sqref>D26:D29</xm:sqref>
        </x14:dataValidation>
        <x14:dataValidation type="list" allowBlank="1" showInputMessage="1" showErrorMessage="1">
          <x14:formula1>
            <xm:f>Dropdowns!$F$9:$F$13</xm:f>
          </x14:formula1>
          <xm:sqref>N34</xm:sqref>
        </x14:dataValidation>
        <x14:dataValidation type="list" allowBlank="1" showInputMessage="1" showErrorMessage="1">
          <x14:formula1>
            <xm:f>Dropdowns!$E$11:$E$15</xm:f>
          </x14:formula1>
          <xm:sqref>P26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92"/>
  <sheetViews>
    <sheetView topLeftCell="B1" workbookViewId="0">
      <selection activeCell="A4" sqref="A4:D4"/>
    </sheetView>
  </sheetViews>
  <sheetFormatPr defaultColWidth="8.796875" defaultRowHeight="13" x14ac:dyDescent="0.3"/>
  <cols>
    <col min="1" max="1" width="0" style="3484" hidden="1" customWidth="1"/>
    <col min="2" max="3" width="43.796875" style="3484" customWidth="1"/>
    <col min="4" max="4" width="29" style="3484" customWidth="1"/>
    <col min="5" max="6" width="9.69921875" style="3484" hidden="1" customWidth="1"/>
    <col min="7" max="8" width="8.796875" style="3484" hidden="1" customWidth="1"/>
    <col min="9" max="9" width="59.796875" style="3484" customWidth="1"/>
    <col min="10" max="10" width="8.3984375" style="3484" hidden="1" customWidth="1"/>
    <col min="11" max="11" width="9.19921875" style="3484" hidden="1" customWidth="1"/>
    <col min="12" max="12" width="26.19921875" style="3484" customWidth="1"/>
    <col min="13" max="14" width="26.296875" style="3484" customWidth="1"/>
    <col min="15" max="15" width="0" style="3484" hidden="1" customWidth="1"/>
    <col min="16" max="16" width="37" style="3484" customWidth="1"/>
    <col min="17" max="17" width="12" style="3484" hidden="1" customWidth="1"/>
    <col min="18" max="18" width="55.19921875" style="3484" customWidth="1"/>
    <col min="19" max="19" width="36.69921875" style="3484" customWidth="1"/>
    <col min="20" max="20" width="40.3984375" style="3484" customWidth="1"/>
    <col min="21" max="21" width="27.296875" style="3484" customWidth="1"/>
    <col min="22" max="22" width="0" style="3484" hidden="1" customWidth="1"/>
    <col min="23" max="23" width="51.69921875" style="14" customWidth="1"/>
    <col min="24" max="24" width="32.296875" style="3484" customWidth="1"/>
    <col min="25" max="25" width="26.296875" style="3484" customWidth="1"/>
    <col min="26" max="16384" width="8.796875" style="3484"/>
  </cols>
  <sheetData>
    <row r="1" spans="1:25" ht="69" customHeight="1" x14ac:dyDescent="0.3">
      <c r="B1" s="4521"/>
      <c r="C1" s="4521"/>
      <c r="D1" s="4521"/>
    </row>
    <row r="2" spans="1:25" ht="99.75" customHeight="1" x14ac:dyDescent="0.3">
      <c r="B2" s="4398" t="s">
        <v>2280</v>
      </c>
      <c r="C2" s="4494"/>
      <c r="D2" s="4494"/>
    </row>
    <row r="3" spans="1:25" x14ac:dyDescent="0.3">
      <c r="B3" s="4643"/>
      <c r="C3" s="4643"/>
      <c r="D3" s="4643"/>
    </row>
    <row r="4" spans="1:25" s="1085" customFormat="1" ht="54" customHeight="1" thickBot="1" x14ac:dyDescent="0.35">
      <c r="A4" s="4917" t="s">
        <v>2286</v>
      </c>
      <c r="B4" s="4917"/>
      <c r="C4" s="4917"/>
      <c r="D4" s="4917"/>
      <c r="E4" s="1106"/>
      <c r="F4" s="1107"/>
      <c r="G4" s="1107"/>
      <c r="H4" s="1107"/>
      <c r="I4" s="1107"/>
      <c r="J4" s="1107"/>
      <c r="K4" s="1107"/>
      <c r="W4" s="560"/>
    </row>
    <row r="5" spans="1:25" s="225" customFormat="1" ht="40.5" customHeight="1" thickTop="1" thickBot="1" x14ac:dyDescent="0.35">
      <c r="A5" s="1103"/>
      <c r="B5" s="1103" t="s">
        <v>1872</v>
      </c>
      <c r="C5" s="1103" t="s">
        <v>1873</v>
      </c>
      <c r="D5" s="1103" t="s">
        <v>1236</v>
      </c>
      <c r="E5" s="1103"/>
      <c r="F5" s="1103"/>
      <c r="G5" s="1104"/>
      <c r="H5" s="1103"/>
      <c r="I5" s="1103" t="s">
        <v>458</v>
      </c>
      <c r="J5" s="1104"/>
      <c r="K5" s="1104"/>
      <c r="L5" s="1103" t="s">
        <v>408</v>
      </c>
      <c r="M5" s="1103" t="s">
        <v>466</v>
      </c>
      <c r="N5" s="1104" t="s">
        <v>465</v>
      </c>
      <c r="O5" s="1103"/>
      <c r="P5" s="1103" t="s">
        <v>1212</v>
      </c>
      <c r="Q5" s="1103"/>
      <c r="R5" s="1103" t="s">
        <v>396</v>
      </c>
      <c r="S5" s="1103" t="s">
        <v>409</v>
      </c>
      <c r="T5" s="1103" t="s">
        <v>1211</v>
      </c>
      <c r="U5" s="1103" t="s">
        <v>1801</v>
      </c>
      <c r="V5" s="1103"/>
      <c r="W5" s="1103" t="s">
        <v>10</v>
      </c>
      <c r="X5" s="1103" t="s">
        <v>11</v>
      </c>
      <c r="Y5" s="1103" t="s">
        <v>12</v>
      </c>
    </row>
    <row r="6" spans="1:25" ht="19" thickTop="1" x14ac:dyDescent="0.3">
      <c r="A6" s="250"/>
      <c r="B6" s="4918" t="s">
        <v>900</v>
      </c>
      <c r="C6" s="4918"/>
      <c r="D6" s="4919"/>
    </row>
    <row r="7" spans="1:25" ht="45.65" customHeight="1" thickBot="1" x14ac:dyDescent="0.35">
      <c r="A7" s="251"/>
      <c r="B7" s="4920" t="s">
        <v>2283</v>
      </c>
      <c r="C7" s="4920"/>
      <c r="D7" s="4921"/>
    </row>
    <row r="8" spans="1:25" ht="15.5" thickTop="1" thickBot="1" x14ac:dyDescent="0.35">
      <c r="A8" s="14"/>
      <c r="B8" s="103"/>
    </row>
    <row r="9" spans="1:25" s="2" customFormat="1" ht="39" customHeight="1" thickTop="1" thickBot="1" x14ac:dyDescent="0.35">
      <c r="A9" s="3489"/>
      <c r="B9" s="3488" t="s">
        <v>901</v>
      </c>
      <c r="C9" s="400"/>
      <c r="D9" s="400"/>
      <c r="E9" s="400" t="b">
        <v>0</v>
      </c>
      <c r="F9" s="400"/>
      <c r="G9" s="400"/>
      <c r="H9" s="400"/>
      <c r="I9" s="400"/>
      <c r="J9" s="400"/>
      <c r="K9" s="400"/>
      <c r="L9" s="400"/>
      <c r="M9" s="400"/>
      <c r="N9" s="538"/>
      <c r="O9" s="3495"/>
      <c r="P9" s="3495"/>
      <c r="Q9" s="3495"/>
      <c r="R9" s="3495"/>
      <c r="S9" s="3495"/>
      <c r="T9" s="3495"/>
      <c r="U9" s="3495"/>
      <c r="V9" s="3495"/>
      <c r="W9" s="3495"/>
      <c r="X9" s="3495"/>
      <c r="Y9" s="3495"/>
    </row>
    <row r="10" spans="1:25" ht="18" customHeight="1" thickTop="1" thickBot="1" x14ac:dyDescent="0.35">
      <c r="A10" s="14"/>
      <c r="B10" s="535"/>
      <c r="C10" s="535"/>
      <c r="D10" s="535"/>
    </row>
    <row r="11" spans="1:25" s="2" customFormat="1" ht="19" thickTop="1" x14ac:dyDescent="0.3">
      <c r="A11" s="4911" t="s">
        <v>1254</v>
      </c>
      <c r="B11" s="4912"/>
      <c r="C11" s="4912"/>
      <c r="D11" s="4912"/>
      <c r="E11" s="4912"/>
      <c r="F11" s="4912"/>
      <c r="G11" s="4912"/>
      <c r="H11" s="4912"/>
      <c r="I11" s="4912"/>
      <c r="J11" s="4912"/>
      <c r="K11" s="4912"/>
      <c r="L11" s="4912"/>
      <c r="M11" s="4912"/>
      <c r="N11" s="4912"/>
      <c r="O11" s="4912"/>
      <c r="P11" s="4912"/>
      <c r="Q11" s="4912"/>
      <c r="R11" s="4912"/>
      <c r="S11" s="4912"/>
      <c r="T11" s="4912"/>
      <c r="U11" s="3497"/>
      <c r="V11" s="3497"/>
      <c r="W11" s="3497"/>
      <c r="X11" s="3497"/>
      <c r="Y11" s="536"/>
    </row>
    <row r="12" spans="1:25" ht="15" thickBot="1" x14ac:dyDescent="0.35">
      <c r="A12" s="252"/>
      <c r="B12" s="253"/>
      <c r="C12" s="50"/>
      <c r="D12" s="50"/>
      <c r="E12" s="50"/>
      <c r="F12" s="50"/>
      <c r="G12" s="50"/>
      <c r="H12" s="50"/>
      <c r="I12" s="50"/>
      <c r="J12" s="50"/>
      <c r="K12" s="50"/>
      <c r="L12" s="50"/>
      <c r="M12" s="50"/>
      <c r="N12" s="50"/>
      <c r="O12" s="50"/>
      <c r="P12" s="50"/>
      <c r="Q12" s="50"/>
      <c r="R12" s="50"/>
      <c r="S12" s="50"/>
      <c r="T12" s="50"/>
      <c r="U12" s="50"/>
      <c r="V12" s="50"/>
      <c r="W12" s="50"/>
      <c r="X12" s="50"/>
      <c r="Y12" s="154"/>
    </row>
    <row r="13" spans="1:25" s="2" customFormat="1" ht="44" thickTop="1" x14ac:dyDescent="0.3">
      <c r="A13" s="3486"/>
      <c r="B13" s="344" t="s">
        <v>824</v>
      </c>
      <c r="C13" s="2030" t="s">
        <v>475</v>
      </c>
      <c r="D13" s="2078" t="s">
        <v>1233</v>
      </c>
      <c r="E13" s="44" t="b">
        <f>E20</f>
        <v>0</v>
      </c>
      <c r="F13" s="44"/>
      <c r="G13" s="47"/>
      <c r="H13" s="47"/>
      <c r="I13" s="47"/>
      <c r="J13" s="47"/>
      <c r="K13" s="47"/>
      <c r="L13" s="47"/>
      <c r="M13" s="47"/>
      <c r="N13" s="50"/>
      <c r="O13" s="44" t="b">
        <v>0</v>
      </c>
      <c r="P13" s="44"/>
      <c r="Q13" s="44" t="b">
        <v>0</v>
      </c>
      <c r="R13" s="3498"/>
      <c r="S13" s="3498"/>
      <c r="T13" s="3498"/>
      <c r="U13" s="3498"/>
      <c r="V13" s="44" t="b">
        <v>0</v>
      </c>
      <c r="W13" s="113"/>
      <c r="X13" s="113"/>
      <c r="Y13" s="114"/>
    </row>
    <row r="14" spans="1:25" s="2" customFormat="1" ht="29" x14ac:dyDescent="0.3">
      <c r="A14" s="254"/>
      <c r="B14" s="346" t="s">
        <v>825</v>
      </c>
      <c r="C14" s="2079" t="s">
        <v>474</v>
      </c>
      <c r="D14" s="2079" t="s">
        <v>1233</v>
      </c>
      <c r="E14" s="44" t="b">
        <f>E25</f>
        <v>0</v>
      </c>
      <c r="F14" s="44"/>
      <c r="G14" s="47"/>
      <c r="H14" s="47"/>
      <c r="I14" s="47"/>
      <c r="J14" s="47"/>
      <c r="K14" s="47"/>
      <c r="L14" s="47"/>
      <c r="M14" s="47"/>
      <c r="N14" s="50"/>
      <c r="O14" s="44" t="b">
        <v>0</v>
      </c>
      <c r="P14" s="44"/>
      <c r="Q14" s="44" t="b">
        <v>0</v>
      </c>
      <c r="R14" s="3498"/>
      <c r="S14" s="3498"/>
      <c r="T14" s="3498"/>
      <c r="U14" s="3498"/>
      <c r="V14" s="44" t="b">
        <v>0</v>
      </c>
      <c r="W14" s="113"/>
      <c r="X14" s="113"/>
      <c r="Y14" s="114"/>
    </row>
    <row r="15" spans="1:25" s="2" customFormat="1" ht="43.5" x14ac:dyDescent="0.3">
      <c r="A15" s="3486"/>
      <c r="B15" s="348" t="s">
        <v>826</v>
      </c>
      <c r="C15" s="2079" t="s">
        <v>822</v>
      </c>
      <c r="D15" s="2079" t="s">
        <v>1233</v>
      </c>
      <c r="E15" s="361" t="b">
        <f>E33</f>
        <v>0</v>
      </c>
      <c r="F15" s="361"/>
      <c r="G15" s="361"/>
      <c r="H15" s="361"/>
      <c r="I15" s="361"/>
      <c r="J15" s="361"/>
      <c r="K15" s="361"/>
      <c r="L15" s="361"/>
      <c r="M15" s="361"/>
      <c r="N15" s="157"/>
      <c r="O15" s="3498"/>
      <c r="P15" s="3498"/>
      <c r="Q15" s="3498"/>
      <c r="R15" s="3498"/>
      <c r="S15" s="3498"/>
      <c r="T15" s="3498"/>
      <c r="U15" s="3498"/>
      <c r="V15" s="3498"/>
      <c r="W15" s="3498"/>
      <c r="X15" s="3498"/>
      <c r="Y15" s="116"/>
    </row>
    <row r="16" spans="1:25" s="2" customFormat="1" ht="29.5" thickBot="1" x14ac:dyDescent="0.35">
      <c r="A16" s="3487"/>
      <c r="B16" s="350" t="s">
        <v>827</v>
      </c>
      <c r="C16" s="2080" t="s">
        <v>823</v>
      </c>
      <c r="D16" s="2081" t="s">
        <v>1233</v>
      </c>
      <c r="E16" s="258" t="b">
        <f>E39</f>
        <v>0</v>
      </c>
      <c r="F16" s="258"/>
      <c r="G16" s="258"/>
      <c r="H16" s="258"/>
      <c r="I16" s="258"/>
      <c r="J16" s="258"/>
      <c r="K16" s="258"/>
      <c r="L16" s="258"/>
      <c r="M16" s="258"/>
      <c r="N16" s="159"/>
      <c r="O16" s="3499"/>
      <c r="P16" s="3499"/>
      <c r="Q16" s="3499"/>
      <c r="R16" s="3499"/>
      <c r="S16" s="3499"/>
      <c r="T16" s="3499"/>
      <c r="U16" s="3499"/>
      <c r="V16" s="3499"/>
      <c r="W16" s="3499"/>
      <c r="X16" s="3499"/>
      <c r="Y16" s="118"/>
    </row>
    <row r="17" spans="1:25" s="70" customFormat="1" ht="15.5" thickTop="1" thickBot="1" x14ac:dyDescent="0.35">
      <c r="A17" s="214"/>
      <c r="C17" s="214"/>
      <c r="E17" s="3490"/>
      <c r="F17" s="3490"/>
      <c r="G17" s="214"/>
      <c r="H17" s="214"/>
      <c r="I17" s="222"/>
      <c r="J17" s="222"/>
      <c r="K17" s="222"/>
      <c r="L17" s="222"/>
      <c r="M17" s="222"/>
      <c r="N17" s="214"/>
      <c r="O17" s="222"/>
      <c r="Q17" s="222"/>
      <c r="R17" s="222"/>
      <c r="S17" s="222"/>
      <c r="T17" s="222"/>
      <c r="U17" s="222"/>
      <c r="V17" s="222"/>
      <c r="W17" s="222"/>
      <c r="X17" s="222"/>
      <c r="Y17" s="222"/>
    </row>
    <row r="18" spans="1:25" s="225" customFormat="1" ht="19" thickTop="1" x14ac:dyDescent="0.3">
      <c r="A18" s="4911" t="s">
        <v>1135</v>
      </c>
      <c r="B18" s="4912"/>
      <c r="C18" s="4912"/>
      <c r="D18" s="4912"/>
      <c r="E18" s="4912"/>
      <c r="F18" s="4912"/>
      <c r="G18" s="4912"/>
      <c r="H18" s="4912"/>
      <c r="I18" s="4912"/>
      <c r="J18" s="4912"/>
      <c r="K18" s="4912"/>
      <c r="L18" s="4912"/>
      <c r="M18" s="4912"/>
      <c r="N18" s="4912"/>
      <c r="O18" s="3497"/>
      <c r="P18" s="3497"/>
      <c r="Q18" s="3497"/>
      <c r="R18" s="3497"/>
      <c r="S18" s="3497"/>
      <c r="T18" s="3497"/>
      <c r="U18" s="3497"/>
      <c r="V18" s="3497"/>
      <c r="W18" s="3497"/>
      <c r="X18" s="3497"/>
      <c r="Y18" s="256"/>
    </row>
    <row r="19" spans="1:25" s="70" customFormat="1" ht="15" thickBot="1" x14ac:dyDescent="0.35">
      <c r="A19" s="257"/>
      <c r="B19" s="2083"/>
      <c r="C19" s="2083"/>
      <c r="D19" s="2083"/>
      <c r="E19" s="2083"/>
      <c r="F19" s="2083"/>
      <c r="G19" s="2083"/>
      <c r="H19" s="2083"/>
      <c r="I19" s="2083"/>
      <c r="J19" s="2083"/>
      <c r="K19" s="2083"/>
      <c r="L19" s="2083"/>
      <c r="M19" s="2083"/>
      <c r="N19" s="2083"/>
      <c r="O19" s="2083"/>
      <c r="P19" s="2083"/>
      <c r="Q19" s="2083"/>
      <c r="R19" s="2083"/>
      <c r="S19" s="2083"/>
      <c r="T19" s="2083"/>
      <c r="U19" s="2083"/>
      <c r="V19" s="2083"/>
      <c r="W19" s="2083"/>
      <c r="X19" s="2083"/>
      <c r="Y19" s="2084"/>
    </row>
    <row r="20" spans="1:25" s="2" customFormat="1" ht="44.5" thickTop="1" thickBot="1" x14ac:dyDescent="0.35">
      <c r="A20" s="3487"/>
      <c r="B20" s="1051" t="s">
        <v>415</v>
      </c>
      <c r="C20" s="2085" t="s">
        <v>940</v>
      </c>
      <c r="D20" s="2086"/>
      <c r="E20" s="2085" t="b">
        <f>IF(AND(E21=TRUE,E29=TRUE,E27=TRUE),TRUE,FALSE)</f>
        <v>0</v>
      </c>
      <c r="F20" s="2085"/>
      <c r="G20" s="2085">
        <f>COUNTIFS(E21:E32,TRUE,G21:G32,"Not Blank")</f>
        <v>0</v>
      </c>
      <c r="H20" s="2085">
        <f>COUNTIFS(E21:E32,FALSE,G21:G32,"Not Blank")</f>
        <v>0</v>
      </c>
      <c r="I20" s="2087" t="str">
        <f>IF(AND(E20=FALSE,G20=0,H20=0),"Nothing Enterred below Yet",IF(AND(E20=FALSE,G20&gt;0,H20=0),"Entry below has not been summarised",IF(AND(G20=0,H20&gt;0),"**Non-Valid Entry/ies below - Check Yellow Box/es",IF(AND(E20,TRUE,G20=1,H20=0),"Valid Entry made below",IF(AND(E20=TRUE,G20=0,H20=0),"Valid Entry required below - Check amber box",IF(AND(E20=TRUE,G20&gt;1,H20=0),"**Too many Options used - check Red Boxes",IF(AND(G20&gt;0,H20&gt;0),"**Valid and Non-Valid Entries made below - Check Yellow Box/es")))))))</f>
        <v>Nothing Enterred below Yet</v>
      </c>
      <c r="J20" s="240"/>
      <c r="K20" s="240"/>
      <c r="L20" s="2087" t="str">
        <f>IF(AND(E20=FALSE,J20=0,K20=0),"Nothing Enterred below Yet",IF(AND(J20=0,K20&gt;0),"**Non-Valid Entry/ies below - Check Yellow Box/es",IF(J20&lt;F20,"Valid Entry required below - Check amber box",IF(AND(J20&gt;0,K20&gt;0),"**Valid and Non-Valid Entries made below - Check Yellow Box/es",IF(AND(E20=FALSE,J20&lt;4),"Not all requirements addressed below - Check Pink Box/es",IF(AND(E20,TRUE,J20=4,K20=0),"Valid Entries made below"))))))</f>
        <v>Nothing Enterred below Yet</v>
      </c>
      <c r="M20" s="240"/>
      <c r="N20" s="400"/>
      <c r="O20" s="91"/>
      <c r="P20" s="91"/>
      <c r="Q20" s="91"/>
      <c r="R20" s="91"/>
      <c r="S20" s="91"/>
      <c r="T20" s="91"/>
      <c r="U20" s="2088"/>
      <c r="V20" s="91"/>
      <c r="W20" s="2088"/>
      <c r="X20" s="2088"/>
      <c r="Y20" s="2089"/>
    </row>
    <row r="21" spans="1:25" ht="13.5" thickTop="1" x14ac:dyDescent="0.3">
      <c r="A21" s="16"/>
      <c r="B21" s="16"/>
      <c r="W21" s="3484"/>
    </row>
    <row r="22" spans="1:25" s="3493" customFormat="1" ht="18" customHeight="1" thickBot="1" x14ac:dyDescent="0.35">
      <c r="A22" s="18"/>
      <c r="B22" s="19"/>
      <c r="C22" s="3489"/>
      <c r="D22" s="3489"/>
      <c r="E22" s="3489"/>
      <c r="F22" s="3489"/>
      <c r="G22" s="70"/>
      <c r="H22" s="233"/>
      <c r="I22" s="150"/>
      <c r="N22" s="214"/>
      <c r="U22" s="3496"/>
    </row>
    <row r="23" spans="1:25" s="2" customFormat="1" ht="18.649999999999999" customHeight="1" thickTop="1" x14ac:dyDescent="0.3">
      <c r="A23" s="4911" t="s">
        <v>1137</v>
      </c>
      <c r="B23" s="4912"/>
      <c r="C23" s="4912"/>
      <c r="D23" s="4912"/>
      <c r="E23" s="4912"/>
      <c r="F23" s="4912"/>
      <c r="G23" s="4912"/>
      <c r="H23" s="4912"/>
      <c r="I23" s="4912"/>
      <c r="J23" s="4912"/>
      <c r="K23" s="4912"/>
      <c r="L23" s="4912"/>
      <c r="M23" s="4912"/>
      <c r="N23" s="4912"/>
      <c r="O23" s="537"/>
      <c r="P23" s="537"/>
      <c r="Q23" s="537"/>
      <c r="R23" s="537"/>
      <c r="S23" s="537"/>
      <c r="T23" s="537"/>
      <c r="U23" s="259"/>
      <c r="V23" s="537"/>
      <c r="W23" s="259"/>
      <c r="X23" s="259"/>
      <c r="Y23" s="260"/>
    </row>
    <row r="24" spans="1:25" s="2" customFormat="1" ht="18" customHeight="1" x14ac:dyDescent="0.3">
      <c r="A24" s="254"/>
      <c r="B24" s="157"/>
      <c r="C24" s="44"/>
      <c r="D24" s="44"/>
      <c r="E24" s="361"/>
      <c r="F24" s="361"/>
      <c r="G24" s="382"/>
      <c r="H24" s="361"/>
      <c r="I24" s="44"/>
      <c r="J24" s="216"/>
      <c r="K24" s="216"/>
      <c r="L24" s="44"/>
      <c r="M24" s="44"/>
      <c r="N24" s="382"/>
      <c r="O24" s="3498"/>
      <c r="P24" s="3498"/>
      <c r="Q24" s="3498"/>
      <c r="R24" s="3498"/>
      <c r="S24" s="3498"/>
      <c r="T24" s="3498"/>
      <c r="U24" s="113"/>
      <c r="V24" s="3498"/>
      <c r="W24" s="113"/>
      <c r="X24" s="113"/>
      <c r="Y24" s="114"/>
    </row>
    <row r="25" spans="1:25" s="3493" customFormat="1" ht="29.5" thickBot="1" x14ac:dyDescent="0.35">
      <c r="A25" s="121">
        <v>11</v>
      </c>
      <c r="B25" s="44" t="s">
        <v>474</v>
      </c>
      <c r="C25" s="2061" t="s">
        <v>670</v>
      </c>
      <c r="D25" s="1903" t="s">
        <v>1195</v>
      </c>
      <c r="E25" s="1976" t="b">
        <f>IF(AND(E26=TRUE,E27=TRUE,E29=TRUE),TRUE,FALSE)</f>
        <v>0</v>
      </c>
      <c r="F25" s="1976">
        <f>COUNTIF(E26:E29,TRUE)</f>
        <v>1</v>
      </c>
      <c r="G25" s="2082">
        <f>COUNTIFS(E26:E29,TRUE,G26:G29,"Not Blank")</f>
        <v>0</v>
      </c>
      <c r="H25" s="1920">
        <f>COUNTIFS(E26:E29,FALSE,G26:G29,"Not Blank")</f>
        <v>0</v>
      </c>
      <c r="I25" s="151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Valid Entry required below - Check Amber Line/s</v>
      </c>
      <c r="J25" s="1518">
        <f>COUNTIFS(E26:E29,TRUE,J26:J29,"Not Blank")</f>
        <v>0</v>
      </c>
      <c r="K25" s="1518">
        <f>COUNTIFS(E26:E29,FALSE,J26:J29,"Not Blank")</f>
        <v>0</v>
      </c>
      <c r="L25" s="1517" t="str">
        <f>IF(AND(E25=FALSE,J25=0,K25=0),"Nothing Enterred below Yet",IF(AND(J25=0,K25&gt;0),"**Non-Valid Entry/ies below - Check Yellow Box/es",IF(J25&lt;F25,"Valid Entry required below - Check amber box",IF(AND(J25&gt;0,K25&gt;0),"**Valid and Non-Valid Entries made below - Check Yellow Box/es",IF(AND(E25=FALSE,J25&lt;4),"Not all requirements addressed below - Check Pink Box/es",IF(AND(E25,TRUE,J25=4,K25=0),"Valid Entries made below"))))))</f>
        <v>Nothing Enterred below Yet</v>
      </c>
      <c r="M25" s="197"/>
      <c r="N25" s="4913"/>
      <c r="O25" s="44"/>
      <c r="P25" s="44"/>
      <c r="Q25" s="44"/>
      <c r="R25" s="44"/>
      <c r="S25" s="44"/>
      <c r="T25" s="44"/>
      <c r="U25" s="4915"/>
      <c r="V25" s="44"/>
      <c r="W25" s="44"/>
      <c r="X25" s="44"/>
      <c r="Y25" s="122"/>
    </row>
    <row r="26" spans="1:25" s="3493" customFormat="1" ht="73" thickTop="1" x14ac:dyDescent="0.3">
      <c r="A26" s="121" t="s">
        <v>1106</v>
      </c>
      <c r="B26" s="44"/>
      <c r="C26" s="2061" t="s">
        <v>1250</v>
      </c>
      <c r="D26" s="392" t="s">
        <v>13</v>
      </c>
      <c r="E26" s="361" t="b">
        <f>IF(D26="Compliant",TRUE,FALSE)</f>
        <v>1</v>
      </c>
      <c r="F26" s="361"/>
      <c r="G26" s="381" t="str">
        <f>IF(I26&lt;&gt;"", "Not Blank", "")</f>
        <v/>
      </c>
      <c r="H26" s="380"/>
      <c r="I26" s="189"/>
      <c r="J26" s="216" t="str">
        <f>IF(L26&lt;&gt;"", "Not Blank", "")</f>
        <v/>
      </c>
      <c r="K26" s="216"/>
      <c r="L26" s="44"/>
      <c r="M26" s="44"/>
      <c r="N26" s="4913"/>
      <c r="O26" s="44"/>
      <c r="P26" s="701" t="s">
        <v>3</v>
      </c>
      <c r="Q26" s="44"/>
      <c r="R26" s="44"/>
      <c r="S26" s="44"/>
      <c r="T26" s="44"/>
      <c r="U26" s="4915"/>
      <c r="V26" s="44"/>
      <c r="W26" s="44"/>
      <c r="X26" s="44"/>
      <c r="Y26" s="122"/>
    </row>
    <row r="27" spans="1:25" s="3493" customFormat="1" ht="72.5" x14ac:dyDescent="0.3">
      <c r="A27" s="121" t="s">
        <v>1106</v>
      </c>
      <c r="B27" s="44"/>
      <c r="C27" s="1903" t="s">
        <v>1950</v>
      </c>
      <c r="D27" s="392"/>
      <c r="E27" s="361" t="b">
        <f>IF(D27="Compliant",TRUE,FALSE)</f>
        <v>0</v>
      </c>
      <c r="F27" s="361"/>
      <c r="G27" s="381" t="str">
        <f>IF(I27&lt;&gt;"", "Not Blank", "")</f>
        <v/>
      </c>
      <c r="H27" s="380"/>
      <c r="I27" s="189"/>
      <c r="J27" s="216" t="str">
        <f>IF(L27&lt;&gt;"", "Not Blank", "")</f>
        <v/>
      </c>
      <c r="K27" s="216"/>
      <c r="L27" s="44"/>
      <c r="M27" s="44"/>
      <c r="N27" s="4913"/>
      <c r="O27" s="44"/>
      <c r="P27" s="44"/>
      <c r="Q27" s="44"/>
      <c r="R27" s="44"/>
      <c r="S27" s="44"/>
      <c r="T27" s="44"/>
      <c r="U27" s="4915"/>
      <c r="V27" s="44"/>
      <c r="W27" s="44"/>
      <c r="X27" s="44"/>
      <c r="Y27" s="122"/>
    </row>
    <row r="28" spans="1:25" s="3493" customFormat="1" ht="409.5" x14ac:dyDescent="0.3">
      <c r="A28" s="121">
        <v>7.5</v>
      </c>
      <c r="B28" s="44"/>
      <c r="C28" s="1903" t="s">
        <v>1114</v>
      </c>
      <c r="D28" s="392"/>
      <c r="E28" s="361" t="b">
        <f>IF(D28="Compliant",TRUE,FALSE)</f>
        <v>0</v>
      </c>
      <c r="F28" s="361"/>
      <c r="G28" s="381" t="str">
        <f>IF(I28&lt;&gt;"", "Not Blank", "")</f>
        <v/>
      </c>
      <c r="H28" s="380"/>
      <c r="I28" s="189"/>
      <c r="J28" s="216" t="str">
        <f>IF(L28&lt;&gt;"", "Not Blank", "")</f>
        <v/>
      </c>
      <c r="K28" s="216"/>
      <c r="L28" s="44"/>
      <c r="M28" s="44"/>
      <c r="N28" s="4913"/>
      <c r="O28" s="44"/>
      <c r="P28" s="44"/>
      <c r="Q28" s="44"/>
      <c r="R28" s="44"/>
      <c r="S28" s="44"/>
      <c r="T28" s="44"/>
      <c r="U28" s="4915"/>
      <c r="V28" s="44"/>
      <c r="W28" s="44"/>
      <c r="X28" s="44"/>
      <c r="Y28" s="122"/>
    </row>
    <row r="29" spans="1:25" s="3493" customFormat="1" ht="55" customHeight="1" thickBot="1" x14ac:dyDescent="0.35">
      <c r="A29" s="262" t="s">
        <v>1103</v>
      </c>
      <c r="B29" s="124"/>
      <c r="C29" s="1975" t="s">
        <v>1251</v>
      </c>
      <c r="D29" s="394"/>
      <c r="E29" s="258" t="b">
        <f>IF(D29="Compliant",TRUE,FALSE)</f>
        <v>0</v>
      </c>
      <c r="F29" s="258"/>
      <c r="G29" s="451" t="str">
        <f>IF(I29&lt;&gt;"", "Not Blank", "")</f>
        <v/>
      </c>
      <c r="H29" s="404"/>
      <c r="I29" s="190"/>
      <c r="J29" s="218" t="str">
        <f>IF(L29&lt;&gt;"", "Not Blank", "")</f>
        <v/>
      </c>
      <c r="K29" s="218"/>
      <c r="L29" s="124"/>
      <c r="M29" s="124"/>
      <c r="N29" s="4914"/>
      <c r="O29" s="124"/>
      <c r="P29" s="124"/>
      <c r="Q29" s="124"/>
      <c r="R29" s="124"/>
      <c r="S29" s="124"/>
      <c r="T29" s="124"/>
      <c r="U29" s="4916"/>
      <c r="V29" s="124"/>
      <c r="W29" s="124"/>
      <c r="X29" s="124"/>
      <c r="Y29" s="125"/>
    </row>
    <row r="30" spans="1:25" s="3493" customFormat="1" ht="19" customHeight="1" thickTop="1" thickBot="1" x14ac:dyDescent="0.35">
      <c r="A30" s="19"/>
      <c r="C30" s="149"/>
      <c r="E30" s="3489"/>
      <c r="F30" s="3489"/>
      <c r="G30" s="417"/>
      <c r="H30" s="17"/>
      <c r="I30" s="3494"/>
      <c r="J30" s="3490"/>
      <c r="K30" s="3490"/>
      <c r="N30" s="214"/>
      <c r="U30" s="3495"/>
    </row>
    <row r="31" spans="1:25" s="2" customFormat="1" ht="18.649999999999999" customHeight="1" thickTop="1" x14ac:dyDescent="0.3">
      <c r="A31" s="4911" t="s">
        <v>1138</v>
      </c>
      <c r="B31" s="4912"/>
      <c r="C31" s="4912"/>
      <c r="D31" s="4912"/>
      <c r="E31" s="4912"/>
      <c r="F31" s="4912"/>
      <c r="G31" s="4912"/>
      <c r="H31" s="4912"/>
      <c r="I31" s="4912"/>
      <c r="J31" s="4912"/>
      <c r="K31" s="4912"/>
      <c r="L31" s="4912"/>
      <c r="M31" s="4912"/>
      <c r="N31" s="4912"/>
      <c r="O31" s="537"/>
      <c r="P31" s="537"/>
      <c r="Q31" s="537"/>
      <c r="R31" s="537"/>
      <c r="S31" s="537"/>
      <c r="T31" s="537"/>
      <c r="U31" s="259"/>
      <c r="V31" s="537"/>
      <c r="W31" s="259"/>
      <c r="X31" s="259"/>
      <c r="Y31" s="260"/>
    </row>
    <row r="32" spans="1:25" x14ac:dyDescent="0.3">
      <c r="A32" s="153"/>
      <c r="B32" s="50"/>
      <c r="C32" s="50"/>
      <c r="D32" s="50"/>
      <c r="E32" s="50"/>
      <c r="F32" s="50"/>
      <c r="G32" s="50"/>
      <c r="H32" s="50"/>
      <c r="I32" s="50"/>
      <c r="J32" s="50"/>
      <c r="K32" s="50"/>
      <c r="L32" s="50"/>
      <c r="M32" s="50"/>
      <c r="N32" s="50"/>
      <c r="O32" s="50"/>
      <c r="P32" s="50"/>
      <c r="Q32" s="50"/>
      <c r="R32" s="50"/>
      <c r="S32" s="50"/>
      <c r="T32" s="50"/>
      <c r="U32" s="50"/>
      <c r="V32" s="50"/>
      <c r="W32" s="50"/>
      <c r="X32" s="50"/>
      <c r="Y32" s="154"/>
    </row>
    <row r="33" spans="1:27" s="3493" customFormat="1" ht="43.5" x14ac:dyDescent="0.3">
      <c r="A33" s="121">
        <v>7</v>
      </c>
      <c r="B33" s="44" t="s">
        <v>432</v>
      </c>
      <c r="C33" s="1903" t="s">
        <v>924</v>
      </c>
      <c r="D33" s="44"/>
      <c r="E33" s="44" t="b">
        <f>IF(AND(E34=TRUE,E40=TRUE),TRUE,FALSE)</f>
        <v>0</v>
      </c>
      <c r="F33" s="44">
        <f>COUNTIF(E34:E50,TRUE)</f>
        <v>0</v>
      </c>
      <c r="G33" s="44" t="e">
        <f>COUNTIFS(E34,TRUE,G34,"Not Blank")+COUNTIFS(E35:E37,TRUE,G35:G37,"Not Blank")+COUNTIFS(E38:E39,TRUE,G38:G39,"Not Blank")+COUNTIFS(#REF!,TRUE,#REF!,"Not Blank")+ COUNTIFS(E41:E45,TRUE,G41:G45,"Not Blank")+COUNTIFS(E47:E50,TRUE,G47:G50,"Not Blank")</f>
        <v>#REF!</v>
      </c>
      <c r="H33" s="44" t="e">
        <f>COUNTIFS(E34,FALSE,G34,"Not Blank")+COUNTIFS(E35:E37,FALSE,G35:G37,"Not Blank")+COUNTIFS(E38:E39,FALSE,G38:G39,"Not Blank")+COUNTIFS(#REF!,FALSE,#REF!,"Not Blank")+ COUNTIFS(E41:E45,FALSE,G41:G45,"Not Blank")+COUNTIFS(E47:E50,FALSE,G47:G50,"Not Blank")</f>
        <v>#REF!</v>
      </c>
      <c r="I33" s="44" t="e">
        <f>IF(AND(E33=FALSE,G33=0,H33=0),"Nothing Enterred below Yet",IF(AND(E33=FALSE,G33&gt;0,H33=0),"Entry below has not been summarised",IF(AND(G33=0,H33&gt;0),"**Non-Valid Entry/ies below - Check Yellow Box/es",IF(AND(E33,TRUE,G33=20,H33=0),"Valid Entry made below",IF(AND(E33=TRUE,G33&lt;20,H33=0),"Valid Entry required below - Check amber box",IF(AND(E33=TRUE,G33&gt;20,H33=0),"**Too many Options used - check Red Boxes",IF(AND(G33&gt;0,H33&gt;0),"**Valid and Non-Valid Entries made below - Check Yellow Box/es")))))))</f>
        <v>#REF!</v>
      </c>
      <c r="J33" s="44">
        <f>COUNTIFS(E34:E50,TRUE,J34:J50,"Not Blank")</f>
        <v>0</v>
      </c>
      <c r="K33" s="44">
        <f>COUNTIFS(E34:E50,FALSE,J34:J50,"Not Blank")</f>
        <v>1</v>
      </c>
      <c r="L33" s="44" t="str">
        <f>IF(AND(E33=FALSE,J33=0,K33=0),"Nothing Enterred below Yet",IF(AND(E33=FALSE,J33&gt;0,K33=0),"Entry below has not been summarised",IF(AND(J33=0,K33&gt;0),"**Non-Valid Entry/ies below - Check Yellow Box/es",IF(AND(E33,TRUE,J33=20,K33=0),"Valid Entry made below",IF(AND(E33=TRUE,J33&lt;20,K33=0),"Valid Entry required below - Check amber box",IF(AND(E33=TRUE,J33&gt;20,K33=0),"**Too many Options used - check Red Boxes",IF(AND(J33&gt;0,K33&gt;0),"**Valid and Non-Valid Entries made below - Check Yellow Box/es")))))))</f>
        <v>**Non-Valid Entry/ies below - Check Yellow Box/es</v>
      </c>
      <c r="M33" s="44"/>
      <c r="N33" s="44"/>
      <c r="O33" s="44" t="e">
        <f>IF(AND(O34=TRUE,#REF!=TRUE,#REF!=TRUE,#REF!=TRUE,O40=TRUE,O41=TRUE,O42=TRUE,O43=TRUE,#REF!=TRUE,O44=TRUE,O45=TRUE,O46=TRUE),TRUE,FALSE)</f>
        <v>#REF!</v>
      </c>
      <c r="P33" s="44"/>
      <c r="Q33" s="44" t="e">
        <f>IF(AND(Q34=TRUE,#REF!=TRUE,#REF!=TRUE,#REF!=TRUE,Q40=TRUE,Q41=TRUE,Q42=TRUE,Q43=TRUE,#REF!=TRUE,Q44=TRUE,Q45=TRUE,Q46=TRUE),TRUE,FALSE)</f>
        <v>#REF!</v>
      </c>
      <c r="R33" s="44"/>
      <c r="S33" s="44"/>
      <c r="T33" s="44"/>
      <c r="U33" s="3498"/>
      <c r="V33" s="44" t="e">
        <f>IF(AND(V34=TRUE,#REF!=TRUE,#REF!=TRUE,#REF!=TRUE,V40=TRUE,V41=TRUE,V42=TRUE,V43=TRUE,#REF!=TRUE,V44=TRUE,V45=TRUE,V46=TRUE),TRUE,FALSE)</f>
        <v>#REF!</v>
      </c>
      <c r="W33" s="44"/>
      <c r="X33" s="44"/>
      <c r="Y33" s="122"/>
    </row>
    <row r="34" spans="1:27" s="3493" customFormat="1" ht="42.65" customHeight="1" thickBot="1" x14ac:dyDescent="0.35">
      <c r="A34" s="123">
        <v>7.1</v>
      </c>
      <c r="B34" s="124"/>
      <c r="C34" s="1919" t="s">
        <v>1255</v>
      </c>
      <c r="D34" s="124"/>
      <c r="E34" s="124" t="b">
        <f>IF(AND(E35=TRUE,E36=TRUE,E37=TRUE,E38=TRUE,E39=TRUE),TRUE,FALSE)</f>
        <v>0</v>
      </c>
      <c r="F34" s="124"/>
      <c r="G34" s="124" t="str">
        <f>IF(I34&lt;&gt;"", "Not Blank", "")</f>
        <v>Not Blank</v>
      </c>
      <c r="H34" s="124"/>
      <c r="I34" s="124">
        <v>1</v>
      </c>
      <c r="J34" s="124" t="str">
        <f>IF(L34&lt;&gt;"", "Not Blank", "")</f>
        <v>Not Blank</v>
      </c>
      <c r="K34" s="124"/>
      <c r="L34" s="124">
        <v>1</v>
      </c>
      <c r="M34" s="124"/>
      <c r="N34" s="258"/>
      <c r="O34" s="124" t="b">
        <v>0</v>
      </c>
      <c r="P34" s="124"/>
      <c r="Q34" s="124" t="b">
        <v>0</v>
      </c>
      <c r="R34" s="124"/>
      <c r="S34" s="124"/>
      <c r="T34" s="124"/>
      <c r="U34" s="3499"/>
      <c r="V34" s="124" t="b">
        <v>0</v>
      </c>
      <c r="W34" s="124"/>
      <c r="X34" s="124"/>
      <c r="Y34" s="125"/>
    </row>
    <row r="35" spans="1:27" ht="13.5" thickTop="1" x14ac:dyDescent="0.3">
      <c r="A35" s="16"/>
      <c r="B35" s="16"/>
      <c r="W35" s="3484"/>
    </row>
    <row r="36" spans="1:27" s="3493" customFormat="1" ht="19" customHeight="1" thickBot="1" x14ac:dyDescent="0.35">
      <c r="A36" s="19"/>
      <c r="E36" s="3489"/>
      <c r="F36" s="3489"/>
      <c r="G36" s="417"/>
      <c r="H36" s="17"/>
      <c r="I36" s="3494"/>
      <c r="J36" s="3490"/>
      <c r="K36" s="3490"/>
      <c r="N36" s="384"/>
      <c r="U36" s="3495"/>
    </row>
    <row r="37" spans="1:27" s="2" customFormat="1" ht="18.649999999999999" customHeight="1" thickTop="1" x14ac:dyDescent="0.3">
      <c r="A37" s="4911" t="s">
        <v>1139</v>
      </c>
      <c r="B37" s="4912"/>
      <c r="C37" s="4912"/>
      <c r="D37" s="4912"/>
      <c r="E37" s="4912"/>
      <c r="F37" s="4912"/>
      <c r="G37" s="4912"/>
      <c r="H37" s="4912"/>
      <c r="I37" s="4912"/>
      <c r="J37" s="4912"/>
      <c r="K37" s="4912"/>
      <c r="L37" s="4912"/>
      <c r="M37" s="4912"/>
      <c r="N37" s="4912"/>
      <c r="O37" s="537"/>
      <c r="P37" s="537"/>
      <c r="Q37" s="537"/>
      <c r="R37" s="537"/>
      <c r="S37" s="537"/>
      <c r="T37" s="537"/>
      <c r="U37" s="259"/>
      <c r="V37" s="537"/>
      <c r="W37" s="259"/>
      <c r="X37" s="259"/>
      <c r="Y37" s="260"/>
    </row>
    <row r="38" spans="1:27" s="3493" customFormat="1" ht="23.15" customHeight="1" x14ac:dyDescent="0.3">
      <c r="A38" s="263"/>
      <c r="B38" s="44"/>
      <c r="C38" s="197"/>
      <c r="D38" s="44"/>
      <c r="E38" s="361"/>
      <c r="F38" s="361"/>
      <c r="G38" s="381"/>
      <c r="H38" s="380"/>
      <c r="I38" s="44"/>
      <c r="J38" s="216"/>
      <c r="K38" s="216"/>
      <c r="L38" s="44"/>
      <c r="M38" s="44"/>
      <c r="N38" s="382"/>
      <c r="O38" s="44"/>
      <c r="P38" s="44"/>
      <c r="Q38" s="44"/>
      <c r="R38" s="44"/>
      <c r="S38" s="44"/>
      <c r="T38" s="44"/>
      <c r="U38" s="3498"/>
      <c r="V38" s="44"/>
      <c r="W38" s="44"/>
      <c r="X38" s="44"/>
      <c r="Y38" s="122"/>
    </row>
    <row r="39" spans="1:27" s="3493" customFormat="1" ht="72.5" x14ac:dyDescent="0.3">
      <c r="A39" s="121">
        <v>6</v>
      </c>
      <c r="B39" s="44" t="s">
        <v>734</v>
      </c>
      <c r="C39" s="44" t="s">
        <v>1257</v>
      </c>
      <c r="D39" s="44"/>
      <c r="E39" s="44" t="b">
        <f>IF(AND(E40=TRUE,E41=TRUE,E42=TRUE,E43=TRUE,E44=TRUE,E45=TRUE,E46=TRUE,E47=TRUE,E48=TRUE),TRUE,FALSE)</f>
        <v>0</v>
      </c>
      <c r="F39" s="44"/>
      <c r="G39" s="44">
        <f>COUNTIFS(E40:E48,TRUE,G40:G48,"Not Blank")</f>
        <v>0</v>
      </c>
      <c r="H39" s="44">
        <f>COUNTIFS(E40:E48,FALSE,G40:G48,"Not Blank")</f>
        <v>0</v>
      </c>
      <c r="I39" s="44"/>
      <c r="J39" s="44"/>
      <c r="K39" s="44"/>
      <c r="L39" s="44"/>
      <c r="M39" s="44"/>
      <c r="N39" s="152"/>
      <c r="O39" s="112"/>
      <c r="P39" s="112"/>
      <c r="Q39" s="112"/>
      <c r="R39" s="44"/>
      <c r="S39" s="44"/>
      <c r="T39" s="44"/>
      <c r="U39" s="539"/>
      <c r="V39" s="112"/>
      <c r="W39" s="44"/>
      <c r="X39" s="44"/>
      <c r="Y39" s="122"/>
    </row>
    <row r="40" spans="1:27" ht="13.5" thickBot="1" x14ac:dyDescent="0.35">
      <c r="A40" s="264"/>
      <c r="B40" s="223"/>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7" ht="13.5" thickTop="1" x14ac:dyDescent="0.3">
      <c r="A41" s="16"/>
      <c r="B41" s="16"/>
      <c r="W41" s="3484"/>
    </row>
    <row r="42" spans="1:27" s="3493" customFormat="1" ht="14.5" x14ac:dyDescent="0.3">
      <c r="U42" s="3496"/>
    </row>
    <row r="43" spans="1:27" s="225" customFormat="1" ht="18.649999999999999" customHeight="1" x14ac:dyDescent="0.3">
      <c r="A43" s="4594" t="s">
        <v>1245</v>
      </c>
      <c r="B43" s="4595"/>
      <c r="C43" s="4595"/>
      <c r="D43" s="4595"/>
      <c r="E43" s="4595"/>
      <c r="F43" s="4595"/>
      <c r="G43" s="4595"/>
      <c r="H43" s="4595"/>
      <c r="I43" s="4595"/>
      <c r="J43" s="4595"/>
      <c r="K43" s="4595"/>
      <c r="L43" s="4595"/>
      <c r="M43" s="4595"/>
      <c r="N43" s="4595"/>
      <c r="O43" s="226"/>
      <c r="P43" s="226"/>
      <c r="Q43" s="226"/>
      <c r="R43" s="227"/>
      <c r="S43" s="228"/>
      <c r="T43" s="228"/>
      <c r="U43" s="3485"/>
      <c r="V43" s="226"/>
      <c r="W43" s="227"/>
      <c r="X43" s="227"/>
      <c r="Y43" s="228"/>
    </row>
    <row r="44" spans="1:27" s="3493" customFormat="1" ht="14.5" x14ac:dyDescent="0.3">
      <c r="A44" s="121"/>
      <c r="B44" s="44"/>
      <c r="C44" s="44"/>
      <c r="D44" s="44"/>
      <c r="E44" s="44"/>
      <c r="F44" s="44"/>
      <c r="G44" s="44"/>
      <c r="H44" s="44"/>
      <c r="I44" s="44"/>
      <c r="J44" s="44"/>
      <c r="K44" s="44"/>
      <c r="L44" s="44"/>
      <c r="M44" s="44"/>
      <c r="N44" s="44"/>
      <c r="O44" s="44"/>
      <c r="P44" s="44"/>
      <c r="Q44" s="44"/>
      <c r="R44" s="44"/>
      <c r="S44" s="44"/>
      <c r="T44" s="44"/>
      <c r="U44" s="475"/>
      <c r="V44" s="44"/>
      <c r="W44" s="44"/>
      <c r="X44" s="44"/>
      <c r="Y44" s="122"/>
    </row>
    <row r="45" spans="1:27" s="2" customFormat="1" ht="140.15" customHeight="1" x14ac:dyDescent="0.3">
      <c r="A45" s="254" t="s">
        <v>855</v>
      </c>
      <c r="B45" s="44" t="s">
        <v>459</v>
      </c>
      <c r="C45" s="44" t="s">
        <v>1256</v>
      </c>
      <c r="D45" s="44"/>
      <c r="E45" s="44" t="b">
        <f>IF(AND(E46=TRUE,E56=TRUE),TRUE,FALSE)</f>
        <v>0</v>
      </c>
      <c r="F45" s="44">
        <f>COUNTIF(E47:E54,TRUE)</f>
        <v>0</v>
      </c>
      <c r="G45" s="44">
        <f>COUNTIFS(E48:E54,TRUE,G48:G54,"Not Blank")</f>
        <v>0</v>
      </c>
      <c r="H45" s="44">
        <f>COUNTIFS(E48:E54,FALSE,G48:G54,"Not Blank")</f>
        <v>0</v>
      </c>
      <c r="I45" s="44" t="str">
        <f>IF(AND(E46=FALSE,E47=FALSE,F46=0,G47=0,H47=0,F54=0,H54=""),"Nothing Enterred below Yet",IF(AND(E45=TRUE,F45&gt;1,F54=1),"**Too many Options used - check Red Boxes",IF(F45&lt;&gt;G45,"Valid Entry required below - Check amber box",IF(AND(G45=0,H45&gt;0),"**Non-Valid Entry/ies below - Check Yellow Box/es",IF(OR(AND(E47,TRUE,E54=FALSE,F47=6,H47=0),AND(E47=FALSE,E54=TRUE,F47=0,I54&lt;&gt;"")),"Valid Entry made below",IF(OR(AND(G47&gt;0,H47&gt;0),H54=1),"**Valid and Non-Valid Entries made below - Check Yellow Box/es",IF(AND(F54=0,F47&lt;7),"More Entries required below")))))))</f>
        <v>Nothing Enterred below Yet</v>
      </c>
      <c r="J45" s="44">
        <f>COUNTIFS(E48:E54,TRUE,J48:J54,"Not Blank")</f>
        <v>0</v>
      </c>
      <c r="K45" s="44">
        <f>COUNTIFS(E48:E54,FALSE,J48:J54,"Not Blank")</f>
        <v>0</v>
      </c>
      <c r="L45" s="44" t="str">
        <f>IF(AND(E46=FALSE,E47=FALSE,F46=0,J47=0,K47=0,F54=0,K54=""),"Nothing Enterred below Yet", IF(AND(E45=TRUE,F45&gt;1,F54=1),"**Too many Options used - check Red Boxes",IF(F45&lt;&gt;J45,"Valid Entry required below - Check amber box", IF(AND(J45=0,K45&gt;0),"**Non-Valid Entry/ies below - Check Yellow Box/es",IF(OR(AND(E47,TRUE,E54=FALSE,F47=6,K47=0),AND(E47=FALSE,E54=TRUE,F47=0,L54&lt;&gt;"")),"Valid Entry made below",IF(OR(AND(J47&gt;0,K47&gt;0),K54=1),"**Valid and Non-Valid Entries made below - Check Yellow Box/es",IF(AND(F54=0,F47&lt;7),"More Entries required below","NA")))))))</f>
        <v>Nothing Enterred below Yet</v>
      </c>
      <c r="M45" s="44"/>
      <c r="N45" s="540"/>
      <c r="O45" s="427"/>
      <c r="P45" s="427"/>
      <c r="Q45" s="427"/>
      <c r="R45" s="157"/>
      <c r="S45" s="157"/>
      <c r="T45" s="50"/>
      <c r="U45" s="265"/>
      <c r="V45" s="427"/>
      <c r="W45" s="50"/>
      <c r="X45" s="50"/>
      <c r="Y45" s="154"/>
      <c r="Z45" s="3484"/>
      <c r="AA45" s="3484"/>
    </row>
    <row r="46" spans="1:27" ht="13.5" thickBot="1" x14ac:dyDescent="0.35">
      <c r="A46" s="264"/>
      <c r="B46" s="223"/>
      <c r="C46" s="155"/>
      <c r="D46" s="155"/>
      <c r="E46" s="155"/>
      <c r="F46" s="155"/>
      <c r="G46" s="155"/>
      <c r="H46" s="155"/>
      <c r="I46" s="155"/>
      <c r="J46" s="155"/>
      <c r="K46" s="155"/>
      <c r="L46" s="155"/>
      <c r="M46" s="155"/>
      <c r="N46" s="155"/>
      <c r="O46" s="155"/>
      <c r="P46" s="155"/>
      <c r="Q46" s="155"/>
      <c r="R46" s="155"/>
      <c r="S46" s="155"/>
      <c r="T46" s="155"/>
      <c r="U46" s="155"/>
      <c r="V46" s="155"/>
      <c r="W46" s="155"/>
      <c r="X46" s="155"/>
      <c r="Y46" s="156"/>
    </row>
    <row r="47" spans="1:27" ht="15" thickTop="1" x14ac:dyDescent="0.3">
      <c r="A47" s="16"/>
      <c r="B47" s="16"/>
      <c r="W47" s="3492"/>
    </row>
    <row r="48" spans="1:27" ht="14.5" x14ac:dyDescent="0.3">
      <c r="A48" s="16"/>
      <c r="B48" s="16"/>
      <c r="W48" s="3493"/>
    </row>
    <row r="49" spans="1:23" ht="14.5" x14ac:dyDescent="0.3">
      <c r="A49" s="16"/>
      <c r="B49" s="16"/>
      <c r="W49" s="3493"/>
    </row>
    <row r="50" spans="1:23" ht="14.5" x14ac:dyDescent="0.3">
      <c r="A50" s="16"/>
      <c r="B50" s="16"/>
      <c r="W50" s="3493"/>
    </row>
    <row r="51" spans="1:23" ht="14.5" x14ac:dyDescent="0.3">
      <c r="A51" s="16"/>
      <c r="B51" s="16"/>
      <c r="W51" s="3493"/>
    </row>
    <row r="52" spans="1:23" ht="14.5" x14ac:dyDescent="0.3">
      <c r="A52" s="16"/>
      <c r="B52" s="16"/>
      <c r="W52" s="3493"/>
    </row>
    <row r="53" spans="1:23" ht="14.5" x14ac:dyDescent="0.3">
      <c r="A53" s="16"/>
      <c r="B53" s="16"/>
      <c r="W53" s="3493"/>
    </row>
    <row r="54" spans="1:23" ht="14.5" x14ac:dyDescent="0.3">
      <c r="A54" s="16"/>
      <c r="B54" s="16"/>
      <c r="W54" s="3493"/>
    </row>
    <row r="55" spans="1:23" ht="14.5" x14ac:dyDescent="0.3">
      <c r="A55" s="16"/>
      <c r="B55" s="16"/>
      <c r="W55" s="3493"/>
    </row>
    <row r="56" spans="1:23" ht="14.5" x14ac:dyDescent="0.3">
      <c r="A56" s="16"/>
      <c r="B56" s="16"/>
      <c r="W56" s="3493"/>
    </row>
    <row r="57" spans="1:23" ht="14.5" x14ac:dyDescent="0.3">
      <c r="A57" s="16"/>
      <c r="B57" s="16"/>
      <c r="W57" s="3493"/>
    </row>
    <row r="58" spans="1:23" ht="14.5" x14ac:dyDescent="0.3">
      <c r="W58" s="3493"/>
    </row>
    <row r="59" spans="1:23" ht="14.5" x14ac:dyDescent="0.3">
      <c r="W59" s="3493"/>
    </row>
    <row r="60" spans="1:23" ht="14.5" x14ac:dyDescent="0.3">
      <c r="W60" s="3493"/>
    </row>
    <row r="61" spans="1:23" ht="14.5" x14ac:dyDescent="0.3">
      <c r="W61" s="3493"/>
    </row>
    <row r="62" spans="1:23" ht="14.5" x14ac:dyDescent="0.3">
      <c r="W62" s="3493"/>
    </row>
    <row r="63" spans="1:23" ht="14.5" x14ac:dyDescent="0.3">
      <c r="W63" s="3493"/>
    </row>
    <row r="64" spans="1:23" ht="14.5" x14ac:dyDescent="0.3">
      <c r="W64" s="3493"/>
    </row>
    <row r="65" spans="23:23" ht="14.5" x14ac:dyDescent="0.3">
      <c r="W65" s="3493"/>
    </row>
    <row r="66" spans="23:23" ht="14.5" x14ac:dyDescent="0.3">
      <c r="W66" s="3493"/>
    </row>
    <row r="67" spans="23:23" ht="14.5" x14ac:dyDescent="0.3">
      <c r="W67" s="3493"/>
    </row>
    <row r="68" spans="23:23" ht="14.5" x14ac:dyDescent="0.3">
      <c r="W68" s="3493"/>
    </row>
    <row r="69" spans="23:23" ht="14.5" x14ac:dyDescent="0.3">
      <c r="W69" s="3493"/>
    </row>
    <row r="70" spans="23:23" ht="14.5" x14ac:dyDescent="0.3">
      <c r="W70" s="3493"/>
    </row>
    <row r="71" spans="23:23" ht="14.5" x14ac:dyDescent="0.3">
      <c r="W71" s="3491"/>
    </row>
    <row r="72" spans="23:23" ht="14.5" x14ac:dyDescent="0.3">
      <c r="W72" s="3493"/>
    </row>
    <row r="73" spans="23:23" ht="14.5" x14ac:dyDescent="0.3">
      <c r="W73" s="3493"/>
    </row>
    <row r="74" spans="23:23" ht="14.5" x14ac:dyDescent="0.3">
      <c r="W74" s="3493"/>
    </row>
    <row r="75" spans="23:23" ht="14.5" x14ac:dyDescent="0.3">
      <c r="W75" s="3493"/>
    </row>
    <row r="76" spans="23:23" ht="14.5" x14ac:dyDescent="0.3">
      <c r="W76" s="3493"/>
    </row>
    <row r="77" spans="23:23" ht="14.5" x14ac:dyDescent="0.3">
      <c r="W77" s="3493"/>
    </row>
    <row r="78" spans="23:23" ht="14.5" x14ac:dyDescent="0.3">
      <c r="W78" s="3493"/>
    </row>
    <row r="79" spans="23:23" ht="14.5" x14ac:dyDescent="0.3">
      <c r="W79" s="3493"/>
    </row>
    <row r="80" spans="23:23" ht="14.5" x14ac:dyDescent="0.3">
      <c r="W80" s="3493"/>
    </row>
    <row r="81" spans="23:23" ht="14.5" x14ac:dyDescent="0.3">
      <c r="W81" s="3493"/>
    </row>
    <row r="82" spans="23:23" ht="14.5" x14ac:dyDescent="0.3">
      <c r="W82" s="3493"/>
    </row>
    <row r="83" spans="23:23" ht="14.5" x14ac:dyDescent="0.3">
      <c r="W83" s="3493"/>
    </row>
    <row r="84" spans="23:23" ht="14.5" x14ac:dyDescent="0.3">
      <c r="W84" s="3493"/>
    </row>
    <row r="86" spans="23:23" ht="14.5" x14ac:dyDescent="0.3">
      <c r="W86" s="3493"/>
    </row>
    <row r="87" spans="23:23" x14ac:dyDescent="0.3">
      <c r="W87" s="242"/>
    </row>
    <row r="88" spans="23:23" ht="14.5" x14ac:dyDescent="0.3">
      <c r="W88" s="3493"/>
    </row>
    <row r="89" spans="23:23" ht="14.5" x14ac:dyDescent="0.3">
      <c r="W89" s="3491"/>
    </row>
    <row r="90" spans="23:23" ht="14.5" x14ac:dyDescent="0.3">
      <c r="W90" s="3493"/>
    </row>
    <row r="91" spans="23:23" ht="14.5" x14ac:dyDescent="0.3">
      <c r="W91" s="3493"/>
    </row>
    <row r="92" spans="23:23" ht="14.5" x14ac:dyDescent="0.3">
      <c r="W92" s="233"/>
    </row>
  </sheetData>
  <mergeCells count="20">
    <mergeCell ref="B7:D7"/>
    <mergeCell ref="A11:C11"/>
    <mergeCell ref="D11:N11"/>
    <mergeCell ref="B1:D1"/>
    <mergeCell ref="B2:D2"/>
    <mergeCell ref="B3:D3"/>
    <mergeCell ref="A4:D4"/>
    <mergeCell ref="B6:D6"/>
    <mergeCell ref="O11:T11"/>
    <mergeCell ref="A18:C18"/>
    <mergeCell ref="D18:N18"/>
    <mergeCell ref="A43:N43"/>
    <mergeCell ref="N25:N29"/>
    <mergeCell ref="A23:C23"/>
    <mergeCell ref="D23:N23"/>
    <mergeCell ref="U25:U29"/>
    <mergeCell ref="A31:C31"/>
    <mergeCell ref="D31:N31"/>
    <mergeCell ref="A37:C37"/>
    <mergeCell ref="D37:N37"/>
  </mergeCells>
  <conditionalFormatting sqref="Q36:Q38">
    <cfRule type="expression" dxfId="143" priority="57">
      <formula>IF($E36,TRUE)</formula>
    </cfRule>
  </conditionalFormatting>
  <conditionalFormatting sqref="U36:U38">
    <cfRule type="containsText" dxfId="142" priority="53" operator="containsText" text="Applicable">
      <formula>NOT(ISERROR(SEARCH("Applicable",U36)))</formula>
    </cfRule>
    <cfRule type="containsText" dxfId="141" priority="54" operator="containsText" text="Functionally">
      <formula>NOT(ISERROR(SEARCH("Functionally",U36)))</formula>
    </cfRule>
    <cfRule type="containsText" dxfId="140" priority="55" operator="containsText" text="Not Compliant">
      <formula>NOT(ISERROR(SEARCH("Not Compliant",U36)))</formula>
    </cfRule>
    <cfRule type="containsText" dxfId="139" priority="56" operator="containsText" text="Compliant">
      <formula>NOT(ISERROR(SEARCH("Compliant",U36)))</formula>
    </cfRule>
  </conditionalFormatting>
  <conditionalFormatting sqref="P36:P39">
    <cfRule type="expression" dxfId="138" priority="58">
      <formula>IF(#REF!,TRUE)</formula>
    </cfRule>
    <cfRule type="expression" dxfId="137" priority="59">
      <formula>IF($E36,TRUE)</formula>
    </cfRule>
  </conditionalFormatting>
  <conditionalFormatting sqref="Q39">
    <cfRule type="expression" dxfId="136" priority="52">
      <formula>IF($E39,TRUE)</formula>
    </cfRule>
  </conditionalFormatting>
  <conditionalFormatting sqref="U39">
    <cfRule type="containsText" dxfId="135" priority="48" operator="containsText" text="Applicable">
      <formula>NOT(ISERROR(SEARCH("Applicable",U39)))</formula>
    </cfRule>
    <cfRule type="containsText" dxfId="134" priority="49" operator="containsText" text="Functionally">
      <formula>NOT(ISERROR(SEARCH("Functionally",U39)))</formula>
    </cfRule>
    <cfRule type="containsText" dxfId="133" priority="50" operator="containsText" text="Not Compliant">
      <formula>NOT(ISERROR(SEARCH("Not Compliant",U39)))</formula>
    </cfRule>
    <cfRule type="containsText" dxfId="132" priority="51" operator="containsText" text="Compliant">
      <formula>NOT(ISERROR(SEARCH("Compliant",U39)))</formula>
    </cfRule>
  </conditionalFormatting>
  <conditionalFormatting sqref="N39">
    <cfRule type="containsText" dxfId="131" priority="60" operator="containsText" text="Not Compliant">
      <formula>NOT(ISERROR(SEARCH("Not Compliant",N39)))</formula>
    </cfRule>
    <cfRule type="expression" dxfId="130" priority="61">
      <formula>IF(AND($E39=TRUE,$I39="",$N39="Compliant"),TRUE,FALSE)</formula>
    </cfRule>
    <cfRule type="expression" dxfId="129" priority="62">
      <formula>IF(AND($E39=TRUE,$I39&lt;&gt;"",$N39="Compliant"),TRUE,FALSE)</formula>
    </cfRule>
    <cfRule type="expression" dxfId="128" priority="63">
      <formula>IF(AND($E39=FALSE,$N39&lt;&gt;""),TRUE,FALSE)</formula>
    </cfRule>
    <cfRule type="expression" dxfId="127" priority="64">
      <formula>IF(AND($I39&lt;&gt;"",$N39&lt;&gt;""),TRUE,FALSE)</formula>
    </cfRule>
  </conditionalFormatting>
  <conditionalFormatting sqref="N36:N38">
    <cfRule type="containsText" dxfId="126" priority="65" operator="containsText" text="Not Compliant">
      <formula>NOT(ISERROR(SEARCH("Not Compliant",N36)))</formula>
    </cfRule>
    <cfRule type="expression" dxfId="125" priority="66">
      <formula>IF(AND($E36=TRUE,$I36="",$N36="Compliant"),TRUE,FALSE)</formula>
    </cfRule>
    <cfRule type="expression" dxfId="124" priority="67">
      <formula>IF(AND($E36=TRUE,$I36&lt;&gt;"",$N36="Compliant"),TRUE,FALSE)</formula>
    </cfRule>
    <cfRule type="expression" dxfId="123" priority="68">
      <formula>IF($N36&lt;&gt;"",TRUE,FALSE)</formula>
    </cfRule>
    <cfRule type="expression" dxfId="122" priority="69">
      <formula>IF(AND($E36=FALSE,$N36&lt;&gt;""),TRUE,FALSE)</formula>
    </cfRule>
    <cfRule type="expression" dxfId="121" priority="70">
      <formula>IF(AND($I36&lt;&gt;"",$N36&lt;&gt;""),TRUE,FALSE)</formula>
    </cfRule>
  </conditionalFormatting>
  <conditionalFormatting sqref="Q42">
    <cfRule type="expression" dxfId="120" priority="39">
      <formula>IF($E42,TRUE)</formula>
    </cfRule>
  </conditionalFormatting>
  <conditionalFormatting sqref="U42">
    <cfRule type="containsText" dxfId="119" priority="35" operator="containsText" text="Applicable">
      <formula>NOT(ISERROR(SEARCH("Applicable",U42)))</formula>
    </cfRule>
    <cfRule type="containsText" dxfId="118" priority="36" operator="containsText" text="Functionally">
      <formula>NOT(ISERROR(SEARCH("Functionally",U42)))</formula>
    </cfRule>
    <cfRule type="containsText" dxfId="117" priority="37" operator="containsText" text="Not Compliant">
      <formula>NOT(ISERROR(SEARCH("Not Compliant",U42)))</formula>
    </cfRule>
    <cfRule type="containsText" dxfId="116" priority="38" operator="containsText" text="Compliant">
      <formula>NOT(ISERROR(SEARCH("Compliant",U42)))</formula>
    </cfRule>
  </conditionalFormatting>
  <conditionalFormatting sqref="P42">
    <cfRule type="expression" dxfId="115" priority="40">
      <formula>IF(#REF!,TRUE)</formula>
    </cfRule>
    <cfRule type="expression" dxfId="114" priority="41">
      <formula>IF($E42,TRUE)</formula>
    </cfRule>
  </conditionalFormatting>
  <conditionalFormatting sqref="N45">
    <cfRule type="beginsWith" dxfId="113" priority="30" operator="beginsWith" text="Partly">
      <formula>LEFT(N45,LEN("Partly"))="Partly"</formula>
    </cfRule>
    <cfRule type="containsText" dxfId="112" priority="31" operator="containsText" text="Missing">
      <formula>NOT(ISERROR(SEARCH("Missing",N45)))</formula>
    </cfRule>
    <cfRule type="beginsWith" dxfId="111" priority="32" operator="beginsWith" text="Not">
      <formula>LEFT(N45,LEN("Not"))="Not"</formula>
    </cfRule>
    <cfRule type="beginsWith" dxfId="110" priority="33" operator="beginsWith" text="Compliant">
      <formula>LEFT(N45,LEN("Compliant"))="Compliant"</formula>
    </cfRule>
    <cfRule type="containsText" dxfId="109" priority="34" operator="containsText" text="Equivalent">
      <formula>NOT(ISERROR(SEARCH("Equivalent",N45)))</formula>
    </cfRule>
  </conditionalFormatting>
  <conditionalFormatting sqref="N42">
    <cfRule type="containsText" dxfId="108" priority="42" operator="containsText" text="Not Compliant">
      <formula>NOT(ISERROR(SEARCH("Not Compliant",N42)))</formula>
    </cfRule>
    <cfRule type="expression" dxfId="107" priority="43">
      <formula>IF(AND($E42=TRUE,$I42="",$N42="Compliant"),TRUE,FALSE)</formula>
    </cfRule>
    <cfRule type="expression" dxfId="106" priority="44">
      <formula>IF(AND($E42=TRUE,$I42&lt;&gt;"",$N42="Compliant"),TRUE,FALSE)</formula>
    </cfRule>
    <cfRule type="expression" dxfId="105" priority="45">
      <formula>IF($N42&lt;&gt;"",TRUE,FALSE)</formula>
    </cfRule>
    <cfRule type="expression" dxfId="104" priority="46">
      <formula>IF(AND($E42=FALSE,$N42&lt;&gt;""),TRUE,FALSE)</formula>
    </cfRule>
    <cfRule type="expression" dxfId="103" priority="47">
      <formula>IF(AND($I42&lt;&gt;"",$N42&lt;&gt;""),TRUE,FALSE)</formula>
    </cfRule>
  </conditionalFormatting>
  <conditionalFormatting sqref="B15">
    <cfRule type="expression" dxfId="102" priority="29">
      <formula>IF($E15=TRUE,TRUE,FALSE)</formula>
    </cfRule>
  </conditionalFormatting>
  <conditionalFormatting sqref="B13">
    <cfRule type="expression" dxfId="101" priority="28">
      <formula>IF($E13=TRUE,TRUE,FALSE)</formula>
    </cfRule>
  </conditionalFormatting>
  <conditionalFormatting sqref="B14">
    <cfRule type="expression" dxfId="100" priority="27">
      <formula>IF($E14=TRUE,TRUE,FALSE)</formula>
    </cfRule>
  </conditionalFormatting>
  <conditionalFormatting sqref="B16">
    <cfRule type="expression" dxfId="99" priority="26">
      <formula>IF($E16=TRUE,TRUE,FALSE)</formula>
    </cfRule>
  </conditionalFormatting>
  <conditionalFormatting sqref="D13:D16">
    <cfRule type="expression" dxfId="98" priority="25">
      <formula>IF($E13,TRUE)</formula>
    </cfRule>
  </conditionalFormatting>
  <conditionalFormatting sqref="V36:V38">
    <cfRule type="expression" dxfId="97" priority="24">
      <formula>IF($E36,TRUE)</formula>
    </cfRule>
  </conditionalFormatting>
  <conditionalFormatting sqref="V39">
    <cfRule type="expression" dxfId="96" priority="23">
      <formula>IF($E39,TRUE)</formula>
    </cfRule>
  </conditionalFormatting>
  <conditionalFormatting sqref="V42">
    <cfRule type="expression" dxfId="95" priority="22">
      <formula>IF($E42,TRUE)</formula>
    </cfRule>
  </conditionalFormatting>
  <conditionalFormatting sqref="O36:O38">
    <cfRule type="expression" dxfId="94" priority="21">
      <formula>IF($E36,TRUE)</formula>
    </cfRule>
  </conditionalFormatting>
  <conditionalFormatting sqref="O39">
    <cfRule type="expression" dxfId="93" priority="20">
      <formula>IF($E39,TRUE)</formula>
    </cfRule>
  </conditionalFormatting>
  <conditionalFormatting sqref="O42">
    <cfRule type="expression" dxfId="92" priority="19">
      <formula>IF($E42,TRUE)</formula>
    </cfRule>
  </conditionalFormatting>
  <conditionalFormatting sqref="P26">
    <cfRule type="expression" dxfId="91" priority="10">
      <formula>IF($Q26="Compliant",TRUE)</formula>
    </cfRule>
    <cfRule type="expression" dxfId="90" priority="11">
      <formula>IF($Q26="FE with work-a-round",TRUE)</formula>
    </cfRule>
    <cfRule type="expression" dxfId="89" priority="12">
      <formula>IF($Q26="Functionally Equivalent",TRUE)</formula>
    </cfRule>
    <cfRule type="expression" dxfId="88" priority="13">
      <formula>IF($Q26="Likely to become compliant",TRUE)</formula>
    </cfRule>
    <cfRule type="expression" dxfId="87" priority="14">
      <formula>IF($Q26="Partly Compliant",TRUE)</formula>
    </cfRule>
    <cfRule type="expression" dxfId="86" priority="15">
      <formula>IF($Q26="Unknown/Missing",TRUE)</formula>
    </cfRule>
    <cfRule type="expression" dxfId="85" priority="16">
      <formula>IF($Q26="Not Required/Applicable",TRUE)</formula>
    </cfRule>
    <cfRule type="expression" dxfId="84" priority="17">
      <formula>IF($Q26="Not Compliant",TRUE)</formula>
    </cfRule>
    <cfRule type="expression" dxfId="83" priority="18">
      <formula>IF($Q26=" ",TRUE)</formula>
    </cfRule>
  </conditionalFormatting>
  <conditionalFormatting sqref="P26">
    <cfRule type="expression" dxfId="82" priority="1">
      <formula>IF($Q26="Compliant",TRUE)</formula>
    </cfRule>
    <cfRule type="expression" dxfId="81" priority="2">
      <formula>IF($Q26="FE with work-a-round",TRUE)</formula>
    </cfRule>
    <cfRule type="expression" dxfId="80" priority="3">
      <formula>IF($Q26="Functionally Equivalent",TRUE)</formula>
    </cfRule>
    <cfRule type="expression" dxfId="79" priority="4">
      <formula>IF($Q26="Likely to become compliant",TRUE)</formula>
    </cfRule>
    <cfRule type="expression" dxfId="78" priority="5">
      <formula>IF($Q26="Partly Compliant",TRUE)</formula>
    </cfRule>
    <cfRule type="expression" dxfId="77" priority="6">
      <formula>IF($Q26="Unknown/Missing",TRUE)</formula>
    </cfRule>
    <cfRule type="expression" dxfId="76" priority="7">
      <formula>IF($Q26="Not Required/Applicable",TRUE)</formula>
    </cfRule>
    <cfRule type="expression" dxfId="75" priority="8">
      <formula>IF($Q26="Not Compliant",TRUE)</formula>
    </cfRule>
    <cfRule type="expression" dxfId="74" priority="9">
      <formula>IF($Q26=" ",TRUE)</formula>
    </cfRule>
  </conditionalFormatting>
  <dataValidations count="1">
    <dataValidation type="list" allowBlank="1" showInputMessage="1" showErrorMessage="1" sqref="N25 N36 N45">
      <formula1>Initial_Compliance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Dropdowns!$E$11:$E$15</xm:f>
          </x14:formula1>
          <xm:sqref>P26</xm:sqref>
        </x14:dataValidation>
        <x14:dataValidation type="list" allowBlank="1" showInputMessage="1" showErrorMessage="1">
          <x14:formula1>
            <xm:f>Dropdowns!$F$9:$F$13</xm:f>
          </x14:formula1>
          <xm:sqref>N34</xm:sqref>
        </x14:dataValidation>
        <x14:dataValidation type="list" allowBlank="1" showInputMessage="1" showErrorMessage="1">
          <x14:formula1>
            <xm:f>Dropdowns!$D$16:$D$23</xm:f>
          </x14:formula1>
          <xm:sqref>D26:D29</xm:sqref>
        </x14:dataValidation>
        <x14:dataValidation type="list" allowBlank="1" showInputMessage="1" showErrorMessage="1">
          <x14:formula1>
            <xm:f>Dropdowns!$G$11:$G$16</xm:f>
          </x14:formula1>
          <xm:sqref>U13:U14 U17 U25 U33:U34 U36 U38:U39 U42 U44</xm:sqref>
        </x14:dataValidation>
        <x14:dataValidation type="list" allowBlank="1" showInputMessage="1" showErrorMessage="1">
          <x14:formula1>
            <xm:f>Dropdowns!$C$11:$C$13</xm:f>
          </x14:formula1>
          <xm:sqref>N9 U15:U16 U9 N15:N16</xm:sqref>
        </x14:dataValidation>
        <x14:dataValidation type="list" allowBlank="1" showInputMessage="1" showErrorMessage="1">
          <x14:formula1>
            <xm:f>Dropdowns!$F$9:$F$12</xm:f>
          </x14:formula1>
          <xm:sqref>N20 N33 N38:N39 N44 N42</xm:sqref>
        </x14:dataValidation>
        <x14:dataValidation type="list" allowBlank="1" showInputMessage="1" showErrorMessage="1">
          <x14:formula1>
            <xm:f>Dropdowns!$C$16:$C$19</xm:f>
          </x14:formula1>
          <xm:sqref>U20 U24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A92"/>
  <sheetViews>
    <sheetView topLeftCell="B1" workbookViewId="0">
      <selection activeCell="A4" sqref="A4:D4"/>
    </sheetView>
  </sheetViews>
  <sheetFormatPr defaultColWidth="8.796875" defaultRowHeight="13" x14ac:dyDescent="0.3"/>
  <cols>
    <col min="1" max="1" width="0" style="3484" hidden="1" customWidth="1"/>
    <col min="2" max="3" width="43.796875" style="3484" customWidth="1"/>
    <col min="4" max="4" width="29" style="3484" customWidth="1"/>
    <col min="5" max="6" width="9.69921875" style="3484" hidden="1" customWidth="1"/>
    <col min="7" max="8" width="8.796875" style="3484" hidden="1" customWidth="1"/>
    <col min="9" max="9" width="59.796875" style="3484" customWidth="1"/>
    <col min="10" max="10" width="8.3984375" style="3484" hidden="1" customWidth="1"/>
    <col min="11" max="11" width="9.19921875" style="3484" hidden="1" customWidth="1"/>
    <col min="12" max="12" width="26.19921875" style="3484" customWidth="1"/>
    <col min="13" max="14" width="26.296875" style="3484" customWidth="1"/>
    <col min="15" max="15" width="0" style="3484" hidden="1" customWidth="1"/>
    <col min="16" max="16" width="37" style="3484" customWidth="1"/>
    <col min="17" max="17" width="12" style="3484" hidden="1" customWidth="1"/>
    <col min="18" max="18" width="55.19921875" style="3484" customWidth="1"/>
    <col min="19" max="19" width="36.69921875" style="3484" customWidth="1"/>
    <col min="20" max="20" width="40.3984375" style="3484" customWidth="1"/>
    <col min="21" max="21" width="27.296875" style="3484" customWidth="1"/>
    <col min="22" max="22" width="0" style="3484" hidden="1" customWidth="1"/>
    <col min="23" max="23" width="51.69921875" style="14" customWidth="1"/>
    <col min="24" max="24" width="32.296875" style="3484" customWidth="1"/>
    <col min="25" max="25" width="26.296875" style="3484" customWidth="1"/>
    <col min="26" max="16384" width="8.796875" style="3484"/>
  </cols>
  <sheetData>
    <row r="1" spans="1:25" ht="69" customHeight="1" x14ac:dyDescent="0.3">
      <c r="B1" s="4521"/>
      <c r="C1" s="4521"/>
      <c r="D1" s="4521"/>
    </row>
    <row r="2" spans="1:25" ht="99.75" customHeight="1" x14ac:dyDescent="0.3">
      <c r="B2" s="4398" t="s">
        <v>2280</v>
      </c>
      <c r="C2" s="4494"/>
      <c r="D2" s="4494"/>
    </row>
    <row r="3" spans="1:25" x14ac:dyDescent="0.3">
      <c r="B3" s="4643"/>
      <c r="C3" s="4643"/>
      <c r="D3" s="4643"/>
    </row>
    <row r="4" spans="1:25" s="1085" customFormat="1" ht="54" customHeight="1" thickBot="1" x14ac:dyDescent="0.35">
      <c r="A4" s="4917" t="s">
        <v>2287</v>
      </c>
      <c r="B4" s="4917"/>
      <c r="C4" s="4917"/>
      <c r="D4" s="4917"/>
      <c r="E4" s="1106"/>
      <c r="F4" s="1107"/>
      <c r="G4" s="1107"/>
      <c r="H4" s="1107"/>
      <c r="I4" s="1107"/>
      <c r="J4" s="1107"/>
      <c r="K4" s="1107"/>
      <c r="W4" s="560"/>
    </row>
    <row r="5" spans="1:25" s="225" customFormat="1" ht="40.5" customHeight="1" thickTop="1" thickBot="1" x14ac:dyDescent="0.35">
      <c r="A5" s="1103"/>
      <c r="B5" s="1103" t="s">
        <v>1872</v>
      </c>
      <c r="C5" s="1103" t="s">
        <v>1873</v>
      </c>
      <c r="D5" s="1103" t="s">
        <v>1236</v>
      </c>
      <c r="E5" s="1103"/>
      <c r="F5" s="1103"/>
      <c r="G5" s="1104"/>
      <c r="H5" s="1103"/>
      <c r="I5" s="1103" t="s">
        <v>458</v>
      </c>
      <c r="J5" s="1104"/>
      <c r="K5" s="1104"/>
      <c r="L5" s="1103" t="s">
        <v>408</v>
      </c>
      <c r="M5" s="1103" t="s">
        <v>466</v>
      </c>
      <c r="N5" s="1104" t="s">
        <v>465</v>
      </c>
      <c r="O5" s="1103"/>
      <c r="P5" s="1103" t="s">
        <v>1212</v>
      </c>
      <c r="Q5" s="1103"/>
      <c r="R5" s="1103" t="s">
        <v>396</v>
      </c>
      <c r="S5" s="1103" t="s">
        <v>409</v>
      </c>
      <c r="T5" s="1103" t="s">
        <v>1211</v>
      </c>
      <c r="U5" s="1103" t="s">
        <v>1801</v>
      </c>
      <c r="V5" s="1103"/>
      <c r="W5" s="1103" t="s">
        <v>10</v>
      </c>
      <c r="X5" s="1103" t="s">
        <v>11</v>
      </c>
      <c r="Y5" s="1103" t="s">
        <v>12</v>
      </c>
    </row>
    <row r="6" spans="1:25" ht="19" thickTop="1" x14ac:dyDescent="0.3">
      <c r="A6" s="250"/>
      <c r="B6" s="4918" t="s">
        <v>900</v>
      </c>
      <c r="C6" s="4918"/>
      <c r="D6" s="4919"/>
    </row>
    <row r="7" spans="1:25" ht="45.65" customHeight="1" thickBot="1" x14ac:dyDescent="0.35">
      <c r="A7" s="251"/>
      <c r="B7" s="4920" t="s">
        <v>2283</v>
      </c>
      <c r="C7" s="4920"/>
      <c r="D7" s="4921"/>
    </row>
    <row r="8" spans="1:25" ht="15.5" thickTop="1" thickBot="1" x14ac:dyDescent="0.35">
      <c r="A8" s="14"/>
      <c r="B8" s="103"/>
    </row>
    <row r="9" spans="1:25" s="2" customFormat="1" ht="39" customHeight="1" thickTop="1" thickBot="1" x14ac:dyDescent="0.35">
      <c r="A9" s="3489"/>
      <c r="B9" s="3488" t="s">
        <v>901</v>
      </c>
      <c r="C9" s="400"/>
      <c r="D9" s="400"/>
      <c r="E9" s="400" t="b">
        <v>0</v>
      </c>
      <c r="F9" s="400"/>
      <c r="G9" s="400"/>
      <c r="H9" s="400"/>
      <c r="I9" s="400"/>
      <c r="J9" s="400"/>
      <c r="K9" s="400"/>
      <c r="L9" s="400"/>
      <c r="M9" s="400"/>
      <c r="N9" s="538"/>
      <c r="O9" s="3495"/>
      <c r="P9" s="3495"/>
      <c r="Q9" s="3495"/>
      <c r="R9" s="3495"/>
      <c r="S9" s="3495"/>
      <c r="T9" s="3495"/>
      <c r="U9" s="3495"/>
      <c r="V9" s="3495"/>
      <c r="W9" s="3495"/>
      <c r="X9" s="3495"/>
      <c r="Y9" s="3495"/>
    </row>
    <row r="10" spans="1:25" ht="18" customHeight="1" thickTop="1" thickBot="1" x14ac:dyDescent="0.35">
      <c r="A10" s="14"/>
      <c r="B10" s="535"/>
      <c r="C10" s="535"/>
      <c r="D10" s="535"/>
    </row>
    <row r="11" spans="1:25" s="2" customFormat="1" ht="19" thickTop="1" x14ac:dyDescent="0.3">
      <c r="A11" s="4911" t="s">
        <v>1254</v>
      </c>
      <c r="B11" s="4912"/>
      <c r="C11" s="4912"/>
      <c r="D11" s="4912"/>
      <c r="E11" s="4912"/>
      <c r="F11" s="4912"/>
      <c r="G11" s="4912"/>
      <c r="H11" s="4912"/>
      <c r="I11" s="4912"/>
      <c r="J11" s="4912"/>
      <c r="K11" s="4912"/>
      <c r="L11" s="4912"/>
      <c r="M11" s="4912"/>
      <c r="N11" s="4912"/>
      <c r="O11" s="4912"/>
      <c r="P11" s="4912"/>
      <c r="Q11" s="4912"/>
      <c r="R11" s="4912"/>
      <c r="S11" s="4912"/>
      <c r="T11" s="4912"/>
      <c r="U11" s="3497"/>
      <c r="V11" s="3497"/>
      <c r="W11" s="3497"/>
      <c r="X11" s="3497"/>
      <c r="Y11" s="536"/>
    </row>
    <row r="12" spans="1:25" ht="15" thickBot="1" x14ac:dyDescent="0.35">
      <c r="A12" s="252"/>
      <c r="B12" s="253"/>
      <c r="C12" s="50"/>
      <c r="D12" s="50"/>
      <c r="E12" s="50"/>
      <c r="F12" s="50"/>
      <c r="G12" s="50"/>
      <c r="H12" s="50"/>
      <c r="I12" s="50"/>
      <c r="J12" s="50"/>
      <c r="K12" s="50"/>
      <c r="L12" s="50"/>
      <c r="M12" s="50"/>
      <c r="N12" s="50"/>
      <c r="O12" s="50"/>
      <c r="P12" s="50"/>
      <c r="Q12" s="50"/>
      <c r="R12" s="50"/>
      <c r="S12" s="50"/>
      <c r="T12" s="50"/>
      <c r="U12" s="50"/>
      <c r="V12" s="50"/>
      <c r="W12" s="50"/>
      <c r="X12" s="50"/>
      <c r="Y12" s="154"/>
    </row>
    <row r="13" spans="1:25" s="2" customFormat="1" ht="44" thickTop="1" x14ac:dyDescent="0.3">
      <c r="A13" s="3486"/>
      <c r="B13" s="344" t="s">
        <v>824</v>
      </c>
      <c r="C13" s="2030" t="s">
        <v>475</v>
      </c>
      <c r="D13" s="2078" t="s">
        <v>1233</v>
      </c>
      <c r="E13" s="44" t="b">
        <f>E20</f>
        <v>0</v>
      </c>
      <c r="F13" s="44"/>
      <c r="G13" s="47"/>
      <c r="H13" s="47"/>
      <c r="I13" s="47"/>
      <c r="J13" s="47"/>
      <c r="K13" s="47"/>
      <c r="L13" s="47"/>
      <c r="M13" s="47"/>
      <c r="N13" s="50"/>
      <c r="O13" s="44" t="b">
        <v>0</v>
      </c>
      <c r="P13" s="44"/>
      <c r="Q13" s="44" t="b">
        <v>0</v>
      </c>
      <c r="R13" s="3498"/>
      <c r="S13" s="3498"/>
      <c r="T13" s="3498"/>
      <c r="U13" s="3498"/>
      <c r="V13" s="44" t="b">
        <v>0</v>
      </c>
      <c r="W13" s="113"/>
      <c r="X13" s="113"/>
      <c r="Y13" s="114"/>
    </row>
    <row r="14" spans="1:25" s="2" customFormat="1" ht="29" x14ac:dyDescent="0.3">
      <c r="A14" s="254"/>
      <c r="B14" s="346" t="s">
        <v>825</v>
      </c>
      <c r="C14" s="2079" t="s">
        <v>474</v>
      </c>
      <c r="D14" s="2079" t="s">
        <v>1233</v>
      </c>
      <c r="E14" s="44" t="b">
        <f>E25</f>
        <v>0</v>
      </c>
      <c r="F14" s="44"/>
      <c r="G14" s="47"/>
      <c r="H14" s="47"/>
      <c r="I14" s="47"/>
      <c r="J14" s="47"/>
      <c r="K14" s="47"/>
      <c r="L14" s="47"/>
      <c r="M14" s="47"/>
      <c r="N14" s="50"/>
      <c r="O14" s="44" t="b">
        <v>0</v>
      </c>
      <c r="P14" s="44"/>
      <c r="Q14" s="44" t="b">
        <v>0</v>
      </c>
      <c r="R14" s="3498"/>
      <c r="S14" s="3498"/>
      <c r="T14" s="3498"/>
      <c r="U14" s="3498"/>
      <c r="V14" s="44" t="b">
        <v>0</v>
      </c>
      <c r="W14" s="113"/>
      <c r="X14" s="113"/>
      <c r="Y14" s="114"/>
    </row>
    <row r="15" spans="1:25" s="2" customFormat="1" ht="43.5" x14ac:dyDescent="0.3">
      <c r="A15" s="3486"/>
      <c r="B15" s="348" t="s">
        <v>826</v>
      </c>
      <c r="C15" s="2079" t="s">
        <v>822</v>
      </c>
      <c r="D15" s="2079" t="s">
        <v>1233</v>
      </c>
      <c r="E15" s="361" t="b">
        <f>E33</f>
        <v>0</v>
      </c>
      <c r="F15" s="361"/>
      <c r="G15" s="361"/>
      <c r="H15" s="361"/>
      <c r="I15" s="361"/>
      <c r="J15" s="361"/>
      <c r="K15" s="361"/>
      <c r="L15" s="361"/>
      <c r="M15" s="361"/>
      <c r="N15" s="157"/>
      <c r="O15" s="3498"/>
      <c r="P15" s="3498"/>
      <c r="Q15" s="3498"/>
      <c r="R15" s="3498"/>
      <c r="S15" s="3498"/>
      <c r="T15" s="3498"/>
      <c r="U15" s="3498"/>
      <c r="V15" s="3498"/>
      <c r="W15" s="3498"/>
      <c r="X15" s="3498"/>
      <c r="Y15" s="116"/>
    </row>
    <row r="16" spans="1:25" s="2" customFormat="1" ht="29.5" thickBot="1" x14ac:dyDescent="0.35">
      <c r="A16" s="3487"/>
      <c r="B16" s="350" t="s">
        <v>827</v>
      </c>
      <c r="C16" s="2080" t="s">
        <v>823</v>
      </c>
      <c r="D16" s="2081" t="s">
        <v>1233</v>
      </c>
      <c r="E16" s="258" t="b">
        <f>E39</f>
        <v>0</v>
      </c>
      <c r="F16" s="258"/>
      <c r="G16" s="258"/>
      <c r="H16" s="258"/>
      <c r="I16" s="258"/>
      <c r="J16" s="258"/>
      <c r="K16" s="258"/>
      <c r="L16" s="258"/>
      <c r="M16" s="258"/>
      <c r="N16" s="159"/>
      <c r="O16" s="3499"/>
      <c r="P16" s="3499"/>
      <c r="Q16" s="3499"/>
      <c r="R16" s="3499"/>
      <c r="S16" s="3499"/>
      <c r="T16" s="3499"/>
      <c r="U16" s="3499"/>
      <c r="V16" s="3499"/>
      <c r="W16" s="3499"/>
      <c r="X16" s="3499"/>
      <c r="Y16" s="118"/>
    </row>
    <row r="17" spans="1:25" s="70" customFormat="1" ht="15.5" thickTop="1" thickBot="1" x14ac:dyDescent="0.35">
      <c r="A17" s="214"/>
      <c r="C17" s="214"/>
      <c r="E17" s="3490"/>
      <c r="F17" s="3490"/>
      <c r="G17" s="214"/>
      <c r="H17" s="214"/>
      <c r="I17" s="222"/>
      <c r="J17" s="222"/>
      <c r="K17" s="222"/>
      <c r="L17" s="222"/>
      <c r="M17" s="222"/>
      <c r="N17" s="214"/>
      <c r="O17" s="222"/>
      <c r="Q17" s="222"/>
      <c r="R17" s="222"/>
      <c r="S17" s="222"/>
      <c r="T17" s="222"/>
      <c r="U17" s="222"/>
      <c r="V17" s="222"/>
      <c r="W17" s="222"/>
      <c r="X17" s="222"/>
      <c r="Y17" s="222"/>
    </row>
    <row r="18" spans="1:25" s="225" customFormat="1" ht="19" thickTop="1" x14ac:dyDescent="0.3">
      <c r="A18" s="4911" t="s">
        <v>1135</v>
      </c>
      <c r="B18" s="4912"/>
      <c r="C18" s="4912"/>
      <c r="D18" s="4912"/>
      <c r="E18" s="4912"/>
      <c r="F18" s="4912"/>
      <c r="G18" s="4912"/>
      <c r="H18" s="4912"/>
      <c r="I18" s="4912"/>
      <c r="J18" s="4912"/>
      <c r="K18" s="4912"/>
      <c r="L18" s="4912"/>
      <c r="M18" s="4912"/>
      <c r="N18" s="4912"/>
      <c r="O18" s="3497"/>
      <c r="P18" s="3497"/>
      <c r="Q18" s="3497"/>
      <c r="R18" s="3497"/>
      <c r="S18" s="3497"/>
      <c r="T18" s="3497"/>
      <c r="U18" s="3497"/>
      <c r="V18" s="3497"/>
      <c r="W18" s="3497"/>
      <c r="X18" s="3497"/>
      <c r="Y18" s="256"/>
    </row>
    <row r="19" spans="1:25" s="70" customFormat="1" ht="15" thickBot="1" x14ac:dyDescent="0.35">
      <c r="A19" s="257"/>
      <c r="B19" s="2083"/>
      <c r="C19" s="2083"/>
      <c r="D19" s="2083"/>
      <c r="E19" s="2083"/>
      <c r="F19" s="2083"/>
      <c r="G19" s="2083"/>
      <c r="H19" s="2083"/>
      <c r="I19" s="2083"/>
      <c r="J19" s="2083"/>
      <c r="K19" s="2083"/>
      <c r="L19" s="2083"/>
      <c r="M19" s="2083"/>
      <c r="N19" s="2083"/>
      <c r="O19" s="2083"/>
      <c r="P19" s="2083"/>
      <c r="Q19" s="2083"/>
      <c r="R19" s="2083"/>
      <c r="S19" s="2083"/>
      <c r="T19" s="2083"/>
      <c r="U19" s="2083"/>
      <c r="V19" s="2083"/>
      <c r="W19" s="2083"/>
      <c r="X19" s="2083"/>
      <c r="Y19" s="2084"/>
    </row>
    <row r="20" spans="1:25" s="2" customFormat="1" ht="44.5" thickTop="1" thickBot="1" x14ac:dyDescent="0.35">
      <c r="A20" s="3487"/>
      <c r="B20" s="1051" t="s">
        <v>415</v>
      </c>
      <c r="C20" s="2085" t="s">
        <v>940</v>
      </c>
      <c r="D20" s="2086"/>
      <c r="E20" s="2085" t="b">
        <f>IF(AND(E21=TRUE,E29=TRUE,E27=TRUE),TRUE,FALSE)</f>
        <v>0</v>
      </c>
      <c r="F20" s="2085"/>
      <c r="G20" s="2085">
        <f>COUNTIFS(E21:E32,TRUE,G21:G32,"Not Blank")</f>
        <v>0</v>
      </c>
      <c r="H20" s="2085">
        <f>COUNTIFS(E21:E32,FALSE,G21:G32,"Not Blank")</f>
        <v>0</v>
      </c>
      <c r="I20" s="2087" t="str">
        <f>IF(AND(E20=FALSE,G20=0,H20=0),"Nothing Enterred below Yet",IF(AND(E20=FALSE,G20&gt;0,H20=0),"Entry below has not been summarised",IF(AND(G20=0,H20&gt;0),"**Non-Valid Entry/ies below - Check Yellow Box/es",IF(AND(E20,TRUE,G20=1,H20=0),"Valid Entry made below",IF(AND(E20=TRUE,G20=0,H20=0),"Valid Entry required below - Check amber box",IF(AND(E20=TRUE,G20&gt;1,H20=0),"**Too many Options used - check Red Boxes",IF(AND(G20&gt;0,H20&gt;0),"**Valid and Non-Valid Entries made below - Check Yellow Box/es")))))))</f>
        <v>Nothing Enterred below Yet</v>
      </c>
      <c r="J20" s="240"/>
      <c r="K20" s="240"/>
      <c r="L20" s="2087" t="str">
        <f>IF(AND(E20=FALSE,J20=0,K20=0),"Nothing Enterred below Yet",IF(AND(J20=0,K20&gt;0),"**Non-Valid Entry/ies below - Check Yellow Box/es",IF(J20&lt;F20,"Valid Entry required below - Check amber box",IF(AND(J20&gt;0,K20&gt;0),"**Valid and Non-Valid Entries made below - Check Yellow Box/es",IF(AND(E20=FALSE,J20&lt;4),"Not all requirements addressed below - Check Pink Box/es",IF(AND(E20,TRUE,J20=4,K20=0),"Valid Entries made below"))))))</f>
        <v>Nothing Enterred below Yet</v>
      </c>
      <c r="M20" s="240"/>
      <c r="N20" s="400"/>
      <c r="O20" s="91"/>
      <c r="P20" s="91"/>
      <c r="Q20" s="91"/>
      <c r="R20" s="91"/>
      <c r="S20" s="91"/>
      <c r="T20" s="91"/>
      <c r="U20" s="2088"/>
      <c r="V20" s="91"/>
      <c r="W20" s="2088"/>
      <c r="X20" s="2088"/>
      <c r="Y20" s="2089"/>
    </row>
    <row r="21" spans="1:25" ht="13.5" thickTop="1" x14ac:dyDescent="0.3">
      <c r="A21" s="16"/>
      <c r="B21" s="16"/>
      <c r="W21" s="3484"/>
    </row>
    <row r="22" spans="1:25" s="3493" customFormat="1" ht="18" customHeight="1" thickBot="1" x14ac:dyDescent="0.35">
      <c r="A22" s="18"/>
      <c r="B22" s="19"/>
      <c r="C22" s="3489"/>
      <c r="D22" s="3489"/>
      <c r="E22" s="3489"/>
      <c r="F22" s="3489"/>
      <c r="G22" s="70"/>
      <c r="H22" s="233"/>
      <c r="I22" s="150"/>
      <c r="N22" s="214"/>
      <c r="U22" s="3496"/>
    </row>
    <row r="23" spans="1:25" s="2" customFormat="1" ht="18.649999999999999" customHeight="1" thickTop="1" x14ac:dyDescent="0.3">
      <c r="A23" s="4911" t="s">
        <v>1137</v>
      </c>
      <c r="B23" s="4912"/>
      <c r="C23" s="4912"/>
      <c r="D23" s="4912"/>
      <c r="E23" s="4912"/>
      <c r="F23" s="4912"/>
      <c r="G23" s="4912"/>
      <c r="H23" s="4912"/>
      <c r="I23" s="4912"/>
      <c r="J23" s="4912"/>
      <c r="K23" s="4912"/>
      <c r="L23" s="4912"/>
      <c r="M23" s="4912"/>
      <c r="N23" s="4912"/>
      <c r="O23" s="537"/>
      <c r="P23" s="537"/>
      <c r="Q23" s="537"/>
      <c r="R23" s="537"/>
      <c r="S23" s="537"/>
      <c r="T23" s="537"/>
      <c r="U23" s="259"/>
      <c r="V23" s="537"/>
      <c r="W23" s="259"/>
      <c r="X23" s="259"/>
      <c r="Y23" s="260"/>
    </row>
    <row r="24" spans="1:25" s="2" customFormat="1" ht="18" customHeight="1" x14ac:dyDescent="0.3">
      <c r="A24" s="254"/>
      <c r="B24" s="157"/>
      <c r="C24" s="44"/>
      <c r="D24" s="44"/>
      <c r="E24" s="361"/>
      <c r="F24" s="361"/>
      <c r="G24" s="382"/>
      <c r="H24" s="361"/>
      <c r="I24" s="44"/>
      <c r="J24" s="216"/>
      <c r="K24" s="216"/>
      <c r="L24" s="44"/>
      <c r="M24" s="44"/>
      <c r="N24" s="382"/>
      <c r="O24" s="3498"/>
      <c r="P24" s="3498"/>
      <c r="Q24" s="3498"/>
      <c r="R24" s="3498"/>
      <c r="S24" s="3498"/>
      <c r="T24" s="3498"/>
      <c r="U24" s="113"/>
      <c r="V24" s="3498"/>
      <c r="W24" s="113"/>
      <c r="X24" s="113"/>
      <c r="Y24" s="114"/>
    </row>
    <row r="25" spans="1:25" s="3493" customFormat="1" ht="29.5" thickBot="1" x14ac:dyDescent="0.35">
      <c r="A25" s="121">
        <v>11</v>
      </c>
      <c r="B25" s="44" t="s">
        <v>474</v>
      </c>
      <c r="C25" s="2061" t="s">
        <v>670</v>
      </c>
      <c r="D25" s="1903" t="s">
        <v>1195</v>
      </c>
      <c r="E25" s="1976" t="b">
        <f>IF(AND(E26=TRUE,E27=TRUE,E29=TRUE),TRUE,FALSE)</f>
        <v>0</v>
      </c>
      <c r="F25" s="1976">
        <f>COUNTIF(E26:E29,TRUE)</f>
        <v>1</v>
      </c>
      <c r="G25" s="2082">
        <f>COUNTIFS(E26:E29,TRUE,G26:G29,"Not Blank")</f>
        <v>0</v>
      </c>
      <c r="H25" s="1920">
        <f>COUNTIFS(E26:E29,FALSE,G26:G29,"Not Blank")</f>
        <v>0</v>
      </c>
      <c r="I25" s="1517" t="str">
        <f xml:space="preserve">
IF(F25&gt;4,"Too Many Entries - Check Red Lines",
IF(G25&lt;F25,"Valid Entry required below - Check Amber Line/s",
IF(AND(E25=FALSE,G25=0,H25=0),"Nothing Entered below Yet",
IF(G25&lt;F25,"Valid Entry required below - Check Amber Line/s",
IF(AND(G25=0,H25&gt;0),"**Non-Valid Entry/ies below - Check Yellow Line/s",
IF(AND(G25&gt;0,H25&gt;0),"**Valid and Non-Valid Entries made below - Check Yellow Line/s",
IF(AND(E25=FALSE,F25&lt;4),"Not all requirements addressed below - Check Pink Line/s",
IF(AND(E25=FALSE,G25&lt;4,G25&gt;0,H25=0),"More entries to come",
IF(AND(E25,TRUE,G25=4,H25=0),"Valid Entries made below"
)))))))))</f>
        <v>Valid Entry required below - Check Amber Line/s</v>
      </c>
      <c r="J25" s="1518">
        <f>COUNTIFS(E26:E29,TRUE,J26:J29,"Not Blank")</f>
        <v>0</v>
      </c>
      <c r="K25" s="1518">
        <f>COUNTIFS(E26:E29,FALSE,J26:J29,"Not Blank")</f>
        <v>0</v>
      </c>
      <c r="L25" s="1517" t="str">
        <f>IF(AND(E25=FALSE,J25=0,K25=0),"Nothing Enterred below Yet",IF(AND(J25=0,K25&gt;0),"**Non-Valid Entry/ies below - Check Yellow Box/es",IF(J25&lt;F25,"Valid Entry required below - Check amber box",IF(AND(J25&gt;0,K25&gt;0),"**Valid and Non-Valid Entries made below - Check Yellow Box/es",IF(AND(E25=FALSE,J25&lt;4),"Not all requirements addressed below - Check Pink Box/es",IF(AND(E25,TRUE,J25=4,K25=0),"Valid Entries made below"))))))</f>
        <v>Nothing Enterred below Yet</v>
      </c>
      <c r="M25" s="197"/>
      <c r="N25" s="4913"/>
      <c r="O25" s="44"/>
      <c r="P25" s="44"/>
      <c r="Q25" s="44"/>
      <c r="R25" s="44"/>
      <c r="S25" s="44"/>
      <c r="T25" s="44"/>
      <c r="U25" s="4915"/>
      <c r="V25" s="44"/>
      <c r="W25" s="44"/>
      <c r="X25" s="44"/>
      <c r="Y25" s="122"/>
    </row>
    <row r="26" spans="1:25" s="3493" customFormat="1" ht="73" thickTop="1" x14ac:dyDescent="0.3">
      <c r="A26" s="121" t="s">
        <v>1106</v>
      </c>
      <c r="B26" s="44"/>
      <c r="C26" s="2061" t="s">
        <v>1250</v>
      </c>
      <c r="D26" s="392" t="s">
        <v>13</v>
      </c>
      <c r="E26" s="361" t="b">
        <f>IF(D26="Compliant",TRUE,FALSE)</f>
        <v>1</v>
      </c>
      <c r="F26" s="361"/>
      <c r="G26" s="381" t="str">
        <f>IF(I26&lt;&gt;"", "Not Blank", "")</f>
        <v/>
      </c>
      <c r="H26" s="380"/>
      <c r="I26" s="189"/>
      <c r="J26" s="216" t="str">
        <f>IF(L26&lt;&gt;"", "Not Blank", "")</f>
        <v/>
      </c>
      <c r="K26" s="216"/>
      <c r="L26" s="44"/>
      <c r="M26" s="44"/>
      <c r="N26" s="4913"/>
      <c r="O26" s="44"/>
      <c r="P26" s="701" t="s">
        <v>3</v>
      </c>
      <c r="Q26" s="44"/>
      <c r="R26" s="44"/>
      <c r="S26" s="44"/>
      <c r="T26" s="44"/>
      <c r="U26" s="4915"/>
      <c r="V26" s="44"/>
      <c r="W26" s="44"/>
      <c r="X26" s="44"/>
      <c r="Y26" s="122"/>
    </row>
    <row r="27" spans="1:25" s="3493" customFormat="1" ht="72.5" x14ac:dyDescent="0.3">
      <c r="A27" s="121" t="s">
        <v>1106</v>
      </c>
      <c r="B27" s="44"/>
      <c r="C27" s="1903" t="s">
        <v>1950</v>
      </c>
      <c r="D27" s="392"/>
      <c r="E27" s="361" t="b">
        <f>IF(D27="Compliant",TRUE,FALSE)</f>
        <v>0</v>
      </c>
      <c r="F27" s="361"/>
      <c r="G27" s="381" t="str">
        <f>IF(I27&lt;&gt;"", "Not Blank", "")</f>
        <v/>
      </c>
      <c r="H27" s="380"/>
      <c r="I27" s="189"/>
      <c r="J27" s="216" t="str">
        <f>IF(L27&lt;&gt;"", "Not Blank", "")</f>
        <v/>
      </c>
      <c r="K27" s="216"/>
      <c r="L27" s="44"/>
      <c r="M27" s="44"/>
      <c r="N27" s="4913"/>
      <c r="O27" s="44"/>
      <c r="P27" s="44"/>
      <c r="Q27" s="44"/>
      <c r="R27" s="44"/>
      <c r="S27" s="44"/>
      <c r="T27" s="44"/>
      <c r="U27" s="4915"/>
      <c r="V27" s="44"/>
      <c r="W27" s="44"/>
      <c r="X27" s="44"/>
      <c r="Y27" s="122"/>
    </row>
    <row r="28" spans="1:25" s="3493" customFormat="1" ht="409.5" x14ac:dyDescent="0.3">
      <c r="A28" s="121">
        <v>7.5</v>
      </c>
      <c r="B28" s="44"/>
      <c r="C28" s="1903" t="s">
        <v>1114</v>
      </c>
      <c r="D28" s="392"/>
      <c r="E28" s="361" t="b">
        <f>IF(D28="Compliant",TRUE,FALSE)</f>
        <v>0</v>
      </c>
      <c r="F28" s="361"/>
      <c r="G28" s="381" t="str">
        <f>IF(I28&lt;&gt;"", "Not Blank", "")</f>
        <v/>
      </c>
      <c r="H28" s="380"/>
      <c r="I28" s="189"/>
      <c r="J28" s="216" t="str">
        <f>IF(L28&lt;&gt;"", "Not Blank", "")</f>
        <v/>
      </c>
      <c r="K28" s="216"/>
      <c r="L28" s="44"/>
      <c r="M28" s="44"/>
      <c r="N28" s="4913"/>
      <c r="O28" s="44"/>
      <c r="P28" s="44"/>
      <c r="Q28" s="44"/>
      <c r="R28" s="44"/>
      <c r="S28" s="44"/>
      <c r="T28" s="44"/>
      <c r="U28" s="4915"/>
      <c r="V28" s="44"/>
      <c r="W28" s="44"/>
      <c r="X28" s="44"/>
      <c r="Y28" s="122"/>
    </row>
    <row r="29" spans="1:25" s="3493" customFormat="1" ht="55" customHeight="1" thickBot="1" x14ac:dyDescent="0.35">
      <c r="A29" s="262" t="s">
        <v>1103</v>
      </c>
      <c r="B29" s="124"/>
      <c r="C29" s="1975" t="s">
        <v>1251</v>
      </c>
      <c r="D29" s="394"/>
      <c r="E29" s="258" t="b">
        <f>IF(D29="Compliant",TRUE,FALSE)</f>
        <v>0</v>
      </c>
      <c r="F29" s="258"/>
      <c r="G29" s="451" t="str">
        <f>IF(I29&lt;&gt;"", "Not Blank", "")</f>
        <v/>
      </c>
      <c r="H29" s="404"/>
      <c r="I29" s="190"/>
      <c r="J29" s="218" t="str">
        <f>IF(L29&lt;&gt;"", "Not Blank", "")</f>
        <v/>
      </c>
      <c r="K29" s="218"/>
      <c r="L29" s="124"/>
      <c r="M29" s="124"/>
      <c r="N29" s="4914"/>
      <c r="O29" s="124"/>
      <c r="P29" s="124"/>
      <c r="Q29" s="124"/>
      <c r="R29" s="124"/>
      <c r="S29" s="124"/>
      <c r="T29" s="124"/>
      <c r="U29" s="4916"/>
      <c r="V29" s="124"/>
      <c r="W29" s="124"/>
      <c r="X29" s="124"/>
      <c r="Y29" s="125"/>
    </row>
    <row r="30" spans="1:25" s="3493" customFormat="1" ht="19" customHeight="1" thickTop="1" thickBot="1" x14ac:dyDescent="0.35">
      <c r="A30" s="19"/>
      <c r="C30" s="149"/>
      <c r="E30" s="3489"/>
      <c r="F30" s="3489"/>
      <c r="G30" s="417"/>
      <c r="H30" s="17"/>
      <c r="I30" s="3494"/>
      <c r="J30" s="3490"/>
      <c r="K30" s="3490"/>
      <c r="N30" s="214"/>
      <c r="U30" s="3495"/>
    </row>
    <row r="31" spans="1:25" s="2" customFormat="1" ht="18.649999999999999" customHeight="1" thickTop="1" x14ac:dyDescent="0.3">
      <c r="A31" s="4911" t="s">
        <v>1138</v>
      </c>
      <c r="B31" s="4912"/>
      <c r="C31" s="4912"/>
      <c r="D31" s="4912"/>
      <c r="E31" s="4912"/>
      <c r="F31" s="4912"/>
      <c r="G31" s="4912"/>
      <c r="H31" s="4912"/>
      <c r="I31" s="4912"/>
      <c r="J31" s="4912"/>
      <c r="K31" s="4912"/>
      <c r="L31" s="4912"/>
      <c r="M31" s="4912"/>
      <c r="N31" s="4912"/>
      <c r="O31" s="537"/>
      <c r="P31" s="537"/>
      <c r="Q31" s="537"/>
      <c r="R31" s="537"/>
      <c r="S31" s="537"/>
      <c r="T31" s="537"/>
      <c r="U31" s="259"/>
      <c r="V31" s="537"/>
      <c r="W31" s="259"/>
      <c r="X31" s="259"/>
      <c r="Y31" s="260"/>
    </row>
    <row r="32" spans="1:25" x14ac:dyDescent="0.3">
      <c r="A32" s="153"/>
      <c r="B32" s="50"/>
      <c r="C32" s="50"/>
      <c r="D32" s="50"/>
      <c r="E32" s="50"/>
      <c r="F32" s="50"/>
      <c r="G32" s="50"/>
      <c r="H32" s="50"/>
      <c r="I32" s="50"/>
      <c r="J32" s="50"/>
      <c r="K32" s="50"/>
      <c r="L32" s="50"/>
      <c r="M32" s="50"/>
      <c r="N32" s="50"/>
      <c r="O32" s="50"/>
      <c r="P32" s="50"/>
      <c r="Q32" s="50"/>
      <c r="R32" s="50"/>
      <c r="S32" s="50"/>
      <c r="T32" s="50"/>
      <c r="U32" s="50"/>
      <c r="V32" s="50"/>
      <c r="W32" s="50"/>
      <c r="X32" s="50"/>
      <c r="Y32" s="154"/>
    </row>
    <row r="33" spans="1:27" s="3493" customFormat="1" ht="43.5" x14ac:dyDescent="0.3">
      <c r="A33" s="121">
        <v>7</v>
      </c>
      <c r="B33" s="44" t="s">
        <v>432</v>
      </c>
      <c r="C33" s="1903" t="s">
        <v>924</v>
      </c>
      <c r="D33" s="44"/>
      <c r="E33" s="44" t="b">
        <f>IF(AND(E34=TRUE,E40=TRUE),TRUE,FALSE)</f>
        <v>0</v>
      </c>
      <c r="F33" s="44">
        <f>COUNTIF(E34:E50,TRUE)</f>
        <v>0</v>
      </c>
      <c r="G33" s="44" t="e">
        <f>COUNTIFS(E34,TRUE,G34,"Not Blank")+COUNTIFS(E35:E37,TRUE,G35:G37,"Not Blank")+COUNTIFS(E38:E39,TRUE,G38:G39,"Not Blank")+COUNTIFS(#REF!,TRUE,#REF!,"Not Blank")+ COUNTIFS(E41:E45,TRUE,G41:G45,"Not Blank")+COUNTIFS(E47:E50,TRUE,G47:G50,"Not Blank")</f>
        <v>#REF!</v>
      </c>
      <c r="H33" s="44" t="e">
        <f>COUNTIFS(E34,FALSE,G34,"Not Blank")+COUNTIFS(E35:E37,FALSE,G35:G37,"Not Blank")+COUNTIFS(E38:E39,FALSE,G38:G39,"Not Blank")+COUNTIFS(#REF!,FALSE,#REF!,"Not Blank")+ COUNTIFS(E41:E45,FALSE,G41:G45,"Not Blank")+COUNTIFS(E47:E50,FALSE,G47:G50,"Not Blank")</f>
        <v>#REF!</v>
      </c>
      <c r="I33" s="44" t="e">
        <f>IF(AND(E33=FALSE,G33=0,H33=0),"Nothing Enterred below Yet",IF(AND(E33=FALSE,G33&gt;0,H33=0),"Entry below has not been summarised",IF(AND(G33=0,H33&gt;0),"**Non-Valid Entry/ies below - Check Yellow Box/es",IF(AND(E33,TRUE,G33=20,H33=0),"Valid Entry made below",IF(AND(E33=TRUE,G33&lt;20,H33=0),"Valid Entry required below - Check amber box",IF(AND(E33=TRUE,G33&gt;20,H33=0),"**Too many Options used - check Red Boxes",IF(AND(G33&gt;0,H33&gt;0),"**Valid and Non-Valid Entries made below - Check Yellow Box/es")))))))</f>
        <v>#REF!</v>
      </c>
      <c r="J33" s="44">
        <f>COUNTIFS(E34:E50,TRUE,J34:J50,"Not Blank")</f>
        <v>0</v>
      </c>
      <c r="K33" s="44">
        <f>COUNTIFS(E34:E50,FALSE,J34:J50,"Not Blank")</f>
        <v>1</v>
      </c>
      <c r="L33" s="44" t="str">
        <f>IF(AND(E33=FALSE,J33=0,K33=0),"Nothing Enterred below Yet",IF(AND(E33=FALSE,J33&gt;0,K33=0),"Entry below has not been summarised",IF(AND(J33=0,K33&gt;0),"**Non-Valid Entry/ies below - Check Yellow Box/es",IF(AND(E33,TRUE,J33=20,K33=0),"Valid Entry made below",IF(AND(E33=TRUE,J33&lt;20,K33=0),"Valid Entry required below - Check amber box",IF(AND(E33=TRUE,J33&gt;20,K33=0),"**Too many Options used - check Red Boxes",IF(AND(J33&gt;0,K33&gt;0),"**Valid and Non-Valid Entries made below - Check Yellow Box/es")))))))</f>
        <v>**Non-Valid Entry/ies below - Check Yellow Box/es</v>
      </c>
      <c r="M33" s="44"/>
      <c r="N33" s="44"/>
      <c r="O33" s="44" t="e">
        <f>IF(AND(O34=TRUE,#REF!=TRUE,#REF!=TRUE,#REF!=TRUE,O40=TRUE,O41=TRUE,O42=TRUE,O43=TRUE,#REF!=TRUE,O44=TRUE,O45=TRUE,O46=TRUE),TRUE,FALSE)</f>
        <v>#REF!</v>
      </c>
      <c r="P33" s="44"/>
      <c r="Q33" s="44" t="e">
        <f>IF(AND(Q34=TRUE,#REF!=TRUE,#REF!=TRUE,#REF!=TRUE,Q40=TRUE,Q41=TRUE,Q42=TRUE,Q43=TRUE,#REF!=TRUE,Q44=TRUE,Q45=TRUE,Q46=TRUE),TRUE,FALSE)</f>
        <v>#REF!</v>
      </c>
      <c r="R33" s="44"/>
      <c r="S33" s="44"/>
      <c r="T33" s="44"/>
      <c r="U33" s="3498"/>
      <c r="V33" s="44" t="e">
        <f>IF(AND(V34=TRUE,#REF!=TRUE,#REF!=TRUE,#REF!=TRUE,V40=TRUE,V41=TRUE,V42=TRUE,V43=TRUE,#REF!=TRUE,V44=TRUE,V45=TRUE,V46=TRUE),TRUE,FALSE)</f>
        <v>#REF!</v>
      </c>
      <c r="W33" s="44"/>
      <c r="X33" s="44"/>
      <c r="Y33" s="122"/>
    </row>
    <row r="34" spans="1:27" s="3493" customFormat="1" ht="42.65" customHeight="1" thickBot="1" x14ac:dyDescent="0.35">
      <c r="A34" s="123">
        <v>7.1</v>
      </c>
      <c r="B34" s="124"/>
      <c r="C34" s="1919" t="s">
        <v>1255</v>
      </c>
      <c r="D34" s="124"/>
      <c r="E34" s="124" t="b">
        <f>IF(AND(E35=TRUE,E36=TRUE,E37=TRUE,E38=TRUE,E39=TRUE),TRUE,FALSE)</f>
        <v>0</v>
      </c>
      <c r="F34" s="124"/>
      <c r="G34" s="124" t="str">
        <f>IF(I34&lt;&gt;"", "Not Blank", "")</f>
        <v>Not Blank</v>
      </c>
      <c r="H34" s="124"/>
      <c r="I34" s="124">
        <v>1</v>
      </c>
      <c r="J34" s="124" t="str">
        <f>IF(L34&lt;&gt;"", "Not Blank", "")</f>
        <v>Not Blank</v>
      </c>
      <c r="K34" s="124"/>
      <c r="L34" s="124">
        <v>1</v>
      </c>
      <c r="M34" s="124"/>
      <c r="N34" s="258"/>
      <c r="O34" s="124" t="b">
        <v>0</v>
      </c>
      <c r="P34" s="124"/>
      <c r="Q34" s="124" t="b">
        <v>0</v>
      </c>
      <c r="R34" s="124"/>
      <c r="S34" s="124"/>
      <c r="T34" s="124"/>
      <c r="U34" s="3499"/>
      <c r="V34" s="124" t="b">
        <v>0</v>
      </c>
      <c r="W34" s="124"/>
      <c r="X34" s="124"/>
      <c r="Y34" s="125"/>
    </row>
    <row r="35" spans="1:27" ht="13.5" thickTop="1" x14ac:dyDescent="0.3">
      <c r="A35" s="16"/>
      <c r="B35" s="16"/>
      <c r="W35" s="3484"/>
    </row>
    <row r="36" spans="1:27" s="3493" customFormat="1" ht="19" customHeight="1" thickBot="1" x14ac:dyDescent="0.35">
      <c r="A36" s="19"/>
      <c r="E36" s="3489"/>
      <c r="F36" s="3489"/>
      <c r="G36" s="417"/>
      <c r="H36" s="17"/>
      <c r="I36" s="3494"/>
      <c r="J36" s="3490"/>
      <c r="K36" s="3490"/>
      <c r="N36" s="384"/>
      <c r="U36" s="3495"/>
    </row>
    <row r="37" spans="1:27" s="2" customFormat="1" ht="18.649999999999999" customHeight="1" thickTop="1" x14ac:dyDescent="0.3">
      <c r="A37" s="4911" t="s">
        <v>1139</v>
      </c>
      <c r="B37" s="4912"/>
      <c r="C37" s="4912"/>
      <c r="D37" s="4912"/>
      <c r="E37" s="4912"/>
      <c r="F37" s="4912"/>
      <c r="G37" s="4912"/>
      <c r="H37" s="4912"/>
      <c r="I37" s="4912"/>
      <c r="J37" s="4912"/>
      <c r="K37" s="4912"/>
      <c r="L37" s="4912"/>
      <c r="M37" s="4912"/>
      <c r="N37" s="4912"/>
      <c r="O37" s="537"/>
      <c r="P37" s="537"/>
      <c r="Q37" s="537"/>
      <c r="R37" s="537"/>
      <c r="S37" s="537"/>
      <c r="T37" s="537"/>
      <c r="U37" s="259"/>
      <c r="V37" s="537"/>
      <c r="W37" s="259"/>
      <c r="X37" s="259"/>
      <c r="Y37" s="260"/>
    </row>
    <row r="38" spans="1:27" s="3493" customFormat="1" ht="23.15" customHeight="1" x14ac:dyDescent="0.3">
      <c r="A38" s="263"/>
      <c r="B38" s="44"/>
      <c r="C38" s="197"/>
      <c r="D38" s="44"/>
      <c r="E38" s="361"/>
      <c r="F38" s="361"/>
      <c r="G38" s="381"/>
      <c r="H38" s="380"/>
      <c r="I38" s="44"/>
      <c r="J38" s="216"/>
      <c r="K38" s="216"/>
      <c r="L38" s="44"/>
      <c r="M38" s="44"/>
      <c r="N38" s="382"/>
      <c r="O38" s="44"/>
      <c r="P38" s="44"/>
      <c r="Q38" s="44"/>
      <c r="R38" s="44"/>
      <c r="S38" s="44"/>
      <c r="T38" s="44"/>
      <c r="U38" s="3498"/>
      <c r="V38" s="44"/>
      <c r="W38" s="44"/>
      <c r="X38" s="44"/>
      <c r="Y38" s="122"/>
    </row>
    <row r="39" spans="1:27" s="3493" customFormat="1" ht="72.5" x14ac:dyDescent="0.3">
      <c r="A39" s="121">
        <v>6</v>
      </c>
      <c r="B39" s="44" t="s">
        <v>734</v>
      </c>
      <c r="C39" s="44" t="s">
        <v>1257</v>
      </c>
      <c r="D39" s="44"/>
      <c r="E39" s="44" t="b">
        <f>IF(AND(E40=TRUE,E41=TRUE,E42=TRUE,E43=TRUE,E44=TRUE,E45=TRUE,E46=TRUE,E47=TRUE,E48=TRUE),TRUE,FALSE)</f>
        <v>0</v>
      </c>
      <c r="F39" s="44"/>
      <c r="G39" s="44">
        <f>COUNTIFS(E40:E48,TRUE,G40:G48,"Not Blank")</f>
        <v>0</v>
      </c>
      <c r="H39" s="44">
        <f>COUNTIFS(E40:E48,FALSE,G40:G48,"Not Blank")</f>
        <v>0</v>
      </c>
      <c r="I39" s="44"/>
      <c r="J39" s="44"/>
      <c r="K39" s="44"/>
      <c r="L39" s="44"/>
      <c r="M39" s="44"/>
      <c r="N39" s="152"/>
      <c r="O39" s="112"/>
      <c r="P39" s="112"/>
      <c r="Q39" s="112"/>
      <c r="R39" s="44"/>
      <c r="S39" s="44"/>
      <c r="T39" s="44"/>
      <c r="U39" s="539"/>
      <c r="V39" s="112"/>
      <c r="W39" s="44"/>
      <c r="X39" s="44"/>
      <c r="Y39" s="122"/>
    </row>
    <row r="40" spans="1:27" ht="13.5" thickBot="1" x14ac:dyDescent="0.35">
      <c r="A40" s="264"/>
      <c r="B40" s="223"/>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7" ht="13.5" thickTop="1" x14ac:dyDescent="0.3">
      <c r="A41" s="16"/>
      <c r="B41" s="16"/>
      <c r="W41" s="3484"/>
    </row>
    <row r="42" spans="1:27" s="3493" customFormat="1" ht="14.5" x14ac:dyDescent="0.3">
      <c r="U42" s="3496"/>
    </row>
    <row r="43" spans="1:27" s="225" customFormat="1" ht="18.649999999999999" customHeight="1" x14ac:dyDescent="0.3">
      <c r="A43" s="4594" t="s">
        <v>1245</v>
      </c>
      <c r="B43" s="4595"/>
      <c r="C43" s="4595"/>
      <c r="D43" s="4595"/>
      <c r="E43" s="4595"/>
      <c r="F43" s="4595"/>
      <c r="G43" s="4595"/>
      <c r="H43" s="4595"/>
      <c r="I43" s="4595"/>
      <c r="J43" s="4595"/>
      <c r="K43" s="4595"/>
      <c r="L43" s="4595"/>
      <c r="M43" s="4595"/>
      <c r="N43" s="4595"/>
      <c r="O43" s="226"/>
      <c r="P43" s="226"/>
      <c r="Q43" s="226"/>
      <c r="R43" s="227"/>
      <c r="S43" s="228"/>
      <c r="T43" s="228"/>
      <c r="U43" s="3485"/>
      <c r="V43" s="226"/>
      <c r="W43" s="227"/>
      <c r="X43" s="227"/>
      <c r="Y43" s="228"/>
    </row>
    <row r="44" spans="1:27" s="3493" customFormat="1" ht="14.5" x14ac:dyDescent="0.3">
      <c r="A44" s="121"/>
      <c r="B44" s="44"/>
      <c r="C44" s="44"/>
      <c r="D44" s="44"/>
      <c r="E44" s="44"/>
      <c r="F44" s="44"/>
      <c r="G44" s="44"/>
      <c r="H44" s="44"/>
      <c r="I44" s="44"/>
      <c r="J44" s="44"/>
      <c r="K44" s="44"/>
      <c r="L44" s="44"/>
      <c r="M44" s="44"/>
      <c r="N44" s="44"/>
      <c r="O44" s="44"/>
      <c r="P44" s="44"/>
      <c r="Q44" s="44"/>
      <c r="R44" s="44"/>
      <c r="S44" s="44"/>
      <c r="T44" s="44"/>
      <c r="U44" s="475"/>
      <c r="V44" s="44"/>
      <c r="W44" s="44"/>
      <c r="X44" s="44"/>
      <c r="Y44" s="122"/>
    </row>
    <row r="45" spans="1:27" s="2" customFormat="1" ht="140.15" customHeight="1" x14ac:dyDescent="0.3">
      <c r="A45" s="254" t="s">
        <v>855</v>
      </c>
      <c r="B45" s="44" t="s">
        <v>459</v>
      </c>
      <c r="C45" s="44" t="s">
        <v>1256</v>
      </c>
      <c r="D45" s="44"/>
      <c r="E45" s="44" t="b">
        <f>IF(AND(E46=TRUE,E56=TRUE),TRUE,FALSE)</f>
        <v>0</v>
      </c>
      <c r="F45" s="44">
        <f>COUNTIF(E47:E54,TRUE)</f>
        <v>0</v>
      </c>
      <c r="G45" s="44">
        <f>COUNTIFS(E48:E54,TRUE,G48:G54,"Not Blank")</f>
        <v>0</v>
      </c>
      <c r="H45" s="44">
        <f>COUNTIFS(E48:E54,FALSE,G48:G54,"Not Blank")</f>
        <v>0</v>
      </c>
      <c r="I45" s="44" t="str">
        <f>IF(AND(E46=FALSE,E47=FALSE,F46=0,G47=0,H47=0,F54=0,H54=""),"Nothing Enterred below Yet",IF(AND(E45=TRUE,F45&gt;1,F54=1),"**Too many Options used - check Red Boxes",IF(F45&lt;&gt;G45,"Valid Entry required below - Check amber box",IF(AND(G45=0,H45&gt;0),"**Non-Valid Entry/ies below - Check Yellow Box/es",IF(OR(AND(E47,TRUE,E54=FALSE,F47=6,H47=0),AND(E47=FALSE,E54=TRUE,F47=0,I54&lt;&gt;"")),"Valid Entry made below",IF(OR(AND(G47&gt;0,H47&gt;0),H54=1),"**Valid and Non-Valid Entries made below - Check Yellow Box/es",IF(AND(F54=0,F47&lt;7),"More Entries required below")))))))</f>
        <v>Nothing Enterred below Yet</v>
      </c>
      <c r="J45" s="44">
        <f>COUNTIFS(E48:E54,TRUE,J48:J54,"Not Blank")</f>
        <v>0</v>
      </c>
      <c r="K45" s="44">
        <f>COUNTIFS(E48:E54,FALSE,J48:J54,"Not Blank")</f>
        <v>0</v>
      </c>
      <c r="L45" s="44" t="str">
        <f>IF(AND(E46=FALSE,E47=FALSE,F46=0,J47=0,K47=0,F54=0,K54=""),"Nothing Enterred below Yet", IF(AND(E45=TRUE,F45&gt;1,F54=1),"**Too many Options used - check Red Boxes",IF(F45&lt;&gt;J45,"Valid Entry required below - Check amber box", IF(AND(J45=0,K45&gt;0),"**Non-Valid Entry/ies below - Check Yellow Box/es",IF(OR(AND(E47,TRUE,E54=FALSE,F47=6,K47=0),AND(E47=FALSE,E54=TRUE,F47=0,L54&lt;&gt;"")),"Valid Entry made below",IF(OR(AND(J47&gt;0,K47&gt;0),K54=1),"**Valid and Non-Valid Entries made below - Check Yellow Box/es",IF(AND(F54=0,F47&lt;7),"More Entries required below","NA")))))))</f>
        <v>Nothing Enterred below Yet</v>
      </c>
      <c r="M45" s="44"/>
      <c r="N45" s="540"/>
      <c r="O45" s="427"/>
      <c r="P45" s="427"/>
      <c r="Q45" s="427"/>
      <c r="R45" s="157"/>
      <c r="S45" s="157"/>
      <c r="T45" s="50"/>
      <c r="U45" s="265"/>
      <c r="V45" s="427"/>
      <c r="W45" s="50"/>
      <c r="X45" s="50"/>
      <c r="Y45" s="154"/>
      <c r="Z45" s="3484"/>
      <c r="AA45" s="3484"/>
    </row>
    <row r="46" spans="1:27" ht="13.5" thickBot="1" x14ac:dyDescent="0.35">
      <c r="A46" s="264"/>
      <c r="B46" s="223"/>
      <c r="C46" s="155"/>
      <c r="D46" s="155"/>
      <c r="E46" s="155"/>
      <c r="F46" s="155"/>
      <c r="G46" s="155"/>
      <c r="H46" s="155"/>
      <c r="I46" s="155"/>
      <c r="J46" s="155"/>
      <c r="K46" s="155"/>
      <c r="L46" s="155"/>
      <c r="M46" s="155"/>
      <c r="N46" s="155"/>
      <c r="O46" s="155"/>
      <c r="P46" s="155"/>
      <c r="Q46" s="155"/>
      <c r="R46" s="155"/>
      <c r="S46" s="155"/>
      <c r="T46" s="155"/>
      <c r="U46" s="155"/>
      <c r="V46" s="155"/>
      <c r="W46" s="155"/>
      <c r="X46" s="155"/>
      <c r="Y46" s="156"/>
    </row>
    <row r="47" spans="1:27" ht="15" thickTop="1" x14ac:dyDescent="0.3">
      <c r="A47" s="16"/>
      <c r="B47" s="16"/>
      <c r="W47" s="3492"/>
    </row>
    <row r="48" spans="1:27" ht="14.5" x14ac:dyDescent="0.3">
      <c r="A48" s="16"/>
      <c r="B48" s="16"/>
      <c r="W48" s="3493"/>
    </row>
    <row r="49" spans="1:23" ht="14.5" x14ac:dyDescent="0.3">
      <c r="A49" s="16"/>
      <c r="B49" s="16"/>
      <c r="W49" s="3493"/>
    </row>
    <row r="50" spans="1:23" ht="14.5" x14ac:dyDescent="0.3">
      <c r="A50" s="16"/>
      <c r="B50" s="16"/>
      <c r="W50" s="3493"/>
    </row>
    <row r="51" spans="1:23" ht="14.5" x14ac:dyDescent="0.3">
      <c r="A51" s="16"/>
      <c r="B51" s="16"/>
      <c r="W51" s="3493"/>
    </row>
    <row r="52" spans="1:23" ht="14.5" x14ac:dyDescent="0.3">
      <c r="A52" s="16"/>
      <c r="B52" s="16"/>
      <c r="W52" s="3493"/>
    </row>
    <row r="53" spans="1:23" ht="14.5" x14ac:dyDescent="0.3">
      <c r="A53" s="16"/>
      <c r="B53" s="16"/>
      <c r="W53" s="3493"/>
    </row>
    <row r="54" spans="1:23" ht="14.5" x14ac:dyDescent="0.3">
      <c r="A54" s="16"/>
      <c r="B54" s="16"/>
      <c r="W54" s="3493"/>
    </row>
    <row r="55" spans="1:23" ht="14.5" x14ac:dyDescent="0.3">
      <c r="A55" s="16"/>
      <c r="B55" s="16"/>
      <c r="W55" s="3493"/>
    </row>
    <row r="56" spans="1:23" ht="14.5" x14ac:dyDescent="0.3">
      <c r="A56" s="16"/>
      <c r="B56" s="16"/>
      <c r="W56" s="3493"/>
    </row>
    <row r="57" spans="1:23" ht="14.5" x14ac:dyDescent="0.3">
      <c r="A57" s="16"/>
      <c r="B57" s="16"/>
      <c r="W57" s="3493"/>
    </row>
    <row r="58" spans="1:23" ht="14.5" x14ac:dyDescent="0.3">
      <c r="W58" s="3493"/>
    </row>
    <row r="59" spans="1:23" ht="14.5" x14ac:dyDescent="0.3">
      <c r="W59" s="3493"/>
    </row>
    <row r="60" spans="1:23" ht="14.5" x14ac:dyDescent="0.3">
      <c r="W60" s="3493"/>
    </row>
    <row r="61" spans="1:23" ht="14.5" x14ac:dyDescent="0.3">
      <c r="W61" s="3493"/>
    </row>
    <row r="62" spans="1:23" ht="14.5" x14ac:dyDescent="0.3">
      <c r="W62" s="3493"/>
    </row>
    <row r="63" spans="1:23" ht="14.5" x14ac:dyDescent="0.3">
      <c r="W63" s="3493"/>
    </row>
    <row r="64" spans="1:23" ht="14.5" x14ac:dyDescent="0.3">
      <c r="W64" s="3493"/>
    </row>
    <row r="65" spans="23:23" ht="14.5" x14ac:dyDescent="0.3">
      <c r="W65" s="3493"/>
    </row>
    <row r="66" spans="23:23" ht="14.5" x14ac:dyDescent="0.3">
      <c r="W66" s="3493"/>
    </row>
    <row r="67" spans="23:23" ht="14.5" x14ac:dyDescent="0.3">
      <c r="W67" s="3493"/>
    </row>
    <row r="68" spans="23:23" ht="14.5" x14ac:dyDescent="0.3">
      <c r="W68" s="3493"/>
    </row>
    <row r="69" spans="23:23" ht="14.5" x14ac:dyDescent="0.3">
      <c r="W69" s="3493"/>
    </row>
    <row r="70" spans="23:23" ht="14.5" x14ac:dyDescent="0.3">
      <c r="W70" s="3493"/>
    </row>
    <row r="71" spans="23:23" ht="14.5" x14ac:dyDescent="0.3">
      <c r="W71" s="3491"/>
    </row>
    <row r="72" spans="23:23" ht="14.5" x14ac:dyDescent="0.3">
      <c r="W72" s="3493"/>
    </row>
    <row r="73" spans="23:23" ht="14.5" x14ac:dyDescent="0.3">
      <c r="W73" s="3493"/>
    </row>
    <row r="74" spans="23:23" ht="14.5" x14ac:dyDescent="0.3">
      <c r="W74" s="3493"/>
    </row>
    <row r="75" spans="23:23" ht="14.5" x14ac:dyDescent="0.3">
      <c r="W75" s="3493"/>
    </row>
    <row r="76" spans="23:23" ht="14.5" x14ac:dyDescent="0.3">
      <c r="W76" s="3493"/>
    </row>
    <row r="77" spans="23:23" ht="14.5" x14ac:dyDescent="0.3">
      <c r="W77" s="3493"/>
    </row>
    <row r="78" spans="23:23" ht="14.5" x14ac:dyDescent="0.3">
      <c r="W78" s="3493"/>
    </row>
    <row r="79" spans="23:23" ht="14.5" x14ac:dyDescent="0.3">
      <c r="W79" s="3493"/>
    </row>
    <row r="80" spans="23:23" ht="14.5" x14ac:dyDescent="0.3">
      <c r="W80" s="3493"/>
    </row>
    <row r="81" spans="23:23" ht="14.5" x14ac:dyDescent="0.3">
      <c r="W81" s="3493"/>
    </row>
    <row r="82" spans="23:23" ht="14.5" x14ac:dyDescent="0.3">
      <c r="W82" s="3493"/>
    </row>
    <row r="83" spans="23:23" ht="14.5" x14ac:dyDescent="0.3">
      <c r="W83" s="3493"/>
    </row>
    <row r="84" spans="23:23" ht="14.5" x14ac:dyDescent="0.3">
      <c r="W84" s="3493"/>
    </row>
    <row r="86" spans="23:23" ht="14.5" x14ac:dyDescent="0.3">
      <c r="W86" s="3493"/>
    </row>
    <row r="87" spans="23:23" x14ac:dyDescent="0.3">
      <c r="W87" s="242"/>
    </row>
    <row r="88" spans="23:23" ht="14.5" x14ac:dyDescent="0.3">
      <c r="W88" s="3493"/>
    </row>
    <row r="89" spans="23:23" ht="14.5" x14ac:dyDescent="0.3">
      <c r="W89" s="3491"/>
    </row>
    <row r="90" spans="23:23" ht="14.5" x14ac:dyDescent="0.3">
      <c r="W90" s="3493"/>
    </row>
    <row r="91" spans="23:23" ht="14.5" x14ac:dyDescent="0.3">
      <c r="W91" s="3493"/>
    </row>
    <row r="92" spans="23:23" ht="14.5" x14ac:dyDescent="0.3">
      <c r="W92" s="233"/>
    </row>
  </sheetData>
  <mergeCells count="20">
    <mergeCell ref="B7:D7"/>
    <mergeCell ref="A11:C11"/>
    <mergeCell ref="D11:N11"/>
    <mergeCell ref="B1:D1"/>
    <mergeCell ref="B2:D2"/>
    <mergeCell ref="B3:D3"/>
    <mergeCell ref="A4:D4"/>
    <mergeCell ref="B6:D6"/>
    <mergeCell ref="O11:T11"/>
    <mergeCell ref="A18:C18"/>
    <mergeCell ref="D18:N18"/>
    <mergeCell ref="A43:N43"/>
    <mergeCell ref="N25:N29"/>
    <mergeCell ref="A23:C23"/>
    <mergeCell ref="D23:N23"/>
    <mergeCell ref="U25:U29"/>
    <mergeCell ref="A31:C31"/>
    <mergeCell ref="D31:N31"/>
    <mergeCell ref="A37:C37"/>
    <mergeCell ref="D37:N37"/>
  </mergeCells>
  <conditionalFormatting sqref="Q36:Q38">
    <cfRule type="expression" dxfId="73" priority="57">
      <formula>IF($E36,TRUE)</formula>
    </cfRule>
  </conditionalFormatting>
  <conditionalFormatting sqref="U36:U38">
    <cfRule type="containsText" dxfId="72" priority="53" operator="containsText" text="Applicable">
      <formula>NOT(ISERROR(SEARCH("Applicable",U36)))</formula>
    </cfRule>
    <cfRule type="containsText" dxfId="71" priority="54" operator="containsText" text="Functionally">
      <formula>NOT(ISERROR(SEARCH("Functionally",U36)))</formula>
    </cfRule>
    <cfRule type="containsText" dxfId="70" priority="55" operator="containsText" text="Not Compliant">
      <formula>NOT(ISERROR(SEARCH("Not Compliant",U36)))</formula>
    </cfRule>
    <cfRule type="containsText" dxfId="69" priority="56" operator="containsText" text="Compliant">
      <formula>NOT(ISERROR(SEARCH("Compliant",U36)))</formula>
    </cfRule>
  </conditionalFormatting>
  <conditionalFormatting sqref="P36:P39">
    <cfRule type="expression" dxfId="68" priority="58">
      <formula>IF(#REF!,TRUE)</formula>
    </cfRule>
    <cfRule type="expression" dxfId="67" priority="59">
      <formula>IF($E36,TRUE)</formula>
    </cfRule>
  </conditionalFormatting>
  <conditionalFormatting sqref="Q39">
    <cfRule type="expression" dxfId="66" priority="52">
      <formula>IF($E39,TRUE)</formula>
    </cfRule>
  </conditionalFormatting>
  <conditionalFormatting sqref="U39">
    <cfRule type="containsText" dxfId="65" priority="48" operator="containsText" text="Applicable">
      <formula>NOT(ISERROR(SEARCH("Applicable",U39)))</formula>
    </cfRule>
    <cfRule type="containsText" dxfId="64" priority="49" operator="containsText" text="Functionally">
      <formula>NOT(ISERROR(SEARCH("Functionally",U39)))</formula>
    </cfRule>
    <cfRule type="containsText" dxfId="63" priority="50" operator="containsText" text="Not Compliant">
      <formula>NOT(ISERROR(SEARCH("Not Compliant",U39)))</formula>
    </cfRule>
    <cfRule type="containsText" dxfId="62" priority="51" operator="containsText" text="Compliant">
      <formula>NOT(ISERROR(SEARCH("Compliant",U39)))</formula>
    </cfRule>
  </conditionalFormatting>
  <conditionalFormatting sqref="N39">
    <cfRule type="containsText" dxfId="61" priority="60" operator="containsText" text="Not Compliant">
      <formula>NOT(ISERROR(SEARCH("Not Compliant",N39)))</formula>
    </cfRule>
    <cfRule type="expression" dxfId="60" priority="61">
      <formula>IF(AND($E39=TRUE,$I39="",$N39="Compliant"),TRUE,FALSE)</formula>
    </cfRule>
    <cfRule type="expression" dxfId="59" priority="62">
      <formula>IF(AND($E39=TRUE,$I39&lt;&gt;"",$N39="Compliant"),TRUE,FALSE)</formula>
    </cfRule>
    <cfRule type="expression" dxfId="58" priority="63">
      <formula>IF(AND($E39=FALSE,$N39&lt;&gt;""),TRUE,FALSE)</formula>
    </cfRule>
    <cfRule type="expression" dxfId="57" priority="64">
      <formula>IF(AND($I39&lt;&gt;"",$N39&lt;&gt;""),TRUE,FALSE)</formula>
    </cfRule>
  </conditionalFormatting>
  <conditionalFormatting sqref="N36:N38">
    <cfRule type="containsText" dxfId="56" priority="65" operator="containsText" text="Not Compliant">
      <formula>NOT(ISERROR(SEARCH("Not Compliant",N36)))</formula>
    </cfRule>
    <cfRule type="expression" dxfId="55" priority="66">
      <formula>IF(AND($E36=TRUE,$I36="",$N36="Compliant"),TRUE,FALSE)</formula>
    </cfRule>
    <cfRule type="expression" dxfId="54" priority="67">
      <formula>IF(AND($E36=TRUE,$I36&lt;&gt;"",$N36="Compliant"),TRUE,FALSE)</formula>
    </cfRule>
    <cfRule type="expression" dxfId="53" priority="68">
      <formula>IF($N36&lt;&gt;"",TRUE,FALSE)</formula>
    </cfRule>
    <cfRule type="expression" dxfId="52" priority="69">
      <formula>IF(AND($E36=FALSE,$N36&lt;&gt;""),TRUE,FALSE)</formula>
    </cfRule>
    <cfRule type="expression" dxfId="51" priority="70">
      <formula>IF(AND($I36&lt;&gt;"",$N36&lt;&gt;""),TRUE,FALSE)</formula>
    </cfRule>
  </conditionalFormatting>
  <conditionalFormatting sqref="Q42">
    <cfRule type="expression" dxfId="50" priority="39">
      <formula>IF($E42,TRUE)</formula>
    </cfRule>
  </conditionalFormatting>
  <conditionalFormatting sqref="U42">
    <cfRule type="containsText" dxfId="49" priority="35" operator="containsText" text="Applicable">
      <formula>NOT(ISERROR(SEARCH("Applicable",U42)))</formula>
    </cfRule>
    <cfRule type="containsText" dxfId="48" priority="36" operator="containsText" text="Functionally">
      <formula>NOT(ISERROR(SEARCH("Functionally",U42)))</formula>
    </cfRule>
    <cfRule type="containsText" dxfId="47" priority="37" operator="containsText" text="Not Compliant">
      <formula>NOT(ISERROR(SEARCH("Not Compliant",U42)))</formula>
    </cfRule>
    <cfRule type="containsText" dxfId="46" priority="38" operator="containsText" text="Compliant">
      <formula>NOT(ISERROR(SEARCH("Compliant",U42)))</formula>
    </cfRule>
  </conditionalFormatting>
  <conditionalFormatting sqref="P42">
    <cfRule type="expression" dxfId="45" priority="40">
      <formula>IF(#REF!,TRUE)</formula>
    </cfRule>
    <cfRule type="expression" dxfId="44" priority="41">
      <formula>IF($E42,TRUE)</formula>
    </cfRule>
  </conditionalFormatting>
  <conditionalFormatting sqref="N45">
    <cfRule type="beginsWith" dxfId="43" priority="30" operator="beginsWith" text="Partly">
      <formula>LEFT(N45,LEN("Partly"))="Partly"</formula>
    </cfRule>
    <cfRule type="containsText" dxfId="42" priority="31" operator="containsText" text="Missing">
      <formula>NOT(ISERROR(SEARCH("Missing",N45)))</formula>
    </cfRule>
    <cfRule type="beginsWith" dxfId="41" priority="32" operator="beginsWith" text="Not">
      <formula>LEFT(N45,LEN("Not"))="Not"</formula>
    </cfRule>
    <cfRule type="beginsWith" dxfId="40" priority="33" operator="beginsWith" text="Compliant">
      <formula>LEFT(N45,LEN("Compliant"))="Compliant"</formula>
    </cfRule>
    <cfRule type="containsText" dxfId="39" priority="34" operator="containsText" text="Equivalent">
      <formula>NOT(ISERROR(SEARCH("Equivalent",N45)))</formula>
    </cfRule>
  </conditionalFormatting>
  <conditionalFormatting sqref="N42">
    <cfRule type="containsText" dxfId="38" priority="42" operator="containsText" text="Not Compliant">
      <formula>NOT(ISERROR(SEARCH("Not Compliant",N42)))</formula>
    </cfRule>
    <cfRule type="expression" dxfId="37" priority="43">
      <formula>IF(AND($E42=TRUE,$I42="",$N42="Compliant"),TRUE,FALSE)</formula>
    </cfRule>
    <cfRule type="expression" dxfId="36" priority="44">
      <formula>IF(AND($E42=TRUE,$I42&lt;&gt;"",$N42="Compliant"),TRUE,FALSE)</formula>
    </cfRule>
    <cfRule type="expression" dxfId="35" priority="45">
      <formula>IF($N42&lt;&gt;"",TRUE,FALSE)</formula>
    </cfRule>
    <cfRule type="expression" dxfId="34" priority="46">
      <formula>IF(AND($E42=FALSE,$N42&lt;&gt;""),TRUE,FALSE)</formula>
    </cfRule>
    <cfRule type="expression" dxfId="33" priority="47">
      <formula>IF(AND($I42&lt;&gt;"",$N42&lt;&gt;""),TRUE,FALSE)</formula>
    </cfRule>
  </conditionalFormatting>
  <conditionalFormatting sqref="B15">
    <cfRule type="expression" dxfId="32" priority="29">
      <formula>IF($E15=TRUE,TRUE,FALSE)</formula>
    </cfRule>
  </conditionalFormatting>
  <conditionalFormatting sqref="B13">
    <cfRule type="expression" dxfId="31" priority="28">
      <formula>IF($E13=TRUE,TRUE,FALSE)</formula>
    </cfRule>
  </conditionalFormatting>
  <conditionalFormatting sqref="B14">
    <cfRule type="expression" dxfId="30" priority="27">
      <formula>IF($E14=TRUE,TRUE,FALSE)</formula>
    </cfRule>
  </conditionalFormatting>
  <conditionalFormatting sqref="B16">
    <cfRule type="expression" dxfId="29" priority="26">
      <formula>IF($E16=TRUE,TRUE,FALSE)</formula>
    </cfRule>
  </conditionalFormatting>
  <conditionalFormatting sqref="D13:D16">
    <cfRule type="expression" dxfId="28" priority="25">
      <formula>IF($E13,TRUE)</formula>
    </cfRule>
  </conditionalFormatting>
  <conditionalFormatting sqref="V36:V38">
    <cfRule type="expression" dxfId="27" priority="24">
      <formula>IF($E36,TRUE)</formula>
    </cfRule>
  </conditionalFormatting>
  <conditionalFormatting sqref="V39">
    <cfRule type="expression" dxfId="26" priority="23">
      <formula>IF($E39,TRUE)</formula>
    </cfRule>
  </conditionalFormatting>
  <conditionalFormatting sqref="V42">
    <cfRule type="expression" dxfId="25" priority="22">
      <formula>IF($E42,TRUE)</formula>
    </cfRule>
  </conditionalFormatting>
  <conditionalFormatting sqref="O36:O38">
    <cfRule type="expression" dxfId="24" priority="21">
      <formula>IF($E36,TRUE)</formula>
    </cfRule>
  </conditionalFormatting>
  <conditionalFormatting sqref="O39">
    <cfRule type="expression" dxfId="23" priority="20">
      <formula>IF($E39,TRUE)</formula>
    </cfRule>
  </conditionalFormatting>
  <conditionalFormatting sqref="O42">
    <cfRule type="expression" dxfId="22" priority="19">
      <formula>IF($E42,TRUE)</formula>
    </cfRule>
  </conditionalFormatting>
  <conditionalFormatting sqref="P26">
    <cfRule type="expression" dxfId="21" priority="10">
      <formula>IF($Q26="Compliant",TRUE)</formula>
    </cfRule>
    <cfRule type="expression" dxfId="20" priority="11">
      <formula>IF($Q26="FE with work-a-round",TRUE)</formula>
    </cfRule>
    <cfRule type="expression" dxfId="19" priority="12">
      <formula>IF($Q26="Functionally Equivalent",TRUE)</formula>
    </cfRule>
    <cfRule type="expression" dxfId="18" priority="13">
      <formula>IF($Q26="Likely to become compliant",TRUE)</formula>
    </cfRule>
    <cfRule type="expression" dxfId="17" priority="14">
      <formula>IF($Q26="Partly Compliant",TRUE)</formula>
    </cfRule>
    <cfRule type="expression" dxfId="16" priority="15">
      <formula>IF($Q26="Unknown/Missing",TRUE)</formula>
    </cfRule>
    <cfRule type="expression" dxfId="15" priority="16">
      <formula>IF($Q26="Not Required/Applicable",TRUE)</formula>
    </cfRule>
    <cfRule type="expression" dxfId="14" priority="17">
      <formula>IF($Q26="Not Compliant",TRUE)</formula>
    </cfRule>
    <cfRule type="expression" dxfId="13" priority="18">
      <formula>IF($Q26=" ",TRUE)</formula>
    </cfRule>
  </conditionalFormatting>
  <conditionalFormatting sqref="P26">
    <cfRule type="expression" dxfId="12" priority="1">
      <formula>IF($Q26="Compliant",TRUE)</formula>
    </cfRule>
    <cfRule type="expression" dxfId="11" priority="2">
      <formula>IF($Q26="FE with work-a-round",TRUE)</formula>
    </cfRule>
    <cfRule type="expression" dxfId="10" priority="3">
      <formula>IF($Q26="Functionally Equivalent",TRUE)</formula>
    </cfRule>
    <cfRule type="expression" dxfId="9" priority="4">
      <formula>IF($Q26="Likely to become compliant",TRUE)</formula>
    </cfRule>
    <cfRule type="expression" dxfId="8" priority="5">
      <formula>IF($Q26="Partly Compliant",TRUE)</formula>
    </cfRule>
    <cfRule type="expression" dxfId="7" priority="6">
      <formula>IF($Q26="Unknown/Missing",TRUE)</formula>
    </cfRule>
    <cfRule type="expression" dxfId="6" priority="7">
      <formula>IF($Q26="Not Required/Applicable",TRUE)</formula>
    </cfRule>
    <cfRule type="expression" dxfId="5" priority="8">
      <formula>IF($Q26="Not Compliant",TRUE)</formula>
    </cfRule>
    <cfRule type="expression" dxfId="4" priority="9">
      <formula>IF($Q26=" ",TRUE)</formula>
    </cfRule>
  </conditionalFormatting>
  <dataValidations count="1">
    <dataValidation type="list" allowBlank="1" showInputMessage="1" showErrorMessage="1" sqref="N25 N36 N45">
      <formula1>Initial_Compliance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Dropdowns!$C$16:$C$19</xm:f>
          </x14:formula1>
          <xm:sqref>U20 U24</xm:sqref>
        </x14:dataValidation>
        <x14:dataValidation type="list" allowBlank="1" showInputMessage="1" showErrorMessage="1">
          <x14:formula1>
            <xm:f>Dropdowns!$F$9:$F$12</xm:f>
          </x14:formula1>
          <xm:sqref>N20 N33 N38:N39 N44 N42</xm:sqref>
        </x14:dataValidation>
        <x14:dataValidation type="list" allowBlank="1" showInputMessage="1" showErrorMessage="1">
          <x14:formula1>
            <xm:f>Dropdowns!$C$11:$C$13</xm:f>
          </x14:formula1>
          <xm:sqref>N9 U15:U16 U9 N15:N16</xm:sqref>
        </x14:dataValidation>
        <x14:dataValidation type="list" allowBlank="1" showInputMessage="1" showErrorMessage="1">
          <x14:formula1>
            <xm:f>Dropdowns!$G$11:$G$16</xm:f>
          </x14:formula1>
          <xm:sqref>U13:U14 U17 U25 U33:U34 U36 U38:U39 U42 U44</xm:sqref>
        </x14:dataValidation>
        <x14:dataValidation type="list" allowBlank="1" showInputMessage="1" showErrorMessage="1">
          <x14:formula1>
            <xm:f>Dropdowns!$D$16:$D$23</xm:f>
          </x14:formula1>
          <xm:sqref>D26:D29</xm:sqref>
        </x14:dataValidation>
        <x14:dataValidation type="list" allowBlank="1" showInputMessage="1" showErrorMessage="1">
          <x14:formula1>
            <xm:f>Dropdowns!$F$9:$F$13</xm:f>
          </x14:formula1>
          <xm:sqref>N34</xm:sqref>
        </x14:dataValidation>
        <x14:dataValidation type="list" allowBlank="1" showInputMessage="1" showErrorMessage="1">
          <x14:formula1>
            <xm:f>Dropdowns!$E$11:$E$15</xm:f>
          </x14:formula1>
          <xm:sqref>P26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37"/>
  <sheetViews>
    <sheetView workbookViewId="0">
      <selection activeCell="D17" sqref="D17"/>
    </sheetView>
  </sheetViews>
  <sheetFormatPr defaultColWidth="8.796875" defaultRowHeight="13" x14ac:dyDescent="0.3"/>
  <cols>
    <col min="1" max="3" width="35.3984375" style="1" customWidth="1"/>
    <col min="4" max="4" width="26.296875" style="1" customWidth="1"/>
    <col min="5" max="5" width="27.796875" style="1" customWidth="1"/>
    <col min="6" max="6" width="26.69921875" style="1" customWidth="1"/>
    <col min="7" max="7" width="30.296875" style="1" customWidth="1"/>
    <col min="8" max="16384" width="8.796875" style="1"/>
  </cols>
  <sheetData>
    <row r="1" spans="1:7" ht="29" x14ac:dyDescent="0.3">
      <c r="A1" s="3" t="s">
        <v>8</v>
      </c>
      <c r="B1" s="3" t="s">
        <v>23</v>
      </c>
      <c r="C1" s="3" t="s">
        <v>389</v>
      </c>
      <c r="D1" s="3" t="s">
        <v>24</v>
      </c>
      <c r="E1" s="3" t="s">
        <v>189</v>
      </c>
      <c r="F1" s="3" t="s">
        <v>21</v>
      </c>
      <c r="G1" s="3" t="s">
        <v>22</v>
      </c>
    </row>
    <row r="2" spans="1:7" x14ac:dyDescent="0.3">
      <c r="F2" s="21" t="s">
        <v>3</v>
      </c>
    </row>
    <row r="3" spans="1:7" x14ac:dyDescent="0.3">
      <c r="A3" s="21" t="s">
        <v>7</v>
      </c>
      <c r="B3" s="21" t="s">
        <v>15</v>
      </c>
      <c r="C3" s="21" t="s">
        <v>13</v>
      </c>
      <c r="D3" s="21" t="s">
        <v>13</v>
      </c>
      <c r="E3" s="21" t="s">
        <v>13</v>
      </c>
      <c r="F3" s="707" t="s">
        <v>13</v>
      </c>
      <c r="G3" s="21" t="s">
        <v>13</v>
      </c>
    </row>
    <row r="4" spans="1:7" x14ac:dyDescent="0.3">
      <c r="A4" s="21" t="s">
        <v>18</v>
      </c>
      <c r="B4" s="21" t="s">
        <v>16</v>
      </c>
      <c r="C4" s="21" t="s">
        <v>14</v>
      </c>
      <c r="D4" s="21" t="s">
        <v>190</v>
      </c>
      <c r="E4" s="21" t="s">
        <v>462</v>
      </c>
      <c r="F4" s="708" t="s">
        <v>17</v>
      </c>
      <c r="G4" s="21" t="s">
        <v>462</v>
      </c>
    </row>
    <row r="5" spans="1:7" ht="14.5" customHeight="1" x14ac:dyDescent="0.3">
      <c r="A5" s="21" t="s">
        <v>19</v>
      </c>
      <c r="C5" s="21" t="s">
        <v>390</v>
      </c>
      <c r="D5" s="21" t="s">
        <v>462</v>
      </c>
      <c r="E5" s="21" t="s">
        <v>463</v>
      </c>
      <c r="F5" s="712" t="s">
        <v>462</v>
      </c>
      <c r="G5" s="21" t="s">
        <v>463</v>
      </c>
    </row>
    <row r="6" spans="1:7" ht="28" customHeight="1" x14ac:dyDescent="0.3">
      <c r="A6" s="21" t="s">
        <v>20</v>
      </c>
      <c r="D6" s="21" t="s">
        <v>463</v>
      </c>
      <c r="E6" s="21"/>
      <c r="F6" s="712" t="s">
        <v>1733</v>
      </c>
      <c r="G6" s="21" t="s">
        <v>14</v>
      </c>
    </row>
    <row r="7" spans="1:7" x14ac:dyDescent="0.3">
      <c r="B7" s="21" t="s">
        <v>1188</v>
      </c>
      <c r="D7" s="21" t="s">
        <v>395</v>
      </c>
      <c r="F7" s="710" t="s">
        <v>14</v>
      </c>
    </row>
    <row r="8" spans="1:7" x14ac:dyDescent="0.3">
      <c r="B8" s="21" t="s">
        <v>1189</v>
      </c>
      <c r="D8" s="21" t="s">
        <v>14</v>
      </c>
      <c r="E8" s="21" t="s">
        <v>13</v>
      </c>
      <c r="F8" s="708" t="s">
        <v>1216</v>
      </c>
      <c r="G8" s="21" t="s">
        <v>13</v>
      </c>
    </row>
    <row r="9" spans="1:7" x14ac:dyDescent="0.3">
      <c r="E9" s="21" t="s">
        <v>397</v>
      </c>
      <c r="G9" s="21" t="s">
        <v>14</v>
      </c>
    </row>
    <row r="10" spans="1:7" ht="26" x14ac:dyDescent="0.3">
      <c r="C10" s="1" t="s">
        <v>391</v>
      </c>
      <c r="D10" s="1" t="s">
        <v>394</v>
      </c>
      <c r="F10" s="21" t="s">
        <v>13</v>
      </c>
    </row>
    <row r="11" spans="1:7" x14ac:dyDescent="0.3">
      <c r="E11" s="21" t="s">
        <v>3</v>
      </c>
      <c r="F11" s="21" t="s">
        <v>17</v>
      </c>
      <c r="G11" s="21" t="s">
        <v>3</v>
      </c>
    </row>
    <row r="12" spans="1:7" x14ac:dyDescent="0.3">
      <c r="C12" s="1" t="s">
        <v>392</v>
      </c>
      <c r="D12" s="1" t="s">
        <v>13</v>
      </c>
      <c r="E12" s="707" t="s">
        <v>13</v>
      </c>
      <c r="F12" s="21" t="s">
        <v>14</v>
      </c>
      <c r="G12" s="707" t="s">
        <v>13</v>
      </c>
    </row>
    <row r="13" spans="1:7" x14ac:dyDescent="0.3">
      <c r="C13" s="1" t="s">
        <v>393</v>
      </c>
      <c r="D13" s="1" t="s">
        <v>14</v>
      </c>
      <c r="E13" s="712" t="s">
        <v>462</v>
      </c>
      <c r="F13" s="21" t="s">
        <v>393</v>
      </c>
      <c r="G13" s="712" t="s">
        <v>462</v>
      </c>
    </row>
    <row r="14" spans="1:7" x14ac:dyDescent="0.3">
      <c r="E14" s="712" t="s">
        <v>1733</v>
      </c>
      <c r="G14" s="712" t="s">
        <v>1733</v>
      </c>
    </row>
    <row r="15" spans="1:7" x14ac:dyDescent="0.3">
      <c r="E15" s="708" t="s">
        <v>1216</v>
      </c>
      <c r="G15" s="710" t="s">
        <v>14</v>
      </c>
    </row>
    <row r="16" spans="1:7" x14ac:dyDescent="0.3">
      <c r="D16" s="21" t="s">
        <v>3</v>
      </c>
      <c r="G16" s="712" t="s">
        <v>1216</v>
      </c>
    </row>
    <row r="17" spans="3:7" x14ac:dyDescent="0.3">
      <c r="C17" s="21" t="s">
        <v>13</v>
      </c>
      <c r="D17" s="707" t="s">
        <v>13</v>
      </c>
    </row>
    <row r="18" spans="3:7" x14ac:dyDescent="0.3">
      <c r="C18" s="21" t="s">
        <v>14</v>
      </c>
      <c r="D18" s="708" t="s">
        <v>190</v>
      </c>
    </row>
    <row r="19" spans="3:7" x14ac:dyDescent="0.3">
      <c r="C19" s="21" t="s">
        <v>397</v>
      </c>
      <c r="D19" s="712" t="s">
        <v>462</v>
      </c>
      <c r="G19" s="21" t="s">
        <v>13</v>
      </c>
    </row>
    <row r="20" spans="3:7" x14ac:dyDescent="0.3">
      <c r="D20" s="712" t="s">
        <v>1733</v>
      </c>
      <c r="G20" s="21" t="s">
        <v>14</v>
      </c>
    </row>
    <row r="21" spans="3:7" x14ac:dyDescent="0.3">
      <c r="D21" s="708" t="s">
        <v>1734</v>
      </c>
      <c r="G21" s="21" t="s">
        <v>397</v>
      </c>
    </row>
    <row r="22" spans="3:7" x14ac:dyDescent="0.3">
      <c r="D22" s="709" t="s">
        <v>14</v>
      </c>
    </row>
    <row r="23" spans="3:7" x14ac:dyDescent="0.3">
      <c r="D23" s="708" t="s">
        <v>1216</v>
      </c>
    </row>
    <row r="26" spans="3:7" x14ac:dyDescent="0.3">
      <c r="D26" s="21" t="s">
        <v>13</v>
      </c>
    </row>
    <row r="27" spans="3:7" x14ac:dyDescent="0.3">
      <c r="D27" s="21" t="s">
        <v>190</v>
      </c>
    </row>
    <row r="28" spans="3:7" x14ac:dyDescent="0.3">
      <c r="D28" s="21" t="s">
        <v>395</v>
      </c>
    </row>
    <row r="29" spans="3:7" x14ac:dyDescent="0.3">
      <c r="D29" s="21" t="s">
        <v>14</v>
      </c>
    </row>
    <row r="30" spans="3:7" x14ac:dyDescent="0.3">
      <c r="D30" s="21" t="s">
        <v>397</v>
      </c>
    </row>
    <row r="33" spans="4:4" x14ac:dyDescent="0.3">
      <c r="D33" s="21" t="s">
        <v>462</v>
      </c>
    </row>
    <row r="34" spans="4:4" ht="26" x14ac:dyDescent="0.3">
      <c r="D34" s="21" t="s">
        <v>463</v>
      </c>
    </row>
    <row r="35" spans="4:4" x14ac:dyDescent="0.3">
      <c r="D35" s="21" t="s">
        <v>395</v>
      </c>
    </row>
    <row r="36" spans="4:4" x14ac:dyDescent="0.3">
      <c r="D36" s="21" t="s">
        <v>464</v>
      </c>
    </row>
    <row r="37" spans="4:4" x14ac:dyDescent="0.3">
      <c r="D37" s="21" t="s">
        <v>393</v>
      </c>
    </row>
  </sheetData>
  <phoneticPr fontId="34" type="noConversion"/>
  <dataValidations count="1">
    <dataValidation type="list" showInputMessage="1" showErrorMessage="1" sqref="F11">
      <formula1>$F$2:$F$7</formula1>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F158"/>
  <sheetViews>
    <sheetView zoomScale="75" zoomScaleNormal="75" workbookViewId="0">
      <pane xSplit="4" ySplit="5" topLeftCell="I6" activePane="bottomRight" state="frozen"/>
      <selection activeCell="T57" sqref="T57"/>
      <selection pane="topRight" activeCell="T57" sqref="T57"/>
      <selection pane="bottomLeft" activeCell="T57" sqref="T57"/>
      <selection pane="bottomRight" activeCell="I8" sqref="I8"/>
    </sheetView>
  </sheetViews>
  <sheetFormatPr defaultColWidth="8.796875" defaultRowHeight="53.15" customHeight="1" x14ac:dyDescent="0.3"/>
  <cols>
    <col min="1" max="1" width="15.19921875" style="1205" hidden="1" customWidth="1"/>
    <col min="2" max="2" width="61" style="1205" customWidth="1"/>
    <col min="3" max="3" width="56" style="1205" customWidth="1"/>
    <col min="4" max="4" width="32.796875" style="1205" customWidth="1"/>
    <col min="5" max="5" width="12.69921875" style="1205" hidden="1" customWidth="1"/>
    <col min="6" max="6" width="12.19921875" style="1205" hidden="1" customWidth="1"/>
    <col min="7" max="7" width="11.796875" style="1205" hidden="1" customWidth="1"/>
    <col min="8" max="8" width="10.69921875" style="1205" hidden="1" customWidth="1"/>
    <col min="9" max="9" width="66.19921875" style="1205" customWidth="1"/>
    <col min="10" max="10" width="11.796875" style="1205" hidden="1" customWidth="1"/>
    <col min="11" max="11" width="12.19921875" style="1205" hidden="1" customWidth="1"/>
    <col min="12" max="12" width="49.796875" style="1205" customWidth="1"/>
    <col min="13" max="13" width="47.796875" style="1205" customWidth="1"/>
    <col min="14" max="14" width="32.69921875" style="1205" customWidth="1"/>
    <col min="15" max="15" width="10" style="1205" hidden="1" customWidth="1"/>
    <col min="16" max="16" width="49" style="1205" customWidth="1"/>
    <col min="17" max="17" width="33.296875" style="1205" customWidth="1"/>
    <col min="18" max="18" width="10.19921875" style="1205" hidden="1" customWidth="1"/>
    <col min="19" max="19" width="55.296875" style="1205" customWidth="1"/>
    <col min="20" max="21" width="26" style="1205" customWidth="1"/>
    <col min="22" max="22" width="34.296875" style="1205" customWidth="1"/>
    <col min="23" max="23" width="9.296875" style="1205" hidden="1" customWidth="1"/>
    <col min="24" max="24" width="52.69921875" style="1205" customWidth="1"/>
    <col min="25" max="25" width="31.796875" style="1205" customWidth="1"/>
    <col min="26" max="26" width="32.69921875" style="1205" customWidth="1"/>
    <col min="27" max="16384" width="8.796875" style="1205"/>
  </cols>
  <sheetData>
    <row r="1" spans="1:28" s="3908" customFormat="1" ht="73.5" customHeight="1" x14ac:dyDescent="0.3">
      <c r="B1" s="4460"/>
      <c r="C1" s="4460"/>
      <c r="D1" s="4460"/>
    </row>
    <row r="2" spans="1:28" s="3908" customFormat="1" ht="75.75" customHeight="1" x14ac:dyDescent="0.3">
      <c r="B2" s="4461" t="s">
        <v>2281</v>
      </c>
      <c r="C2" s="4462"/>
      <c r="D2" s="4462"/>
      <c r="E2" s="3909"/>
      <c r="F2" s="3909"/>
      <c r="G2" s="3909"/>
      <c r="H2" s="3909"/>
      <c r="I2" s="3909"/>
      <c r="J2" s="3909"/>
    </row>
    <row r="3" spans="1:28" s="3908" customFormat="1" ht="18.75" customHeight="1" x14ac:dyDescent="0.3">
      <c r="B3" s="4460"/>
      <c r="C3" s="4460"/>
      <c r="D3" s="4460"/>
    </row>
    <row r="4" spans="1:28" s="3908" customFormat="1" ht="70.5" customHeight="1" thickBot="1" x14ac:dyDescent="0.35">
      <c r="A4" s="4463" t="s">
        <v>1876</v>
      </c>
      <c r="B4" s="4463"/>
      <c r="C4" s="4463"/>
      <c r="D4" s="4463"/>
      <c r="E4" s="3910"/>
      <c r="F4" s="3911"/>
      <c r="G4" s="3911"/>
      <c r="H4" s="3911"/>
      <c r="I4" s="3911"/>
      <c r="J4" s="3912"/>
    </row>
    <row r="5" spans="1:28" s="3926" customFormat="1" ht="45.65" customHeight="1" thickTop="1" thickBot="1" x14ac:dyDescent="0.35">
      <c r="A5" s="3913" t="s">
        <v>1159</v>
      </c>
      <c r="B5" s="3914" t="s">
        <v>1872</v>
      </c>
      <c r="C5" s="3914" t="s">
        <v>1873</v>
      </c>
      <c r="D5" s="3914" t="s">
        <v>1237</v>
      </c>
      <c r="E5" s="3914"/>
      <c r="F5" s="3914"/>
      <c r="G5" s="3914"/>
      <c r="H5" s="3914"/>
      <c r="I5" s="3914" t="s">
        <v>458</v>
      </c>
      <c r="J5" s="3915"/>
      <c r="K5" s="3915"/>
      <c r="L5" s="3916" t="s">
        <v>408</v>
      </c>
      <c r="M5" s="3915" t="s">
        <v>466</v>
      </c>
      <c r="N5" s="3915" t="s">
        <v>465</v>
      </c>
      <c r="O5" s="3915"/>
      <c r="P5" s="3914" t="s">
        <v>1219</v>
      </c>
      <c r="Q5" s="3914" t="s">
        <v>1743</v>
      </c>
      <c r="R5" s="3917"/>
      <c r="S5" s="3918" t="s">
        <v>396</v>
      </c>
      <c r="T5" s="3919" t="s">
        <v>409</v>
      </c>
      <c r="U5" s="3920" t="s">
        <v>466</v>
      </c>
      <c r="V5" s="3921" t="s">
        <v>1801</v>
      </c>
      <c r="W5" s="3922"/>
      <c r="X5" s="3923" t="s">
        <v>10</v>
      </c>
      <c r="Y5" s="3924" t="s">
        <v>11</v>
      </c>
      <c r="Z5" s="3925" t="s">
        <v>12</v>
      </c>
    </row>
    <row r="6" spans="1:28" s="3939" customFormat="1" ht="19" thickTop="1" x14ac:dyDescent="0.3">
      <c r="A6" s="4464" t="s">
        <v>1008</v>
      </c>
      <c r="B6" s="4465"/>
      <c r="C6" s="4465"/>
      <c r="D6" s="3927"/>
      <c r="E6" s="3927"/>
      <c r="F6" s="3927"/>
      <c r="G6" s="3928"/>
      <c r="H6" s="3927"/>
      <c r="I6" s="3929"/>
      <c r="J6" s="3930"/>
      <c r="K6" s="3931"/>
      <c r="L6" s="3932"/>
      <c r="M6" s="3818"/>
      <c r="N6" s="3818"/>
      <c r="O6" s="3818"/>
      <c r="P6" s="3933"/>
      <c r="Q6" s="3934"/>
      <c r="R6" s="3932"/>
      <c r="S6" s="3935"/>
      <c r="T6" s="3935"/>
      <c r="U6" s="3935"/>
      <c r="V6" s="3936"/>
      <c r="W6" s="3937"/>
      <c r="X6" s="3935"/>
      <c r="Y6" s="3938"/>
      <c r="Z6" s="3938"/>
    </row>
    <row r="7" spans="1:28" s="3939" customFormat="1" ht="19" thickBot="1" x14ac:dyDescent="0.35">
      <c r="A7" s="3940"/>
      <c r="B7" s="3941"/>
      <c r="C7" s="3942"/>
      <c r="D7" s="3943"/>
      <c r="E7" s="3943"/>
      <c r="F7" s="3943"/>
      <c r="G7" s="3944"/>
      <c r="H7" s="3943"/>
      <c r="I7" s="3943"/>
      <c r="J7" s="3944"/>
      <c r="K7" s="3943"/>
      <c r="L7" s="3943"/>
      <c r="M7" s="3945"/>
      <c r="N7" s="3945"/>
      <c r="O7" s="3945"/>
      <c r="P7" s="3943"/>
      <c r="Q7" s="3946"/>
      <c r="R7" s="3946"/>
      <c r="S7" s="3946"/>
      <c r="T7" s="3947"/>
      <c r="U7" s="3948"/>
      <c r="V7" s="3943"/>
      <c r="W7" s="3949"/>
      <c r="X7" s="3949"/>
      <c r="Y7" s="3950"/>
      <c r="Z7" s="3951"/>
      <c r="AA7" s="3952"/>
    </row>
    <row r="8" spans="1:28" s="1206" customFormat="1" ht="30" thickTop="1" thickBot="1" x14ac:dyDescent="0.35">
      <c r="A8" s="1189"/>
      <c r="B8" s="2479" t="s">
        <v>824</v>
      </c>
      <c r="C8" s="2480" t="s">
        <v>475</v>
      </c>
      <c r="D8" s="2481" t="s">
        <v>1233</v>
      </c>
      <c r="E8" s="164" t="b">
        <f>E15</f>
        <v>0</v>
      </c>
      <c r="F8" s="164"/>
      <c r="G8" s="345"/>
      <c r="H8" s="1208"/>
      <c r="I8" s="2488"/>
      <c r="J8" s="2489"/>
      <c r="K8" s="2488"/>
      <c r="L8" s="2488"/>
      <c r="M8" s="2490"/>
      <c r="N8" s="2136" t="s">
        <v>1233</v>
      </c>
      <c r="O8" s="585" t="b">
        <f>O15</f>
        <v>0</v>
      </c>
      <c r="P8" s="2499"/>
      <c r="Q8" s="1210" t="s">
        <v>1233</v>
      </c>
      <c r="R8" s="729" t="b">
        <f>R15</f>
        <v>0</v>
      </c>
      <c r="S8" s="406"/>
      <c r="T8" s="406"/>
      <c r="U8" s="1211"/>
      <c r="V8" s="1210" t="s">
        <v>1233</v>
      </c>
      <c r="W8" s="582" t="b">
        <f>W15</f>
        <v>0</v>
      </c>
      <c r="X8" s="808"/>
      <c r="Y8" s="1212"/>
      <c r="Z8" s="1213"/>
      <c r="AA8" s="1214"/>
    </row>
    <row r="9" spans="1:28" s="1206" customFormat="1" ht="30" thickTop="1" thickBot="1" x14ac:dyDescent="0.35">
      <c r="A9" s="1189"/>
      <c r="B9" s="2482" t="s">
        <v>825</v>
      </c>
      <c r="C9" s="2483" t="s">
        <v>474</v>
      </c>
      <c r="D9" s="2444" t="s">
        <v>1233</v>
      </c>
      <c r="E9" s="165" t="b">
        <f>E22</f>
        <v>0</v>
      </c>
      <c r="F9" s="165"/>
      <c r="G9" s="347"/>
      <c r="H9" s="2487"/>
      <c r="I9" s="2492"/>
      <c r="J9" s="1289"/>
      <c r="K9" s="1290"/>
      <c r="L9" s="1290"/>
      <c r="M9" s="2493"/>
      <c r="N9" s="580" t="s">
        <v>1233</v>
      </c>
      <c r="O9" s="339" t="b">
        <f>O22</f>
        <v>0</v>
      </c>
      <c r="P9" s="2445"/>
      <c r="Q9" s="1217" t="s">
        <v>1233</v>
      </c>
      <c r="R9" s="730" t="b">
        <f>R22</f>
        <v>0</v>
      </c>
      <c r="S9" s="471"/>
      <c r="T9" s="471"/>
      <c r="U9" s="1218"/>
      <c r="V9" s="1217" t="s">
        <v>1233</v>
      </c>
      <c r="W9" s="342" t="b">
        <f>W22</f>
        <v>0</v>
      </c>
      <c r="X9" s="162"/>
      <c r="Y9" s="1219"/>
      <c r="Z9" s="1220"/>
      <c r="AA9" s="1214"/>
    </row>
    <row r="10" spans="1:28" s="1206" customFormat="1" ht="30" thickTop="1" thickBot="1" x14ac:dyDescent="0.35">
      <c r="A10" s="1189"/>
      <c r="B10" s="2486" t="s">
        <v>826</v>
      </c>
      <c r="C10" s="2483" t="s">
        <v>822</v>
      </c>
      <c r="D10" s="2444" t="s">
        <v>1233</v>
      </c>
      <c r="E10" s="165" t="b">
        <f>E53</f>
        <v>0</v>
      </c>
      <c r="F10" s="349"/>
      <c r="G10" s="347"/>
      <c r="H10" s="349"/>
      <c r="I10" s="2494"/>
      <c r="J10" s="2495"/>
      <c r="K10" s="2494"/>
      <c r="L10" s="2494"/>
      <c r="M10" s="2496"/>
      <c r="N10" s="2137" t="s">
        <v>1233</v>
      </c>
      <c r="O10" s="645" t="b">
        <f>O53</f>
        <v>0</v>
      </c>
      <c r="P10" s="1437"/>
      <c r="Q10" s="1223" t="s">
        <v>1233</v>
      </c>
      <c r="R10" s="730" t="b">
        <f>R53</f>
        <v>0</v>
      </c>
      <c r="S10" s="471"/>
      <c r="T10" s="471"/>
      <c r="U10" s="1218"/>
      <c r="V10" s="1217" t="s">
        <v>1233</v>
      </c>
      <c r="W10" s="342" t="b">
        <f>W53</f>
        <v>0</v>
      </c>
      <c r="X10" s="162"/>
      <c r="Y10" s="1221"/>
      <c r="Z10" s="1222"/>
      <c r="AA10" s="1207"/>
    </row>
    <row r="11" spans="1:28" s="1206" customFormat="1" ht="30" thickTop="1" thickBot="1" x14ac:dyDescent="0.35">
      <c r="A11" s="1189"/>
      <c r="B11" s="2484" t="s">
        <v>827</v>
      </c>
      <c r="C11" s="2485" t="s">
        <v>823</v>
      </c>
      <c r="D11" s="2455" t="s">
        <v>1233</v>
      </c>
      <c r="E11" s="168" t="b">
        <f>E77</f>
        <v>0</v>
      </c>
      <c r="F11" s="351"/>
      <c r="G11" s="352"/>
      <c r="H11" s="351"/>
      <c r="I11" s="2494"/>
      <c r="J11" s="2495"/>
      <c r="K11" s="2494"/>
      <c r="L11" s="2494"/>
      <c r="M11" s="2496"/>
      <c r="N11" s="2137" t="s">
        <v>1233</v>
      </c>
      <c r="O11" s="492" t="b">
        <f>O77</f>
        <v>0</v>
      </c>
      <c r="P11" s="2497"/>
      <c r="Q11" s="2498" t="s">
        <v>1233</v>
      </c>
      <c r="R11" s="731" t="b">
        <f>R77</f>
        <v>0</v>
      </c>
      <c r="S11" s="1224"/>
      <c r="T11" s="1224"/>
      <c r="U11" s="1225"/>
      <c r="V11" s="1223" t="s">
        <v>1233</v>
      </c>
      <c r="W11" s="583" t="b">
        <f>W77</f>
        <v>0</v>
      </c>
      <c r="X11" s="518"/>
      <c r="Y11" s="1226"/>
      <c r="Z11" s="1227"/>
      <c r="AA11" s="1207"/>
    </row>
    <row r="12" spans="1:28" s="3939" customFormat="1" ht="16" thickTop="1" x14ac:dyDescent="0.3">
      <c r="A12" s="3953"/>
      <c r="B12" s="3954"/>
      <c r="C12" s="3954"/>
      <c r="D12" s="3945"/>
      <c r="E12" s="3954"/>
      <c r="F12" s="3953"/>
      <c r="G12" s="3955"/>
      <c r="H12" s="3953"/>
      <c r="I12" s="3953"/>
      <c r="J12" s="3955"/>
      <c r="K12" s="3953"/>
      <c r="L12" s="3953"/>
      <c r="M12" s="3953"/>
      <c r="N12" s="3953"/>
      <c r="O12" s="3953"/>
      <c r="P12" s="3953"/>
      <c r="Q12" s="3945"/>
      <c r="R12" s="3945"/>
      <c r="S12" s="3945"/>
      <c r="T12" s="3945"/>
      <c r="U12" s="3945"/>
      <c r="V12" s="3945"/>
      <c r="W12" s="3945"/>
      <c r="X12" s="3945"/>
      <c r="Y12" s="3945"/>
      <c r="Z12" s="3945"/>
      <c r="AA12" s="3945"/>
    </row>
    <row r="13" spans="1:28" s="3939" customFormat="1" ht="18.5" x14ac:dyDescent="0.3">
      <c r="A13" s="4423" t="s">
        <v>1135</v>
      </c>
      <c r="B13" s="4424"/>
      <c r="C13" s="4424"/>
      <c r="D13" s="4424"/>
      <c r="E13" s="4424"/>
      <c r="F13" s="4424"/>
      <c r="G13" s="4424"/>
      <c r="H13" s="4424"/>
      <c r="I13" s="4424"/>
      <c r="J13" s="4424"/>
      <c r="K13" s="4424"/>
      <c r="L13" s="4424"/>
      <c r="M13" s="4424"/>
      <c r="N13" s="4424"/>
      <c r="O13" s="3956"/>
      <c r="P13" s="3957"/>
      <c r="Q13" s="3957"/>
      <c r="R13" s="3957"/>
      <c r="S13" s="3958"/>
      <c r="T13" s="3959"/>
      <c r="U13" s="3959"/>
      <c r="V13" s="3960"/>
      <c r="W13" s="3961"/>
      <c r="X13" s="3961"/>
      <c r="Y13" s="3962"/>
      <c r="Z13" s="3963"/>
    </row>
    <row r="14" spans="1:28" s="3939" customFormat="1" ht="16" thickBot="1" x14ac:dyDescent="0.35">
      <c r="B14" s="3964"/>
      <c r="C14" s="3964"/>
      <c r="D14" s="3965"/>
      <c r="E14" s="3965"/>
      <c r="F14" s="3965"/>
      <c r="G14" s="3966"/>
      <c r="H14" s="3965"/>
      <c r="I14" s="3965"/>
      <c r="J14" s="3966"/>
      <c r="K14" s="3965"/>
      <c r="L14" s="3965"/>
      <c r="M14" s="3965"/>
      <c r="N14" s="3965"/>
      <c r="O14" s="3965"/>
      <c r="P14" s="3965"/>
      <c r="Q14" s="3965"/>
      <c r="R14" s="3965"/>
      <c r="S14" s="3965"/>
      <c r="T14" s="3965"/>
      <c r="U14" s="3965"/>
      <c r="Y14" s="3965"/>
      <c r="Z14" s="3965"/>
    </row>
    <row r="15" spans="1:28" s="1231" customFormat="1" ht="44.5" thickTop="1" thickBot="1" x14ac:dyDescent="0.35">
      <c r="A15" s="169" t="s">
        <v>191</v>
      </c>
      <c r="B15" s="1190" t="s">
        <v>990</v>
      </c>
      <c r="C15" s="2503" t="s">
        <v>1784</v>
      </c>
      <c r="D15" s="2504" t="s">
        <v>565</v>
      </c>
      <c r="E15" s="874" t="b">
        <f>IF(AND(E16=TRUE,E17=TRUE,E18=TRUE,E18=TRUE),TRUE)</f>
        <v>0</v>
      </c>
      <c r="F15" s="802">
        <f>COUNTIFS(E16:E18,"TRUE")</f>
        <v>0</v>
      </c>
      <c r="G15" s="802">
        <f>COUNTIFS(E16:E18,TRUE,G16:G18,"Not Blank")</f>
        <v>0</v>
      </c>
      <c r="H15" s="804">
        <f>COUNTIFS(E16:E18,FALSE,G16:G18,"Not Blank")</f>
        <v>0</v>
      </c>
      <c r="I15" s="2505" t="str">
        <f xml:space="preserve">
IF(F15&gt;3,"Too Many Entries - Check Red Lines",
IF(G15&lt;F15,"Valid Entry required below - Check Amber Line/s",
IF(AND(E15=FALSE,G15=0,H15=0),"Nothing Entered below Yet",
IF(G15&lt;F15,"Valid Entry required below - Check Amber Line/s",
IF(AND(G15=0,H15&gt;0),"**Non-Valid Entry/ies below - Check Yellow Line/s",
IF(AND(G15&gt;0,H15&gt;0),"**Valid and Non-Valid Entries made below - Check Yellow Line/s",
IF(AND(E15=FALSE,F15&lt;3),"Not all requirements addressed below - Check Pink Line/s",
IF(AND(E15=FALSE,G15&lt;3,G15&gt;0,H15=0),"More entries to come",
IF(AND(E15,TRUE,G15=3,H15=0),"Valid Entries made below"
)))))))))</f>
        <v>Nothing Entered below Yet</v>
      </c>
      <c r="J15" s="2506">
        <f>COUNTIFS(E16:E18,TRUE,J16:J18,"Not Blank")</f>
        <v>0</v>
      </c>
      <c r="K15" s="2506">
        <f>COUNTIFS(E16:E21,FALSE,J16:J21,"Not Blank")</f>
        <v>0</v>
      </c>
      <c r="L15" s="2506" t="str">
        <f xml:space="preserve">
IF(J15&gt;3,"Too Many Entries - Check Red Lines",
IF(J15&lt;F15,"Valid Entry required below - Check Amber Line/s",
IF(AND(E15=FALSE,J15=0,K15=0),"Nothing Entered below Yet",
IF(AND(J15=0,K15&gt;0),"**Non-Valid Entry/ies below - Check Yellow Line/s",
IF(AND(J15&gt;0,K15&gt;0),"**Valid and Non-Valid Entries made below - Check Yellow Line/s",
IF(AND(E15=FALSE,J15&lt;3),"Not all requirements addressed below - Check Pink Line/s",
IF(AND(E15=FALSE,J15&lt;3,J15&gt;0,K15=0),"More entries to come",
IF(AND(E15,TRUE,J15=3,K15=0),"Valid Entries made below"
))))))))</f>
        <v>Nothing Entered below Yet</v>
      </c>
      <c r="M15" s="805"/>
      <c r="N15" s="4414" t="s">
        <v>3</v>
      </c>
      <c r="O15" s="4420" t="b">
        <f>IF(OR(N15="Compliant",N15="FE with work-a-round",N15="Functionally Equivalent"),TRUE,FALSE)</f>
        <v>0</v>
      </c>
      <c r="P15" s="861"/>
      <c r="Q15" s="1192" t="s">
        <v>565</v>
      </c>
      <c r="R15" s="814" t="b">
        <f>IF(AND(R16=TRUE,R17=TRUE,R19=TRUE),TRUE,FALSE)</f>
        <v>0</v>
      </c>
      <c r="S15" s="111"/>
      <c r="T15" s="111"/>
      <c r="U15" s="120"/>
      <c r="V15" s="4414" t="s">
        <v>3</v>
      </c>
      <c r="W15" s="4417" t="b">
        <f>IF(OR(V15="Compliant",V15="FE with work-a-round",V15="Functionally Equivalent",V15="Not Required/Applicable"),TRUE,FALSE)</f>
        <v>0</v>
      </c>
      <c r="X15" s="405"/>
      <c r="Y15" s="1228"/>
      <c r="Z15" s="1229"/>
      <c r="AA15" s="1230"/>
      <c r="AB15" s="1230"/>
    </row>
    <row r="16" spans="1:28" s="1206" customFormat="1" ht="131" thickTop="1" x14ac:dyDescent="0.3">
      <c r="A16" s="343">
        <v>9.1</v>
      </c>
      <c r="B16" s="1193"/>
      <c r="C16" s="2500" t="s">
        <v>1181</v>
      </c>
      <c r="D16" s="1635" t="s">
        <v>3</v>
      </c>
      <c r="E16" s="2501" t="b">
        <f>IF(D16="Compliant",TRUE,FALSE)</f>
        <v>0</v>
      </c>
      <c r="F16" s="756"/>
      <c r="G16" s="2491" t="str">
        <f>IF(I16&lt;&gt;"", "Not Blank", "")</f>
        <v/>
      </c>
      <c r="H16" s="2502"/>
      <c r="I16" s="3370"/>
      <c r="J16" s="3371"/>
      <c r="K16" s="3372"/>
      <c r="L16" s="3372"/>
      <c r="M16" s="757"/>
      <c r="N16" s="4415"/>
      <c r="O16" s="4421"/>
      <c r="P16" s="120"/>
      <c r="Q16" s="1143" t="s">
        <v>3</v>
      </c>
      <c r="R16" s="737" t="b">
        <f>IF(OR(Q16="Compliant",Q16="FE with work-a-round",Q16="Functionally Equivalent"),TRUE,FALSE)</f>
        <v>0</v>
      </c>
      <c r="S16" s="44"/>
      <c r="T16" s="44"/>
      <c r="U16" s="122"/>
      <c r="V16" s="4415"/>
      <c r="W16" s="4418"/>
      <c r="X16" s="1232"/>
      <c r="Y16" s="1233"/>
      <c r="Z16" s="1220"/>
    </row>
    <row r="17" spans="1:84" s="1206" customFormat="1" ht="58" x14ac:dyDescent="0.3">
      <c r="A17" s="343"/>
      <c r="B17" s="1193"/>
      <c r="C17" s="1342" t="s">
        <v>1160</v>
      </c>
      <c r="D17" s="445" t="s">
        <v>3</v>
      </c>
      <c r="E17" s="751" t="b">
        <f>IF(D17="Compliant",TRUE,FALSE)</f>
        <v>0</v>
      </c>
      <c r="F17" s="165"/>
      <c r="G17" s="347" t="str">
        <f>IF(I17&lt;&gt;"", "Not Blank", "")</f>
        <v/>
      </c>
      <c r="H17" s="765"/>
      <c r="I17" s="3370"/>
      <c r="J17" s="3371"/>
      <c r="K17" s="3372"/>
      <c r="L17" s="3372"/>
      <c r="M17" s="175"/>
      <c r="N17" s="4415"/>
      <c r="O17" s="4421"/>
      <c r="P17" s="1234"/>
      <c r="Q17" s="847" t="s">
        <v>3</v>
      </c>
      <c r="R17" s="737" t="b">
        <f>IF(OR(Q17="Compliant",Q17="FE with work-a-round",Q17="Functionally Equivalent"),TRUE,FALSE)</f>
        <v>0</v>
      </c>
      <c r="S17" s="1235"/>
      <c r="T17" s="1235"/>
      <c r="U17" s="1222"/>
      <c r="V17" s="4415"/>
      <c r="W17" s="4418"/>
      <c r="X17" s="1232"/>
      <c r="Y17" s="1233"/>
      <c r="Z17" s="1220"/>
    </row>
    <row r="18" spans="1:84" s="1240" customFormat="1" ht="44" thickBot="1" x14ac:dyDescent="0.35">
      <c r="A18" s="343"/>
      <c r="B18" s="1193"/>
      <c r="C18" s="1343" t="s">
        <v>1180</v>
      </c>
      <c r="D18" s="446" t="s">
        <v>3</v>
      </c>
      <c r="E18" s="752" t="b">
        <f>IF(D18="Compliant",TRUE,FALSE)</f>
        <v>0</v>
      </c>
      <c r="F18" s="168"/>
      <c r="G18" s="352" t="str">
        <f>IF(I18&lt;&gt;"", "Not Blank", "")</f>
        <v/>
      </c>
      <c r="H18" s="766"/>
      <c r="I18" s="3373"/>
      <c r="J18" s="3374"/>
      <c r="K18" s="3375"/>
      <c r="L18" s="3375"/>
      <c r="M18" s="177"/>
      <c r="N18" s="4416"/>
      <c r="O18" s="4422"/>
      <c r="P18" s="1227"/>
      <c r="Q18" s="772" t="s">
        <v>3</v>
      </c>
      <c r="R18" s="812" t="b">
        <f>IF(OR(Q18="Compliant",Q18="FE with work-a-round",Q18="Functionally Equivalent"),TRUE,FALSE)</f>
        <v>0</v>
      </c>
      <c r="S18" s="1236"/>
      <c r="T18" s="1236"/>
      <c r="U18" s="1227"/>
      <c r="V18" s="4416"/>
      <c r="W18" s="4419"/>
      <c r="X18" s="1237"/>
      <c r="Y18" s="1238"/>
      <c r="Z18" s="1239"/>
    </row>
    <row r="19" spans="1:84" s="3939" customFormat="1" ht="16" thickTop="1" x14ac:dyDescent="0.3">
      <c r="A19" s="3953"/>
      <c r="B19" s="3967"/>
      <c r="C19" s="3954"/>
      <c r="D19" s="3954"/>
      <c r="E19" s="3954"/>
      <c r="F19" s="3954"/>
      <c r="G19" s="3955"/>
      <c r="H19" s="3954"/>
      <c r="I19" s="3954"/>
      <c r="J19" s="3955"/>
      <c r="K19" s="3954"/>
      <c r="L19" s="3954"/>
      <c r="M19" s="3954"/>
      <c r="N19" s="3953"/>
      <c r="O19" s="3953"/>
      <c r="P19" s="3945"/>
      <c r="Q19" s="3945"/>
      <c r="R19" s="3945"/>
      <c r="S19" s="3945"/>
      <c r="T19" s="3945"/>
      <c r="U19" s="3945"/>
      <c r="V19" s="3968"/>
      <c r="W19" s="3968"/>
      <c r="X19" s="3968"/>
      <c r="Y19" s="3968"/>
      <c r="Z19" s="3968"/>
    </row>
    <row r="20" spans="1:84" s="3939" customFormat="1" ht="18.5" x14ac:dyDescent="0.3">
      <c r="A20" s="4423" t="s">
        <v>1137</v>
      </c>
      <c r="B20" s="4424"/>
      <c r="C20" s="4424"/>
      <c r="D20" s="4424"/>
      <c r="E20" s="4424"/>
      <c r="F20" s="4424"/>
      <c r="G20" s="4424"/>
      <c r="H20" s="4424"/>
      <c r="I20" s="4424"/>
      <c r="J20" s="4424"/>
      <c r="K20" s="4424"/>
      <c r="L20" s="4424"/>
      <c r="M20" s="4424"/>
      <c r="N20" s="4424"/>
      <c r="O20" s="3956"/>
      <c r="P20" s="3957"/>
      <c r="Q20" s="3957"/>
      <c r="R20" s="3957"/>
      <c r="S20" s="3958"/>
      <c r="T20" s="3959"/>
      <c r="U20" s="3959"/>
      <c r="V20" s="3960"/>
      <c r="W20" s="3961"/>
      <c r="X20" s="3961"/>
      <c r="Y20" s="3962"/>
      <c r="Z20" s="3963"/>
    </row>
    <row r="21" spans="1:84" s="3939" customFormat="1" ht="16" thickBot="1" x14ac:dyDescent="0.35">
      <c r="A21" s="3953"/>
      <c r="B21" s="3953"/>
      <c r="C21" s="3954"/>
      <c r="D21" s="3954"/>
      <c r="E21" s="3954"/>
      <c r="F21" s="3954"/>
      <c r="G21" s="3955"/>
      <c r="H21" s="3954"/>
      <c r="I21" s="3954"/>
      <c r="J21" s="3955"/>
      <c r="K21" s="3954"/>
      <c r="L21" s="3954"/>
      <c r="M21" s="3954"/>
      <c r="N21" s="3969"/>
      <c r="O21" s="3969"/>
      <c r="P21" s="3970"/>
      <c r="Q21" s="3970"/>
      <c r="R21" s="3970"/>
      <c r="S21" s="3970"/>
      <c r="T21" s="3970"/>
      <c r="U21" s="3970"/>
      <c r="V21" s="3968"/>
      <c r="W21" s="3968"/>
      <c r="X21" s="3968"/>
      <c r="Y21" s="3968"/>
      <c r="Z21" s="3968"/>
    </row>
    <row r="22" spans="1:84" s="359" customFormat="1" ht="30" thickTop="1" thickBot="1" x14ac:dyDescent="0.35">
      <c r="A22" s="356">
        <v>11</v>
      </c>
      <c r="B22" s="1190" t="s">
        <v>474</v>
      </c>
      <c r="C22" s="1344" t="s">
        <v>1533</v>
      </c>
      <c r="D22" s="1194" t="s">
        <v>565</v>
      </c>
      <c r="E22" s="871" t="b">
        <f>IF(AND(E23=TRUE,E26=TRUE,E27=TRUE,E28=TRUE,E39=TRUE,E40=TRUE,E48=TRUE,E49=TRUE),TRUE,FALSE)</f>
        <v>0</v>
      </c>
      <c r="F22" s="760">
        <f>COUNTIFS(E24:E27,"TRUE")+COUNTIF(E29:E39,"TRUE")+COUNTIF(E41,"TRUE")+COUNTIF(E43:E49,"TRUE")</f>
        <v>0</v>
      </c>
      <c r="G22" s="806">
        <f>COUNTIFS(E24:E49,TRUE,G24:G49,"Not Blank")</f>
        <v>0</v>
      </c>
      <c r="H22" s="760">
        <f>COUNTIFS(E23:E49,FALSE,G23:G49,"Not Blank")</f>
        <v>0</v>
      </c>
      <c r="I22" s="1351" t="str">
        <f xml:space="preserve">
IF(F22&gt;23,"Too Many Entries - Check Red Lines",
IF(G22&lt;F22,"Valid Entry required below - Check Amber Line/s",
IF(AND(E22=FALSE,G22=0,H22=0),"Nothing Entered below Yet",
IF(G22&lt;F22,"Valid Entry required below - Check Amber Line/s",
IF(AND(G22=0,H22&gt;0),"**Non-Valid Entry/ies below - Check Yellow Line/s",
IF(AND(G22&gt;0,H22&gt;0),"**Valid and Non-Valid Entries made below - Check Yellow Line/s",
IF(AND(E22=FALSE,F22&lt;23),"Not all requirements addressed below - Check Pink Line/s",
IF(AND(E22=FALSE,G22&lt;23,G22&gt;0,H22=0),"More entries to come",
IF(AND(E22,TRUE,G22=23,H22=0),"Valid Entries made below"
)))))))))</f>
        <v>Nothing Entered below Yet</v>
      </c>
      <c r="J22" s="1352">
        <f>COUNTIFS(E24:E49,TRUE,J24:J49,"Not Blank")</f>
        <v>0</v>
      </c>
      <c r="K22" s="1351">
        <f>COUNTIFS(E23:E49,FALSE,J23:J49,"Not Blank")</f>
        <v>0</v>
      </c>
      <c r="L22" s="1344" t="str">
        <f xml:space="preserve">
IF(J22&gt;23,"Too Many Entries - Check Red Lines",
IF(J22&lt;F22,"Valid Entry required below - Check Amber Line/s",
IF(AND(E22=FALSE,J22=0,K22=0),"Nothing Entered below Yet",
IF(AND(J22=0,K22&gt;0),"**Non-Valid Entry/ies below - Check Yellow Line/s",
IF(AND(J22&gt;0,K22&gt;0),"**Valid and Non-Valid Entries made below - Check Yellow Line/s",
IF(AND(E22=FALSE,J22&lt;23),"Not all requirements addressed below - Check Pink Line/s",
IF(AND(E22=FALSE,J22&lt;23,J22&gt;0,K22=0),"More entries to come",
IF(AND(E22,TRUE,J22=23,K22=0),"Valid Entries made below"
))))))))</f>
        <v>Nothing Entered below Yet</v>
      </c>
      <c r="M22" s="761"/>
      <c r="N22" s="1195" t="s">
        <v>565</v>
      </c>
      <c r="O22" s="816" t="b">
        <f>IF(AND(O23=TRUE,O26=TRUE,O27=TRUE,O28=TRUE,O38=TRUE,O39=TRUE,O40=TRUE,O48=TRUE,O49=TRUE),TRUE,FALSE)</f>
        <v>0</v>
      </c>
      <c r="P22" s="134"/>
      <c r="Q22" s="1196" t="s">
        <v>565</v>
      </c>
      <c r="R22" s="397" t="b">
        <f>IF(AND(R23=TRUE,R24=TRUE,R26=TRUE),TRUE,FALSE)</f>
        <v>0</v>
      </c>
      <c r="S22" s="133"/>
      <c r="T22" s="133"/>
      <c r="U22" s="134"/>
      <c r="V22" s="1197" t="s">
        <v>565</v>
      </c>
      <c r="W22" s="816" t="b">
        <f>IF(AND(W23=TRUE,W26=TRUE,W27=TRUE,W28=TRUE,W38=TRUE,W39=TRUE,W40=TRUE,W48=TRUE,W49=TRUE),TRUE,FALSE)</f>
        <v>0</v>
      </c>
      <c r="X22" s="892"/>
      <c r="Y22" s="760"/>
      <c r="Z22" s="761"/>
      <c r="AA22" s="357"/>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8"/>
    </row>
    <row r="23" spans="1:84" s="174" customFormat="1" ht="29.5" thickTop="1" x14ac:dyDescent="0.3">
      <c r="A23" s="169">
        <v>11</v>
      </c>
      <c r="B23" s="2507" t="s">
        <v>1531</v>
      </c>
      <c r="C23" s="2511" t="s">
        <v>991</v>
      </c>
      <c r="D23" s="2512" t="s">
        <v>565</v>
      </c>
      <c r="E23" s="2513" t="b">
        <f>IF(AND(E24=TRUE,E25=TRUE),TRUE,FALSE)</f>
        <v>0</v>
      </c>
      <c r="F23" s="2514">
        <f>COUNTIFS(E24:E25,"TRUE")</f>
        <v>0</v>
      </c>
      <c r="G23" s="2515">
        <f>COUNTIFS(E24:E25,TRUE,G24:G25,"Not Blank")</f>
        <v>0</v>
      </c>
      <c r="H23" s="2514">
        <f>COUNTIFS(E24:E25,FALSE,G24:G25,"Not Blank")</f>
        <v>0</v>
      </c>
      <c r="I23" s="2516" t="str">
        <f xml:space="preserve">
IF(F23&gt;2,"Too Many Entries - Check Red Lines",
IF(G23&lt;F23,"Valid Entry required below - Check Amber Line/s",
IF(AND(E23=FALSE,G23=0,H23=0),"Nothing Entered below Yet",
IF(G23&lt;F23,"Valid Entry required below - Check Amber Line/s",
IF(AND(G23=0,H23&gt;0),"**Non-Valid Entry/ies below - Check Yellow Line/s",
IF(AND(G23&gt;0,H23&gt;0),"**Valid and Non-Valid Entries made below - Check Yellow Line/s",
IF(AND(E23=FALSE,F23&lt;2),"Not all requirements addressed below - Check Pink Line/s",
IF(AND(E23=FALSE,G23&lt;2,G23&gt;0,H23=0),"More entries to come",
IF(AND(E23,TRUE,G23=2,H23=0),"Valid Entries made below"
)))))))))</f>
        <v>Nothing Entered below Yet</v>
      </c>
      <c r="J23" s="1354">
        <f>COUNTIFS(E24:E25,TRUE,J24:J25,"Not Blank")</f>
        <v>0</v>
      </c>
      <c r="K23" s="1353">
        <f>COUNTIFS(E24:E25,FALSE,J24:J25,"Not Blank")</f>
        <v>0</v>
      </c>
      <c r="L23" s="2517" t="str">
        <f xml:space="preserve">
IF(J23&gt;2,"Too Many Entries - Check Red Lines",
IF(J23&lt;F23,"Valid Entry required below - Check Amber Line/s",
IF(AND(E23=FALSE,J23=0,K23=0),"Nothing Entered below Yet",
IF(AND(J23=0,K23&gt;0),"**Non-Valid Entry/ies below - Check Yellow Line/s",
IF(AND(J23&gt;0,K23&gt;0),"**Valid and Non-Valid Entries made below - Check Yellow Line/s",
IF(AND(E23=FALSE,J23&lt;2),"Not all requirements addressed below - Check Pink Line/s",
IF(AND(E23=FALSE,J23&lt;2,J23&gt;0,K23=0),"More entries to come",
IF(AND(E23,TRUE,J23=2,K23=0),"Valid Entries made below"
))))))))</f>
        <v>Nothing Entered below Yet</v>
      </c>
      <c r="M23" s="757"/>
      <c r="N23" s="4444" t="s">
        <v>3</v>
      </c>
      <c r="O23" s="4449" t="b">
        <f>IF(OR(N23="Compliant",N23="FE with work-a-round",N23="Functionally Equivalent"),TRUE,FALSE)</f>
        <v>0</v>
      </c>
      <c r="P23" s="136"/>
      <c r="Q23" s="1143" t="s">
        <v>3</v>
      </c>
      <c r="R23" s="814" t="b">
        <f>IF(OR(Q23="Compliant",Q23="FE with work-a-round",Q23="Functionally Equivalent"),TRUE,FALSE)</f>
        <v>0</v>
      </c>
      <c r="S23" s="42"/>
      <c r="T23" s="42"/>
      <c r="U23" s="128"/>
      <c r="V23" s="4415" t="s">
        <v>3</v>
      </c>
      <c r="W23" s="4434" t="b">
        <f>IF(OR(V23="Compliant",V23="FE with work-a-round",V23="Functionally Equivalent",V23="Not Required/Applicable"),TRUE,FALSE)</f>
        <v>0</v>
      </c>
      <c r="X23" s="1241"/>
      <c r="Y23" s="756"/>
      <c r="Z23" s="757"/>
      <c r="AA23" s="172"/>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73"/>
    </row>
    <row r="24" spans="1:84" s="174" customFormat="1" ht="116" x14ac:dyDescent="0.3">
      <c r="A24" s="169">
        <v>11.1</v>
      </c>
      <c r="B24" s="1199"/>
      <c r="C24" s="2508" t="s">
        <v>1802</v>
      </c>
      <c r="D24" s="1635" t="s">
        <v>3</v>
      </c>
      <c r="E24" s="877" t="b">
        <f>IF(D24="Compliant",TRUE,FALSE)</f>
        <v>0</v>
      </c>
      <c r="F24" s="354"/>
      <c r="G24" s="2509" t="str">
        <f>IF(I24&lt;&gt;"", "Not Blank", "")</f>
        <v/>
      </c>
      <c r="H24" s="2510"/>
      <c r="I24" s="3382"/>
      <c r="J24" s="3376"/>
      <c r="K24" s="3376"/>
      <c r="L24" s="3377"/>
      <c r="M24" s="175"/>
      <c r="N24" s="4444"/>
      <c r="O24" s="4450"/>
      <c r="P24" s="2518"/>
      <c r="Q24" s="771" t="s">
        <v>3</v>
      </c>
      <c r="R24" s="1244" t="b">
        <f>IF(OR(Q24="Compliant",Q24="FE with work-a-round",Q24="Functionally Equivalent"),TRUE,FALSE)</f>
        <v>0</v>
      </c>
      <c r="S24" s="751"/>
      <c r="T24" s="165"/>
      <c r="U24" s="175"/>
      <c r="V24" s="4415"/>
      <c r="W24" s="4435"/>
      <c r="X24" s="1245"/>
      <c r="Y24" s="165"/>
      <c r="Z24" s="175"/>
      <c r="AA24" s="172"/>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73"/>
    </row>
    <row r="25" spans="1:84" s="174" customFormat="1" ht="58.5" thickBot="1" x14ac:dyDescent="0.35">
      <c r="A25" s="169">
        <v>11.1</v>
      </c>
      <c r="B25" s="1198"/>
      <c r="C25" s="1346" t="s">
        <v>1178</v>
      </c>
      <c r="D25" s="886" t="s">
        <v>3</v>
      </c>
      <c r="E25" s="879" t="b">
        <f>IF(D25="Compliant",TRUE,FALSE)</f>
        <v>0</v>
      </c>
      <c r="F25" s="754"/>
      <c r="G25" s="1246" t="str">
        <f>IF(I25&lt;&gt;"", "Not Blank", "")</f>
        <v/>
      </c>
      <c r="H25" s="1247"/>
      <c r="I25" s="3382"/>
      <c r="J25" s="3378"/>
      <c r="K25" s="3378"/>
      <c r="L25" s="3379"/>
      <c r="M25" s="179"/>
      <c r="N25" s="4444"/>
      <c r="O25" s="4451"/>
      <c r="P25" s="179"/>
      <c r="Q25" s="774" t="s">
        <v>3</v>
      </c>
      <c r="R25" s="1248" t="b">
        <f>IF(OR(Q25="Compliant",Q25="FE with work-a-round",Q25="Functionally Equivalent"),TRUE,FALSE)</f>
        <v>0</v>
      </c>
      <c r="S25" s="755"/>
      <c r="T25" s="178"/>
      <c r="U25" s="179"/>
      <c r="V25" s="4415"/>
      <c r="W25" s="4436"/>
      <c r="X25" s="830"/>
      <c r="Y25" s="178"/>
      <c r="Z25" s="179"/>
      <c r="AA25" s="172"/>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73"/>
    </row>
    <row r="26" spans="1:84" s="174" customFormat="1" ht="131.5" thickTop="1" thickBot="1" x14ac:dyDescent="0.35">
      <c r="A26" s="169">
        <v>11.2</v>
      </c>
      <c r="B26" s="1198" t="s">
        <v>1537</v>
      </c>
      <c r="C26" s="1347" t="s">
        <v>1803</v>
      </c>
      <c r="D26" s="887" t="s">
        <v>3</v>
      </c>
      <c r="E26" s="880" t="b">
        <f>IF(D26="Compliant",TRUE,FALSE)</f>
        <v>0</v>
      </c>
      <c r="F26" s="777"/>
      <c r="G26" s="1249" t="str">
        <f>IF(I26&lt;&gt;"", "Not Blank", "")</f>
        <v/>
      </c>
      <c r="H26" s="1250"/>
      <c r="I26" s="3383"/>
      <c r="J26" s="3380"/>
      <c r="K26" s="3380"/>
      <c r="L26" s="3381"/>
      <c r="M26" s="778"/>
      <c r="N26" s="780" t="s">
        <v>3</v>
      </c>
      <c r="O26" s="1251" t="b">
        <f>IF(OR(N26="Compliant",N26="FE with work-a-round",N26="Functionally Equivalent"),TRUE,FALSE)</f>
        <v>0</v>
      </c>
      <c r="P26" s="778"/>
      <c r="Q26" s="780" t="s">
        <v>3</v>
      </c>
      <c r="R26" s="1251" t="b">
        <f>IF(OR(Q26="Compliant",Q26="FE with work-a-round",Q26="Functionally Equivalent"),TRUE,FALSE)</f>
        <v>0</v>
      </c>
      <c r="S26" s="796"/>
      <c r="T26" s="782"/>
      <c r="U26" s="778"/>
      <c r="V26" s="781" t="s">
        <v>3</v>
      </c>
      <c r="W26" s="1252" t="b">
        <f>IF(OR(V26="Compliant",V26="FE with work-a-round",V26="Functionally Equivalent",V26="Not Required/Applicable"),TRUE,FALSE)</f>
        <v>0</v>
      </c>
      <c r="X26" s="1253"/>
      <c r="Y26" s="782"/>
      <c r="Z26" s="778"/>
      <c r="AA26" s="172"/>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73"/>
    </row>
    <row r="27" spans="1:84" s="174" customFormat="1" ht="175" thickTop="1" thickBot="1" x14ac:dyDescent="0.35">
      <c r="A27" s="169">
        <v>11.3</v>
      </c>
      <c r="B27" s="1199" t="s">
        <v>1538</v>
      </c>
      <c r="C27" s="1347" t="s">
        <v>995</v>
      </c>
      <c r="D27" s="887" t="s">
        <v>3</v>
      </c>
      <c r="E27" s="880" t="b">
        <f>IF(D27="Compliant",TRUE,FALSE)</f>
        <v>0</v>
      </c>
      <c r="F27" s="777"/>
      <c r="G27" s="1249" t="str">
        <f>IF(I27&lt;&gt;"", "Not Blank", "")</f>
        <v/>
      </c>
      <c r="H27" s="1250"/>
      <c r="I27" s="3383"/>
      <c r="J27" s="3380"/>
      <c r="K27" s="3380"/>
      <c r="L27" s="3381"/>
      <c r="M27" s="778"/>
      <c r="N27" s="780" t="s">
        <v>3</v>
      </c>
      <c r="O27" s="1251" t="b">
        <f>IF(OR(N27="Compliant",N27="FE with work-a-round",N27="Functionally Equivalent"),TRUE,FALSE)</f>
        <v>0</v>
      </c>
      <c r="P27" s="778"/>
      <c r="Q27" s="780" t="s">
        <v>3</v>
      </c>
      <c r="R27" s="1251" t="b">
        <f>IF(OR(Q27="Compliant",Q27="FE with work-a-round",Q27="Functionally Equivalent"),TRUE,FALSE)</f>
        <v>0</v>
      </c>
      <c r="S27" s="796"/>
      <c r="T27" s="782"/>
      <c r="U27" s="778"/>
      <c r="V27" s="781" t="s">
        <v>3</v>
      </c>
      <c r="W27" s="1252" t="b">
        <f>IF(OR(V27="Compliant",V27="FE with work-a-round",V27="Functionally Equivalent",V27="Not Required/Applicable"),TRUE,FALSE)</f>
        <v>0</v>
      </c>
      <c r="X27" s="1253"/>
      <c r="Y27" s="782"/>
      <c r="Z27" s="778"/>
      <c r="AA27" s="172"/>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73"/>
    </row>
    <row r="28" spans="1:84" s="174" customFormat="1" ht="131" thickTop="1" x14ac:dyDescent="0.3">
      <c r="A28" s="169">
        <v>11.4</v>
      </c>
      <c r="B28" s="1200" t="s">
        <v>1534</v>
      </c>
      <c r="C28" s="2519" t="s">
        <v>1217</v>
      </c>
      <c r="D28" s="2520" t="s">
        <v>565</v>
      </c>
      <c r="E28" s="881" t="b">
        <f>IF(AND(E29=TRUE,E30=TRUE,E31=TRUE,E32=TRUE,E33=TRUE,E34=TRUE,E35=TRUE,E36=TRUE,E37=TRUE,E38=TRUE,E39=TRUE),TRUE,FALSE)</f>
        <v>0</v>
      </c>
      <c r="F28" s="783">
        <f>COUNTIF(E29:E39,TRUE)</f>
        <v>0</v>
      </c>
      <c r="G28" s="1254">
        <f>COUNTIFS(E29:E39,TRUE,G29:G39,"Not Blank")</f>
        <v>0</v>
      </c>
      <c r="H28" s="1255">
        <f>COUNTIFS(E29:E39,FALSE,G29:G39,"Not Blank")</f>
        <v>0</v>
      </c>
      <c r="I28" s="2521" t="str">
        <f xml:space="preserve">
IF(F28&gt;11,"Too Many Entries - Check Red Lines",
IF(G28&lt;F28,"Valid Entry required below - Check Amber Line/s",
IF(AND(E28=FALSE,G28=0,H28=0),"Nothing Entered below Yet",
IF(G28&lt;F28,"Valid Entry required below - Check Amber Line/s",
IF(AND(G28=0,H28&gt;0),"**Non-Valid Entry/ies below - Check Yellow Line/s",
IF(AND(G28&gt;0,H28&gt;0),"**Valid and Non-Valid Entries made below - Check Yellow Line/s",
IF(AND(E28=FALSE,F28&lt;11),"Not all requirements addressed below - Check Pink Line/s",
IF(AND(E28=FALSE,G28&lt;11,G28&gt;0,H28=0),"More entries to come",
IF(AND(E28,TRUE,G28=11,H28=0),"Valid Entries made below"
)))))))))</f>
        <v>Nothing Entered below Yet</v>
      </c>
      <c r="J28" s="2522">
        <f>COUNTIFS(E29:E39,TRUE,J29:J39,"Not Blank")</f>
        <v>0</v>
      </c>
      <c r="K28" s="2521">
        <f>COUNTIFS(E29:E39,FALSE,J29:J39,"Not Blank")</f>
        <v>0</v>
      </c>
      <c r="L28" s="2523" t="str">
        <f xml:space="preserve">
IF(J28&gt;11,"Too Many Entries - Check Red Lines",
IF(J28&lt;F28,"Valid Entry required below - Check Amber Line/s",
IF(AND(E28=FALSE,J28=0,K28=0),"Nothing Entered below Yet",
IF(AND(J28=0,K28&gt;0),"**Non-Valid Entry/ies below - Check Yellow Line/s",
IF(AND(J28&gt;0,K28&gt;0),"**Valid and Non-Valid Entries made below - Check Yellow Line/s",
IF(AND(E28=FALSE,J28&lt;11),"Not all requirements addressed below - Check Pink Line/s",
IF(AND(E28=FALSE,J28&lt;11,J28&gt;0,K28=0),"More entries to come",
IF(AND(E28,TRUE,J28=11,K28=0),"Valid Entries made below"
))))))))</f>
        <v>Nothing Entered below Yet</v>
      </c>
      <c r="M28" s="2524"/>
      <c r="N28" s="4452" t="s">
        <v>3</v>
      </c>
      <c r="O28" s="4453" t="b">
        <f>IF(OR(N28="Compliant",N28="FE with work-a-round",N28="Functionally Equivalent"),TRUE,FALSE)</f>
        <v>0</v>
      </c>
      <c r="P28" s="2158"/>
      <c r="Q28" s="2525" t="s">
        <v>565</v>
      </c>
      <c r="R28" s="889" t="b">
        <f>IF(AND(R29=TRUE,R30=TRUE,R32=TRUE),TRUE,FALSE)</f>
        <v>0</v>
      </c>
      <c r="S28" s="890"/>
      <c r="T28" s="793"/>
      <c r="U28" s="792"/>
      <c r="V28" s="4457" t="s">
        <v>3</v>
      </c>
      <c r="W28" s="4458" t="b">
        <f>IF(OR(V28="Compliant",V28="FE with work-a-round",V28="Functionally Equivalent",V28="Not Required/Applicable"),TRUE,FALSE)</f>
        <v>0</v>
      </c>
      <c r="X28" s="1256"/>
      <c r="Y28" s="794"/>
      <c r="Z28" s="795"/>
      <c r="AA28" s="172"/>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73"/>
    </row>
    <row r="29" spans="1:84" s="174" customFormat="1" ht="72.5" x14ac:dyDescent="0.3">
      <c r="A29" s="169"/>
      <c r="B29" s="1199"/>
      <c r="C29" s="2508" t="s">
        <v>992</v>
      </c>
      <c r="D29" s="1635" t="s">
        <v>3</v>
      </c>
      <c r="E29" s="878" t="b">
        <f t="shared" ref="E29:E39" si="0">IF(D29="Compliant",TRUE,FALSE)</f>
        <v>0</v>
      </c>
      <c r="F29" s="355"/>
      <c r="G29" s="1242" t="str">
        <f t="shared" ref="G29:G49" si="1">IF(I29&lt;&gt;"", "Not Blank", "")</f>
        <v/>
      </c>
      <c r="H29" s="1243"/>
      <c r="I29" s="3382"/>
      <c r="J29" s="3384"/>
      <c r="K29" s="3384"/>
      <c r="L29" s="3385"/>
      <c r="M29" s="757"/>
      <c r="N29" s="4444"/>
      <c r="O29" s="4450"/>
      <c r="P29" s="128"/>
      <c r="Q29" s="1142" t="s">
        <v>3</v>
      </c>
      <c r="R29" s="1012" t="b">
        <f t="shared" ref="R29:R39" si="2">IF(OR(Q29="Compliant",Q29="FE with work-a-round",Q29="Functionally Equivalent"),TRUE,FALSE)</f>
        <v>0</v>
      </c>
      <c r="S29" s="121"/>
      <c r="T29" s="44"/>
      <c r="U29" s="122"/>
      <c r="V29" s="4415"/>
      <c r="W29" s="4435"/>
      <c r="X29" s="1245"/>
      <c r="Y29" s="165"/>
      <c r="Z29" s="175"/>
      <c r="AA29" s="172"/>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73"/>
    </row>
    <row r="30" spans="1:84" s="174" customFormat="1" ht="72.5" x14ac:dyDescent="0.3">
      <c r="A30" s="169"/>
      <c r="B30" s="1198"/>
      <c r="C30" s="1345" t="s">
        <v>993</v>
      </c>
      <c r="D30" s="445" t="s">
        <v>3</v>
      </c>
      <c r="E30" s="878" t="b">
        <f t="shared" si="0"/>
        <v>0</v>
      </c>
      <c r="F30" s="355"/>
      <c r="G30" s="1242" t="str">
        <f t="shared" si="1"/>
        <v/>
      </c>
      <c r="H30" s="1243"/>
      <c r="I30" s="3382"/>
      <c r="J30" s="3384"/>
      <c r="K30" s="3384"/>
      <c r="L30" s="3385"/>
      <c r="M30" s="175"/>
      <c r="N30" s="4444"/>
      <c r="O30" s="4450"/>
      <c r="P30" s="175"/>
      <c r="Q30" s="771" t="s">
        <v>3</v>
      </c>
      <c r="R30" s="1257" t="b">
        <f t="shared" si="2"/>
        <v>0</v>
      </c>
      <c r="S30" s="166"/>
      <c r="T30" s="165"/>
      <c r="U30" s="175"/>
      <c r="V30" s="4415"/>
      <c r="W30" s="4435"/>
      <c r="X30" s="1245"/>
      <c r="Y30" s="165"/>
      <c r="Z30" s="175"/>
      <c r="AA30" s="172"/>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73"/>
    </row>
    <row r="31" spans="1:84" s="174" customFormat="1" ht="87" x14ac:dyDescent="0.3">
      <c r="A31" s="169"/>
      <c r="B31" s="1198"/>
      <c r="C31" s="1345" t="s">
        <v>1804</v>
      </c>
      <c r="D31" s="445" t="s">
        <v>3</v>
      </c>
      <c r="E31" s="878" t="b">
        <f t="shared" si="0"/>
        <v>0</v>
      </c>
      <c r="F31" s="355"/>
      <c r="G31" s="1242" t="str">
        <f t="shared" si="1"/>
        <v/>
      </c>
      <c r="H31" s="1243"/>
      <c r="I31" s="3382"/>
      <c r="J31" s="3384"/>
      <c r="K31" s="3384"/>
      <c r="L31" s="3385"/>
      <c r="M31" s="175"/>
      <c r="N31" s="4444"/>
      <c r="O31" s="4450"/>
      <c r="P31" s="175"/>
      <c r="Q31" s="768" t="s">
        <v>3</v>
      </c>
      <c r="R31" s="1012" t="b">
        <f t="shared" si="2"/>
        <v>0</v>
      </c>
      <c r="S31" s="166"/>
      <c r="T31" s="165"/>
      <c r="U31" s="175"/>
      <c r="V31" s="4415"/>
      <c r="W31" s="4435"/>
      <c r="X31" s="1245"/>
      <c r="Y31" s="165"/>
      <c r="Z31" s="175"/>
      <c r="AA31" s="172"/>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73"/>
    </row>
    <row r="32" spans="1:84" s="174" customFormat="1" ht="87" x14ac:dyDescent="0.3">
      <c r="A32" s="169"/>
      <c r="B32" s="1198"/>
      <c r="C32" s="1345" t="s">
        <v>1805</v>
      </c>
      <c r="D32" s="445" t="s">
        <v>3</v>
      </c>
      <c r="E32" s="878" t="b">
        <f t="shared" si="0"/>
        <v>0</v>
      </c>
      <c r="F32" s="355"/>
      <c r="G32" s="1242" t="str">
        <f t="shared" si="1"/>
        <v/>
      </c>
      <c r="H32" s="1243"/>
      <c r="I32" s="3382"/>
      <c r="J32" s="3384"/>
      <c r="K32" s="3384"/>
      <c r="L32" s="3385"/>
      <c r="M32" s="175"/>
      <c r="N32" s="4444"/>
      <c r="O32" s="4450"/>
      <c r="P32" s="175"/>
      <c r="Q32" s="768" t="s">
        <v>3</v>
      </c>
      <c r="R32" s="1012" t="b">
        <f t="shared" si="2"/>
        <v>0</v>
      </c>
      <c r="S32" s="166"/>
      <c r="T32" s="165"/>
      <c r="U32" s="175"/>
      <c r="V32" s="4415"/>
      <c r="W32" s="4435"/>
      <c r="X32" s="1245"/>
      <c r="Y32" s="165"/>
      <c r="Z32" s="175"/>
      <c r="AA32" s="172"/>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73"/>
    </row>
    <row r="33" spans="1:84" s="174" customFormat="1" ht="188.5" x14ac:dyDescent="0.3">
      <c r="A33" s="169"/>
      <c r="B33" s="1198"/>
      <c r="C33" s="1345" t="s">
        <v>994</v>
      </c>
      <c r="D33" s="445" t="s">
        <v>3</v>
      </c>
      <c r="E33" s="878" t="b">
        <f t="shared" si="0"/>
        <v>0</v>
      </c>
      <c r="F33" s="355"/>
      <c r="G33" s="1242" t="str">
        <f t="shared" si="1"/>
        <v/>
      </c>
      <c r="H33" s="1243"/>
      <c r="I33" s="3382"/>
      <c r="J33" s="3384"/>
      <c r="K33" s="3384"/>
      <c r="L33" s="3385"/>
      <c r="M33" s="175"/>
      <c r="N33" s="4444"/>
      <c r="O33" s="4450"/>
      <c r="P33" s="175"/>
      <c r="Q33" s="768" t="s">
        <v>3</v>
      </c>
      <c r="R33" s="1012" t="b">
        <f t="shared" si="2"/>
        <v>0</v>
      </c>
      <c r="S33" s="166"/>
      <c r="T33" s="165"/>
      <c r="U33" s="175"/>
      <c r="V33" s="4415"/>
      <c r="W33" s="4435"/>
      <c r="X33" s="1245"/>
      <c r="Y33" s="165"/>
      <c r="Z33" s="175"/>
      <c r="AA33" s="172"/>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73"/>
    </row>
    <row r="34" spans="1:84" s="174" customFormat="1" ht="43.5" x14ac:dyDescent="0.3">
      <c r="A34" s="169"/>
      <c r="B34" s="1198"/>
      <c r="C34" s="1345" t="s">
        <v>1164</v>
      </c>
      <c r="D34" s="445" t="s">
        <v>3</v>
      </c>
      <c r="E34" s="878" t="b">
        <f t="shared" si="0"/>
        <v>0</v>
      </c>
      <c r="F34" s="355"/>
      <c r="G34" s="1242" t="str">
        <f t="shared" si="1"/>
        <v/>
      </c>
      <c r="H34" s="1243"/>
      <c r="I34" s="3382"/>
      <c r="J34" s="3384"/>
      <c r="K34" s="3384"/>
      <c r="L34" s="3385"/>
      <c r="M34" s="175"/>
      <c r="N34" s="4444"/>
      <c r="O34" s="4450"/>
      <c r="P34" s="175"/>
      <c r="Q34" s="768" t="s">
        <v>3</v>
      </c>
      <c r="R34" s="1012" t="b">
        <f t="shared" si="2"/>
        <v>0</v>
      </c>
      <c r="S34" s="166"/>
      <c r="T34" s="165"/>
      <c r="U34" s="175"/>
      <c r="V34" s="4415"/>
      <c r="W34" s="4435"/>
      <c r="X34" s="1245"/>
      <c r="Y34" s="165"/>
      <c r="Z34" s="175"/>
      <c r="AA34" s="172"/>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73"/>
    </row>
    <row r="35" spans="1:84" s="174" customFormat="1" ht="145" x14ac:dyDescent="0.3">
      <c r="A35" s="169"/>
      <c r="B35" s="1198"/>
      <c r="C35" s="1345" t="s">
        <v>1163</v>
      </c>
      <c r="D35" s="445" t="s">
        <v>3</v>
      </c>
      <c r="E35" s="878" t="b">
        <f t="shared" si="0"/>
        <v>0</v>
      </c>
      <c r="F35" s="355"/>
      <c r="G35" s="1242" t="str">
        <f t="shared" si="1"/>
        <v/>
      </c>
      <c r="H35" s="1243"/>
      <c r="I35" s="3382"/>
      <c r="J35" s="3384"/>
      <c r="K35" s="3384"/>
      <c r="L35" s="3385"/>
      <c r="M35" s="175"/>
      <c r="N35" s="4444"/>
      <c r="O35" s="4450"/>
      <c r="P35" s="175"/>
      <c r="Q35" s="768" t="s">
        <v>3</v>
      </c>
      <c r="R35" s="1012" t="b">
        <f t="shared" si="2"/>
        <v>0</v>
      </c>
      <c r="S35" s="166"/>
      <c r="T35" s="165"/>
      <c r="U35" s="175"/>
      <c r="V35" s="4415"/>
      <c r="W35" s="4435"/>
      <c r="X35" s="1245"/>
      <c r="Y35" s="165"/>
      <c r="Z35" s="175"/>
      <c r="AA35" s="172"/>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73"/>
    </row>
    <row r="36" spans="1:84" s="174" customFormat="1" ht="87" x14ac:dyDescent="0.3">
      <c r="A36" s="169"/>
      <c r="B36" s="1198"/>
      <c r="C36" s="1345" t="s">
        <v>1806</v>
      </c>
      <c r="D36" s="445" t="s">
        <v>3</v>
      </c>
      <c r="E36" s="878" t="b">
        <f t="shared" si="0"/>
        <v>0</v>
      </c>
      <c r="F36" s="355"/>
      <c r="G36" s="1242" t="str">
        <f t="shared" si="1"/>
        <v/>
      </c>
      <c r="H36" s="1243"/>
      <c r="I36" s="3382"/>
      <c r="J36" s="3384"/>
      <c r="K36" s="3384"/>
      <c r="L36" s="3385"/>
      <c r="M36" s="175"/>
      <c r="N36" s="4444"/>
      <c r="O36" s="4450"/>
      <c r="P36" s="175"/>
      <c r="Q36" s="768" t="s">
        <v>3</v>
      </c>
      <c r="R36" s="1012" t="b">
        <f t="shared" si="2"/>
        <v>0</v>
      </c>
      <c r="S36" s="166"/>
      <c r="T36" s="165"/>
      <c r="U36" s="175"/>
      <c r="V36" s="4415"/>
      <c r="W36" s="4435"/>
      <c r="X36" s="1245"/>
      <c r="Y36" s="165"/>
      <c r="Z36" s="175"/>
      <c r="AA36" s="172"/>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73"/>
    </row>
    <row r="37" spans="1:84" s="174" customFormat="1" ht="145.5" thickBot="1" x14ac:dyDescent="0.35">
      <c r="A37" s="169"/>
      <c r="B37" s="1198"/>
      <c r="C37" s="1345" t="s">
        <v>1179</v>
      </c>
      <c r="D37" s="445" t="s">
        <v>3</v>
      </c>
      <c r="E37" s="878" t="b">
        <f t="shared" si="0"/>
        <v>0</v>
      </c>
      <c r="F37" s="355"/>
      <c r="G37" s="1242" t="str">
        <f t="shared" si="1"/>
        <v/>
      </c>
      <c r="H37" s="1243"/>
      <c r="I37" s="3382"/>
      <c r="J37" s="3384"/>
      <c r="K37" s="3384"/>
      <c r="L37" s="3385"/>
      <c r="M37" s="175"/>
      <c r="N37" s="4445"/>
      <c r="O37" s="4450"/>
      <c r="P37" s="175"/>
      <c r="Q37" s="769" t="s">
        <v>3</v>
      </c>
      <c r="R37" s="1258" t="b">
        <f t="shared" si="2"/>
        <v>0</v>
      </c>
      <c r="S37" s="167"/>
      <c r="T37" s="168"/>
      <c r="U37" s="177"/>
      <c r="V37" s="4416"/>
      <c r="W37" s="4435"/>
      <c r="X37" s="1245"/>
      <c r="Y37" s="165"/>
      <c r="Z37" s="175"/>
      <c r="AA37" s="172"/>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73"/>
    </row>
    <row r="38" spans="1:84" s="174" customFormat="1" ht="175" thickTop="1" thickBot="1" x14ac:dyDescent="0.35">
      <c r="A38" s="169">
        <v>11.5</v>
      </c>
      <c r="B38" s="1198" t="s">
        <v>1535</v>
      </c>
      <c r="C38" s="1345" t="s">
        <v>1807</v>
      </c>
      <c r="D38" s="445" t="s">
        <v>3</v>
      </c>
      <c r="E38" s="878" t="b">
        <f t="shared" si="0"/>
        <v>0</v>
      </c>
      <c r="F38" s="355"/>
      <c r="G38" s="1242" t="str">
        <f t="shared" si="1"/>
        <v/>
      </c>
      <c r="H38" s="1243"/>
      <c r="I38" s="3382"/>
      <c r="J38" s="3384"/>
      <c r="K38" s="3384"/>
      <c r="L38" s="3385"/>
      <c r="M38" s="175"/>
      <c r="N38" s="1136" t="s">
        <v>3</v>
      </c>
      <c r="O38" s="732" t="b">
        <f>IF(OR(N38="Compliant",N38="FE with work-a-round",N38="Functionally Equivalent"),TRUE,FALSE)</f>
        <v>0</v>
      </c>
      <c r="P38" s="175"/>
      <c r="Q38" s="770" t="s">
        <v>3</v>
      </c>
      <c r="R38" s="1259" t="b">
        <f t="shared" si="2"/>
        <v>0</v>
      </c>
      <c r="S38" s="891"/>
      <c r="T38" s="802"/>
      <c r="U38" s="805"/>
      <c r="V38" s="924" t="s">
        <v>3</v>
      </c>
      <c r="W38" s="1232" t="b">
        <f>IF(OR(V38="Compliant",V38="FE with work-a-round",V38="Functionally Equivalent",V38="Not Required/Applicable"),TRUE,FALSE)</f>
        <v>0</v>
      </c>
      <c r="X38" s="1245"/>
      <c r="Y38" s="165"/>
      <c r="Z38" s="175"/>
      <c r="AA38" s="172"/>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73"/>
    </row>
    <row r="39" spans="1:84" s="174" customFormat="1" ht="146" thickTop="1" thickBot="1" x14ac:dyDescent="0.35">
      <c r="A39" s="169">
        <v>11.6</v>
      </c>
      <c r="B39" s="1201" t="s">
        <v>1536</v>
      </c>
      <c r="C39" s="1346" t="s">
        <v>1177</v>
      </c>
      <c r="D39" s="886" t="s">
        <v>3</v>
      </c>
      <c r="E39" s="879" t="b">
        <f t="shared" si="0"/>
        <v>0</v>
      </c>
      <c r="F39" s="754"/>
      <c r="G39" s="1246" t="str">
        <f t="shared" si="1"/>
        <v/>
      </c>
      <c r="H39" s="1247"/>
      <c r="I39" s="3388"/>
      <c r="J39" s="3386"/>
      <c r="K39" s="3386"/>
      <c r="L39" s="3387"/>
      <c r="M39" s="179"/>
      <c r="N39" s="1136" t="s">
        <v>3</v>
      </c>
      <c r="O39" s="1248" t="b">
        <f>IF(OR(N39="Compliant",N39="FE with work-a-round",N39="Functionally Equivalent"),TRUE,FALSE)</f>
        <v>0</v>
      </c>
      <c r="P39" s="179"/>
      <c r="Q39" s="1136" t="s">
        <v>3</v>
      </c>
      <c r="R39" s="1260" t="b">
        <f t="shared" si="2"/>
        <v>0</v>
      </c>
      <c r="S39" s="891"/>
      <c r="T39" s="802"/>
      <c r="U39" s="805"/>
      <c r="V39" s="924" t="s">
        <v>3</v>
      </c>
      <c r="W39" s="1261" t="b">
        <f>IF(OR(V39="Compliant",V39="FE with work-a-round",V39="Functionally Equivalent",V39="Not Required/Applicable"),TRUE,FALSE)</f>
        <v>0</v>
      </c>
      <c r="X39" s="830"/>
      <c r="Y39" s="178"/>
      <c r="Z39" s="177"/>
      <c r="AA39" s="172"/>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73"/>
    </row>
    <row r="40" spans="1:84" s="359" customFormat="1" ht="30" thickTop="1" thickBot="1" x14ac:dyDescent="0.35">
      <c r="A40" s="356"/>
      <c r="B40" s="2526" t="s">
        <v>1532</v>
      </c>
      <c r="C40" s="1348" t="s">
        <v>1533</v>
      </c>
      <c r="D40" s="1194" t="s">
        <v>565</v>
      </c>
      <c r="E40" s="882" t="b">
        <f>IF(AND(E41=TRUE,E42=TRUE,E48=TRUE,E49=TRUE),TRUE,FALSE)</f>
        <v>0</v>
      </c>
      <c r="F40" s="758">
        <f>COUNTIF(E41,TRUE)+COUNTIF(E43:E49,TRUE)</f>
        <v>0</v>
      </c>
      <c r="G40" s="759">
        <f>COUNTIFS(E41,TRUE,G41,"Not Blank")+COUNTIFS(E43:E49,TRUE,G43:G49,"Not Blank")</f>
        <v>0</v>
      </c>
      <c r="H40" s="758">
        <f>COUNTIFS(E41:E47,FALSE,G41:G47,"Not Blank")</f>
        <v>0</v>
      </c>
      <c r="I40" s="1355" t="str">
        <f xml:space="preserve">
IF(F40&gt;8,"Too Many Entries - Check Red Lines",
IF(G40&lt;F40,"Valid Entry required below - Check Amber Line/s",
IF(AND(E40=FALSE,G40=0,H40=0),"Nothing Entered below Yet",
IF(G40&lt;F40,"Valid Entry required below - Check Amber Line/s",
IF(AND(G40=0,H40&gt;0),"**Non-Valid Entry/ies below - Check Yellow Line/s",
IF(AND(G40&gt;0,H40&gt;0),"**Valid and Non-Valid Entries made below - Check Yellow Line/s",
IF(AND(E40=FALSE,F40&lt;8),"Not all requirements addressed below - Check Pink Line/s",
IF(AND(E40=FALSE,G40&lt;8,G40&gt;0,H40=0),"More entries to come",
IF(AND(E40,TRUE,G40=8,H40=0),"Valid Entries made below"
)))))))))</f>
        <v>Nothing Entered below Yet</v>
      </c>
      <c r="J40" s="1356">
        <f>COUNTIFS(E41,TRUE,J41,"Not Blank")+COUNTIFS(E43:E49,TRUE,J43:J49,"Not Blank")</f>
        <v>0</v>
      </c>
      <c r="K40" s="1355">
        <f>COUNTIFS(E41:E49,FALSE,J41:J49,"Not Blank")</f>
        <v>0</v>
      </c>
      <c r="L40" s="1357" t="str">
        <f xml:space="preserve">
IF(J40&gt;8,"Too Many Entries - Check Red Lines",
IF(J40&lt;F40,"Valid Entry required below - Check Amber Line/s",
IF(AND(E40=FALSE,J40=0,K40=0),"Nothing Entered below Yet",
IF(AND(J40=0,K40&gt;0),"**Non-Valid Entry/ies below - Check Yellow Line/s",
IF(AND(J40&gt;0,K40&gt;0),"**Valid and Non-Valid Entries made below - Check Yellow Line/s",
IF(AND(E40=FALSE,J40&lt;8),"Not all requirements addressed below - Check Pink Line/s",
IF(AND(E40=FALSE,J40&lt;8,J40&gt;0,K40=0),"More entries to come",
IF(AND(E40,TRUE,J40=8,K40=0),"Valid Entries made below"
))))))))</f>
        <v>Nothing Entered below Yet</v>
      </c>
      <c r="M40" s="761"/>
      <c r="N40" s="3971" t="s">
        <v>565</v>
      </c>
      <c r="O40" s="816" t="b">
        <f>IF(AND(O41=TRUE,O42=TRUE),TRUE,FALSE)</f>
        <v>0</v>
      </c>
      <c r="P40" s="134"/>
      <c r="Q40" s="3972" t="s">
        <v>565</v>
      </c>
      <c r="R40" s="892" t="b">
        <f>IF(AND(R41=TRUE,R42=TRUE,R44=TRUE),TRUE,FALSE)</f>
        <v>0</v>
      </c>
      <c r="S40" s="133"/>
      <c r="T40" s="133"/>
      <c r="U40" s="134"/>
      <c r="V40" s="580" t="s">
        <v>565</v>
      </c>
      <c r="W40" s="1033" t="b">
        <f>IF(AND(W41=TRUE,W42=TRUE),TRUE,FALSE)</f>
        <v>0</v>
      </c>
      <c r="X40" s="1033"/>
      <c r="Y40" s="760"/>
      <c r="Z40" s="761"/>
      <c r="AA40" s="357"/>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8"/>
    </row>
    <row r="41" spans="1:84" s="174" customFormat="1" ht="102.5" thickTop="1" thickBot="1" x14ac:dyDescent="0.35">
      <c r="A41" s="169" t="s">
        <v>201</v>
      </c>
      <c r="B41" s="1202" t="s">
        <v>1531</v>
      </c>
      <c r="C41" s="1382" t="s">
        <v>996</v>
      </c>
      <c r="D41" s="875" t="s">
        <v>3</v>
      </c>
      <c r="E41" s="883" t="b">
        <f t="shared" ref="E41:E49" si="3">IF(D41="Compliant",TRUE,FALSE)</f>
        <v>0</v>
      </c>
      <c r="F41" s="762"/>
      <c r="G41" s="1262" t="str">
        <f t="shared" si="1"/>
        <v/>
      </c>
      <c r="H41" s="1263"/>
      <c r="I41" s="3392"/>
      <c r="J41" s="3389"/>
      <c r="K41" s="3389"/>
      <c r="L41" s="3390"/>
      <c r="M41" s="3391"/>
      <c r="N41" s="1137" t="s">
        <v>3</v>
      </c>
      <c r="O41" s="1264" t="b">
        <f>IF(OR(N41="Compliant",N41="FE with work-a-round",N41="Functionally Equivalent"),TRUE,FALSE)</f>
        <v>0</v>
      </c>
      <c r="P41" s="136"/>
      <c r="Q41" s="1137" t="s">
        <v>3</v>
      </c>
      <c r="R41" s="1265" t="b">
        <f>IF(OR(Q41="Compliant",Q41="FE with work-a-round",Q41="Functionally Equivalent"),TRUE,FALSE)</f>
        <v>0</v>
      </c>
      <c r="S41" s="705"/>
      <c r="T41" s="705"/>
      <c r="U41" s="136"/>
      <c r="V41" s="1138" t="s">
        <v>3</v>
      </c>
      <c r="W41" s="1266" t="b">
        <f>IF(OR(V41="Compliant",V41="FE with work-a-round",V41="Functionally Equivalent",V41="Not Required/Applicable"),TRUE,FALSE)</f>
        <v>0</v>
      </c>
      <c r="X41" s="1267"/>
      <c r="Y41" s="753"/>
      <c r="Z41" s="763"/>
      <c r="AA41" s="172"/>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73"/>
    </row>
    <row r="42" spans="1:84" s="174" customFormat="1" ht="131" thickTop="1" x14ac:dyDescent="0.3">
      <c r="A42" s="169" t="s">
        <v>202</v>
      </c>
      <c r="B42" s="2527" t="s">
        <v>1530</v>
      </c>
      <c r="C42" s="2529" t="s">
        <v>997</v>
      </c>
      <c r="D42" s="1204" t="s">
        <v>565</v>
      </c>
      <c r="E42" s="884" t="b">
        <f>IF(AND(E43=TRUE,E44=TRUE,E45=TRUE,E46=TRUE,E47=TRUE),TRUE,FALSE)</f>
        <v>0</v>
      </c>
      <c r="F42" s="764">
        <f>COUNTIF(E43:E47,TRUE)</f>
        <v>0</v>
      </c>
      <c r="G42" s="1268">
        <f>COUNTIFS(E43:E47,TRUE,G43:G47,"Not Blank")</f>
        <v>0</v>
      </c>
      <c r="H42" s="1269">
        <f>COUNTIFS(E43:E47,FALSE,G43:G47,"Not Blank")</f>
        <v>0</v>
      </c>
      <c r="I42" s="2521" t="str">
        <f xml:space="preserve">
IF(F42&gt;5,"Too Many Entries - Check Red Lines",
IF(G42&lt;F42,"Valid Entry required below - Check Amber Line/s",
IF(AND(E42=FALSE,G42=0,H42=0),"Nothing Entered below Yet",
IF(G42&lt;F42,"Valid Entry required below - Check Amber Line/s",
IF(AND(G42=0,H42&gt;0),"**Non-Valid Entry/ies below - Check Yellow Line/s",
IF(AND(G42&gt;0,H42&gt;0),"**Valid and Non-Valid Entries made below - Check Yellow Line/s",
IF(AND(E42=FALSE,F42&lt;5),"Not all requirements addressed below - Check Pink Line/s",
IF(AND(E42=FALSE,G42&lt;5,G42&gt;0,H42=0),"More entries to come",
IF(AND(E42,TRUE,G42=5,H42=0),"Valid Entries made below"
)))))))))</f>
        <v>Nothing Entered below Yet</v>
      </c>
      <c r="J42" s="2522">
        <f>COUNTIFS(E43:E47,TRUE,J43:J47,"Not Blank")</f>
        <v>0</v>
      </c>
      <c r="K42" s="2521">
        <f>COUNTIFS(E43:E47,FALSE,J43:J47,"Not Blank")</f>
        <v>0</v>
      </c>
      <c r="L42" s="2531" t="str">
        <f xml:space="preserve">
IF(J42&gt;5,"Too Many Entries - Check Red Lines",
IF(J42&lt;F42,"Valid Entry required below - Check Amber Line/s",
IF(AND(E42=FALSE,J42=0,K42=0),"Nothing Entered below Yet",
IF(AND(J42=0,K42&gt;0),"**Non-Valid Entry/ies below - Check Yellow Line/s",
IF(AND(J42&gt;0,K42&gt;0),"**Valid and Non-Valid Entries made below - Check Yellow Line/s",
IF(AND(E42=FALSE,J42&lt;5),"Not all requirements addressed below - Check Pink Line/s",
IF(AND(E42=FALSE,J42&lt;5,J42&gt;0,K42=0),"More entries to come",
IF(AND(E42,TRUE,J42=5,K42=0),"Valid Entries made below"
))))))))</f>
        <v>Nothing Entered below Yet</v>
      </c>
      <c r="M42" s="2524"/>
      <c r="N42" s="4425" t="s">
        <v>3</v>
      </c>
      <c r="O42" s="4431" t="b">
        <f>IF(OR(N42="Compliant",N42="FE with work-a-round",N42="Functionally Equivalent"),TRUE,FALSE)</f>
        <v>0</v>
      </c>
      <c r="P42" s="2524"/>
      <c r="Q42" s="3973" t="s">
        <v>565</v>
      </c>
      <c r="R42" s="785" t="b">
        <f>IF(AND(R43=TRUE,R44=TRUE,R46=TRUE),TRUE,FALSE)</f>
        <v>0</v>
      </c>
      <c r="S42" s="785"/>
      <c r="T42" s="785"/>
      <c r="U42" s="784"/>
      <c r="V42" s="4428" t="s">
        <v>3</v>
      </c>
      <c r="W42" s="4454" t="b">
        <f>IF(OR(V42="Compliant",V42="FE with work-a-round",V42="Functionally Equivalent",V42="Not Required/Applicable"),TRUE,FALSE)</f>
        <v>0</v>
      </c>
      <c r="X42" s="1270"/>
      <c r="Y42" s="785"/>
      <c r="Z42" s="784"/>
      <c r="AA42" s="172"/>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73"/>
    </row>
    <row r="43" spans="1:84" s="174" customFormat="1" ht="29" x14ac:dyDescent="0.3">
      <c r="A43" s="169"/>
      <c r="B43" s="2528"/>
      <c r="C43" s="2530" t="s">
        <v>1162</v>
      </c>
      <c r="D43" s="445" t="s">
        <v>3</v>
      </c>
      <c r="E43" s="878" t="b">
        <f t="shared" si="3"/>
        <v>0</v>
      </c>
      <c r="F43" s="355"/>
      <c r="G43" s="1242" t="str">
        <f t="shared" si="1"/>
        <v/>
      </c>
      <c r="H43" s="1271"/>
      <c r="I43" s="3382"/>
      <c r="J43" s="3384"/>
      <c r="K43" s="3384"/>
      <c r="L43" s="3385"/>
      <c r="M43" s="3393"/>
      <c r="N43" s="4426"/>
      <c r="O43" s="4432"/>
      <c r="P43" s="2532"/>
      <c r="Q43" s="2533" t="s">
        <v>3</v>
      </c>
      <c r="R43" s="1272" t="b">
        <f t="shared" ref="R43:R49" si="4">IF(OR(Q43="Compliant",Q43="FE with work-a-round",Q43="Functionally Equivalent"),TRUE,FALSE)</f>
        <v>0</v>
      </c>
      <c r="S43" s="787"/>
      <c r="T43" s="788"/>
      <c r="U43" s="786"/>
      <c r="V43" s="4429"/>
      <c r="W43" s="4455"/>
      <c r="X43" s="1273"/>
      <c r="Y43" s="788"/>
      <c r="Z43" s="786"/>
      <c r="AA43" s="172"/>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73"/>
    </row>
    <row r="44" spans="1:84" s="174" customFormat="1" ht="116" x14ac:dyDescent="0.3">
      <c r="A44" s="169"/>
      <c r="B44" s="1198"/>
      <c r="C44" s="1345" t="s">
        <v>1808</v>
      </c>
      <c r="D44" s="445" t="s">
        <v>3</v>
      </c>
      <c r="E44" s="878" t="b">
        <f t="shared" si="3"/>
        <v>0</v>
      </c>
      <c r="F44" s="355"/>
      <c r="G44" s="1242" t="str">
        <f t="shared" si="1"/>
        <v/>
      </c>
      <c r="H44" s="1271"/>
      <c r="I44" s="3382"/>
      <c r="J44" s="3384"/>
      <c r="K44" s="3384"/>
      <c r="L44" s="3385"/>
      <c r="M44" s="3393"/>
      <c r="N44" s="4426"/>
      <c r="O44" s="4432"/>
      <c r="P44" s="786"/>
      <c r="Q44" s="1140" t="s">
        <v>3</v>
      </c>
      <c r="R44" s="1272" t="b">
        <f t="shared" si="4"/>
        <v>0</v>
      </c>
      <c r="S44" s="787"/>
      <c r="T44" s="788"/>
      <c r="U44" s="786"/>
      <c r="V44" s="4429"/>
      <c r="W44" s="4455"/>
      <c r="X44" s="1273"/>
      <c r="Y44" s="788"/>
      <c r="Z44" s="786"/>
      <c r="AA44" s="172"/>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73"/>
    </row>
    <row r="45" spans="1:84" s="174" customFormat="1" ht="43.5" x14ac:dyDescent="0.3">
      <c r="A45" s="169"/>
      <c r="B45" s="1198"/>
      <c r="C45" s="1345" t="s">
        <v>1175</v>
      </c>
      <c r="D45" s="445" t="s">
        <v>3</v>
      </c>
      <c r="E45" s="878" t="b">
        <f t="shared" si="3"/>
        <v>0</v>
      </c>
      <c r="F45" s="355"/>
      <c r="G45" s="1242" t="str">
        <f t="shared" si="1"/>
        <v/>
      </c>
      <c r="H45" s="1271"/>
      <c r="I45" s="3382"/>
      <c r="J45" s="3384"/>
      <c r="K45" s="3384"/>
      <c r="L45" s="3385"/>
      <c r="M45" s="3393"/>
      <c r="N45" s="4426"/>
      <c r="O45" s="4432"/>
      <c r="P45" s="786"/>
      <c r="Q45" s="1140" t="s">
        <v>3</v>
      </c>
      <c r="R45" s="1272" t="b">
        <f t="shared" si="4"/>
        <v>0</v>
      </c>
      <c r="S45" s="787"/>
      <c r="T45" s="788"/>
      <c r="U45" s="786"/>
      <c r="V45" s="4429"/>
      <c r="W45" s="4455"/>
      <c r="X45" s="1273"/>
      <c r="Y45" s="788"/>
      <c r="Z45" s="786"/>
      <c r="AA45" s="172"/>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73"/>
    </row>
    <row r="46" spans="1:84" s="174" customFormat="1" ht="29" x14ac:dyDescent="0.3">
      <c r="A46" s="169"/>
      <c r="B46" s="1198"/>
      <c r="C46" s="1345" t="s">
        <v>1161</v>
      </c>
      <c r="D46" s="445" t="s">
        <v>3</v>
      </c>
      <c r="E46" s="878" t="b">
        <f t="shared" si="3"/>
        <v>0</v>
      </c>
      <c r="F46" s="355"/>
      <c r="G46" s="1242" t="str">
        <f t="shared" si="1"/>
        <v/>
      </c>
      <c r="H46" s="1271"/>
      <c r="I46" s="3382"/>
      <c r="J46" s="3384"/>
      <c r="K46" s="3384"/>
      <c r="L46" s="3385"/>
      <c r="M46" s="3393"/>
      <c r="N46" s="4426"/>
      <c r="O46" s="4432"/>
      <c r="P46" s="786"/>
      <c r="Q46" s="1140" t="s">
        <v>3</v>
      </c>
      <c r="R46" s="1272" t="b">
        <f t="shared" si="4"/>
        <v>0</v>
      </c>
      <c r="S46" s="787"/>
      <c r="T46" s="788"/>
      <c r="U46" s="786"/>
      <c r="V46" s="4429"/>
      <c r="W46" s="4455"/>
      <c r="X46" s="1273"/>
      <c r="Y46" s="788"/>
      <c r="Z46" s="786"/>
      <c r="AA46" s="172"/>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73"/>
    </row>
    <row r="47" spans="1:84" s="174" customFormat="1" ht="58.5" thickBot="1" x14ac:dyDescent="0.35">
      <c r="A47" s="169"/>
      <c r="B47" s="1198"/>
      <c r="C47" s="1346" t="s">
        <v>1176</v>
      </c>
      <c r="D47" s="886" t="s">
        <v>3</v>
      </c>
      <c r="E47" s="879" t="b">
        <f t="shared" si="3"/>
        <v>0</v>
      </c>
      <c r="F47" s="754"/>
      <c r="G47" s="1246" t="str">
        <f t="shared" si="1"/>
        <v/>
      </c>
      <c r="H47" s="1274"/>
      <c r="I47" s="3403"/>
      <c r="J47" s="3394"/>
      <c r="K47" s="3394"/>
      <c r="L47" s="3395"/>
      <c r="M47" s="3396"/>
      <c r="N47" s="4427"/>
      <c r="O47" s="4433"/>
      <c r="P47" s="789"/>
      <c r="Q47" s="1141" t="s">
        <v>3</v>
      </c>
      <c r="R47" s="1275" t="b">
        <f t="shared" si="4"/>
        <v>0</v>
      </c>
      <c r="S47" s="790"/>
      <c r="T47" s="791"/>
      <c r="U47" s="789"/>
      <c r="V47" s="4430"/>
      <c r="W47" s="4456"/>
      <c r="X47" s="1276"/>
      <c r="Y47" s="791"/>
      <c r="Z47" s="789"/>
      <c r="AA47" s="172"/>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73"/>
    </row>
    <row r="48" spans="1:84" s="174" customFormat="1" ht="276.5" thickTop="1" thickBot="1" x14ac:dyDescent="0.35">
      <c r="A48" s="169" t="s">
        <v>203</v>
      </c>
      <c r="B48" s="1198" t="s">
        <v>1809</v>
      </c>
      <c r="C48" s="1347" t="s">
        <v>1810</v>
      </c>
      <c r="D48" s="887" t="s">
        <v>3</v>
      </c>
      <c r="E48" s="880" t="b">
        <f t="shared" si="3"/>
        <v>0</v>
      </c>
      <c r="F48" s="777"/>
      <c r="G48" s="1249" t="str">
        <f t="shared" si="1"/>
        <v/>
      </c>
      <c r="H48" s="1250"/>
      <c r="I48" s="3383"/>
      <c r="J48" s="3397"/>
      <c r="K48" s="3397"/>
      <c r="L48" s="3398"/>
      <c r="M48" s="3399"/>
      <c r="N48" s="779" t="s">
        <v>3</v>
      </c>
      <c r="O48" s="3579" t="b">
        <f>IF(OR(N48="Compliant",N48="FE with work-a-round",N48="Functionally Equivalent"),TRUE,FALSE)</f>
        <v>0</v>
      </c>
      <c r="P48" s="1912"/>
      <c r="Q48" s="780" t="s">
        <v>3</v>
      </c>
      <c r="R48" s="1278" t="b">
        <f t="shared" si="4"/>
        <v>0</v>
      </c>
      <c r="S48" s="1278"/>
      <c r="T48" s="1278"/>
      <c r="U48" s="1277"/>
      <c r="V48" s="781" t="s">
        <v>3</v>
      </c>
      <c r="W48" s="1279" t="b">
        <f>IF(OR(V48="Compliant",V48="FE with work-a-round",V48="Functionally Equivalent",V48="Not Required/Applicable"),TRUE,FALSE)</f>
        <v>0</v>
      </c>
      <c r="X48" s="999"/>
      <c r="Y48" s="782"/>
      <c r="Z48" s="778"/>
      <c r="AA48" s="172"/>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73"/>
    </row>
    <row r="49" spans="1:84" s="174" customFormat="1" ht="102.5" thickTop="1" thickBot="1" x14ac:dyDescent="0.35">
      <c r="A49" s="176"/>
      <c r="B49" s="1198" t="s">
        <v>1785</v>
      </c>
      <c r="C49" s="1349" t="s">
        <v>1174</v>
      </c>
      <c r="D49" s="888" t="s">
        <v>3</v>
      </c>
      <c r="E49" s="885" t="b">
        <f t="shared" si="3"/>
        <v>0</v>
      </c>
      <c r="F49" s="775"/>
      <c r="G49" s="1280" t="str">
        <f t="shared" si="1"/>
        <v/>
      </c>
      <c r="H49" s="1281"/>
      <c r="I49" s="3404"/>
      <c r="J49" s="3400"/>
      <c r="K49" s="3400"/>
      <c r="L49" s="3401"/>
      <c r="M49" s="3402"/>
      <c r="N49" s="1145" t="s">
        <v>3</v>
      </c>
      <c r="O49" s="3523" t="b">
        <f>IF(OR(N49="Compliant",N49="FE with work-a-round",N49="Functionally Equivalent"),TRUE,FALSE)</f>
        <v>0</v>
      </c>
      <c r="P49" s="3580"/>
      <c r="Q49" s="1014" t="s">
        <v>3</v>
      </c>
      <c r="R49" s="1282" t="b">
        <f t="shared" si="4"/>
        <v>0</v>
      </c>
      <c r="S49" s="467"/>
      <c r="T49" s="467"/>
      <c r="U49" s="469"/>
      <c r="V49" s="1139" t="s">
        <v>3</v>
      </c>
      <c r="W49" s="1282" t="b">
        <f>IF(OR(V49="Compliant",V49="FE with work-a-round",V49="Functionally Equivalent",V49="Not Required/Applicable"),TRUE,FALSE)</f>
        <v>0</v>
      </c>
      <c r="X49" s="1283"/>
      <c r="Y49" s="776"/>
      <c r="Z49" s="767"/>
      <c r="AA49" s="172"/>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73"/>
    </row>
    <row r="50" spans="1:84" s="3978" customFormat="1" ht="16" thickTop="1" x14ac:dyDescent="0.3">
      <c r="A50" s="3974"/>
      <c r="B50" s="3975"/>
      <c r="C50" s="3954"/>
      <c r="D50" s="3954"/>
      <c r="E50" s="3954"/>
      <c r="F50" s="3954"/>
      <c r="G50" s="3908"/>
      <c r="H50" s="3939"/>
      <c r="I50" s="3939"/>
      <c r="J50" s="3955"/>
      <c r="K50" s="3954"/>
      <c r="L50" s="3954"/>
      <c r="M50" s="3954"/>
      <c r="N50" s="3976"/>
      <c r="O50" s="3953"/>
      <c r="P50" s="3954"/>
      <c r="Q50" s="3954"/>
      <c r="R50" s="3954"/>
      <c r="S50" s="3954"/>
      <c r="T50" s="3954"/>
      <c r="U50" s="3954"/>
      <c r="V50" s="3945"/>
      <c r="W50" s="3954"/>
      <c r="X50" s="3954"/>
      <c r="Y50" s="3954"/>
      <c r="Z50" s="3954"/>
      <c r="AA50" s="3954"/>
      <c r="AB50" s="3954"/>
      <c r="AC50" s="3954"/>
      <c r="AD50" s="3954"/>
      <c r="AE50" s="3954"/>
      <c r="AF50" s="3954"/>
      <c r="AG50" s="3954"/>
      <c r="AH50" s="3954"/>
      <c r="AI50" s="3954"/>
      <c r="AJ50" s="3954"/>
      <c r="AK50" s="3954"/>
      <c r="AL50" s="3954"/>
      <c r="AM50" s="3954"/>
      <c r="AN50" s="3954"/>
      <c r="AO50" s="3954"/>
      <c r="AP50" s="3954"/>
      <c r="AQ50" s="3954"/>
      <c r="AR50" s="3954"/>
      <c r="AS50" s="3954"/>
      <c r="AT50" s="3954"/>
      <c r="AU50" s="3954"/>
      <c r="AV50" s="3954"/>
      <c r="AW50" s="3954"/>
      <c r="AX50" s="3954"/>
      <c r="AY50" s="3954"/>
      <c r="AZ50" s="3954"/>
      <c r="BA50" s="3954"/>
      <c r="BB50" s="3954"/>
      <c r="BC50" s="3954"/>
      <c r="BD50" s="3954"/>
      <c r="BE50" s="3954"/>
      <c r="BF50" s="3954"/>
      <c r="BG50" s="3954"/>
      <c r="BH50" s="3954"/>
      <c r="BI50" s="3954"/>
      <c r="BJ50" s="3954"/>
      <c r="BK50" s="3954"/>
      <c r="BL50" s="3954"/>
      <c r="BM50" s="3954"/>
      <c r="BN50" s="3954"/>
      <c r="BO50" s="3954"/>
      <c r="BP50" s="3954"/>
      <c r="BQ50" s="3954"/>
      <c r="BR50" s="3954"/>
      <c r="BS50" s="3954"/>
      <c r="BT50" s="3954"/>
      <c r="BU50" s="3954"/>
      <c r="BV50" s="3954"/>
      <c r="BW50" s="3954"/>
      <c r="BX50" s="3954"/>
      <c r="BY50" s="3954"/>
      <c r="BZ50" s="3954"/>
      <c r="CA50" s="3954"/>
      <c r="CB50" s="3954"/>
      <c r="CC50" s="3954"/>
      <c r="CD50" s="3954"/>
      <c r="CE50" s="3954"/>
      <c r="CF50" s="3977"/>
    </row>
    <row r="51" spans="1:84" s="3939" customFormat="1" ht="18.5" x14ac:dyDescent="0.3">
      <c r="A51" s="4423" t="s">
        <v>1138</v>
      </c>
      <c r="B51" s="4424"/>
      <c r="C51" s="4424"/>
      <c r="D51" s="4424"/>
      <c r="E51" s="4424"/>
      <c r="F51" s="4424"/>
      <c r="G51" s="4424"/>
      <c r="H51" s="4424"/>
      <c r="I51" s="4424"/>
      <c r="J51" s="4424"/>
      <c r="K51" s="4424"/>
      <c r="L51" s="4424"/>
      <c r="M51" s="4424"/>
      <c r="N51" s="4424"/>
      <c r="O51" s="3956"/>
      <c r="P51" s="3957"/>
      <c r="Q51" s="3957"/>
      <c r="R51" s="3957"/>
      <c r="S51" s="3958"/>
      <c r="T51" s="3959"/>
      <c r="U51" s="3959"/>
      <c r="V51" s="3960"/>
      <c r="W51" s="3961"/>
      <c r="X51" s="3961"/>
      <c r="Y51" s="3962"/>
      <c r="Z51" s="3963"/>
    </row>
    <row r="52" spans="1:84" s="3982" customFormat="1" ht="16" thickBot="1" x14ac:dyDescent="0.35">
      <c r="A52" s="3954"/>
      <c r="B52" s="3979"/>
      <c r="C52" s="3980"/>
      <c r="D52" s="3979"/>
      <c r="E52" s="3979"/>
      <c r="F52" s="3979"/>
      <c r="G52" s="3966"/>
      <c r="H52" s="3965"/>
      <c r="I52" s="3979"/>
      <c r="J52" s="3981"/>
      <c r="K52" s="3979"/>
      <c r="L52" s="3979"/>
      <c r="M52" s="3979"/>
      <c r="N52" s="3969"/>
      <c r="O52" s="3969"/>
      <c r="P52" s="3979"/>
      <c r="Q52" s="3979"/>
      <c r="R52" s="3979"/>
      <c r="S52" s="3979"/>
      <c r="T52" s="3979"/>
      <c r="U52" s="3979"/>
      <c r="V52" s="3970"/>
      <c r="W52" s="3979"/>
      <c r="X52" s="3979"/>
      <c r="Y52" s="3979"/>
      <c r="Z52" s="3979"/>
      <c r="AA52" s="3954"/>
      <c r="AB52" s="3954"/>
      <c r="AC52" s="3954"/>
      <c r="AD52" s="3954"/>
      <c r="AE52" s="3954"/>
      <c r="AF52" s="3954"/>
      <c r="AG52" s="3954"/>
      <c r="AH52" s="3954"/>
      <c r="AI52" s="3954"/>
      <c r="AJ52" s="3954"/>
      <c r="AK52" s="3954"/>
      <c r="AL52" s="3954"/>
      <c r="AM52" s="3954"/>
      <c r="AN52" s="3954"/>
      <c r="AO52" s="3954"/>
      <c r="AP52" s="3954"/>
      <c r="AQ52" s="3954"/>
      <c r="AR52" s="3954"/>
      <c r="AS52" s="3954"/>
      <c r="AT52" s="3954"/>
      <c r="AU52" s="3954"/>
      <c r="AV52" s="3954"/>
      <c r="AW52" s="3954"/>
      <c r="AX52" s="3954"/>
      <c r="AY52" s="3954"/>
      <c r="AZ52" s="3954"/>
      <c r="BA52" s="3954"/>
      <c r="BB52" s="3954"/>
      <c r="BC52" s="3954"/>
      <c r="BD52" s="3954"/>
      <c r="BE52" s="3954"/>
      <c r="BF52" s="3954"/>
      <c r="BG52" s="3954"/>
      <c r="BH52" s="3954"/>
      <c r="BI52" s="3954"/>
      <c r="BJ52" s="3954"/>
      <c r="BK52" s="3954"/>
      <c r="BL52" s="3954"/>
      <c r="BM52" s="3954"/>
      <c r="BN52" s="3954"/>
      <c r="BO52" s="3954"/>
      <c r="BP52" s="3954"/>
      <c r="BQ52" s="3954"/>
      <c r="BR52" s="3954"/>
      <c r="BS52" s="3954"/>
      <c r="BT52" s="3954"/>
      <c r="BU52" s="3954"/>
      <c r="BV52" s="3954"/>
      <c r="BW52" s="3954"/>
      <c r="BX52" s="3954"/>
      <c r="BY52" s="3954"/>
      <c r="BZ52" s="3954"/>
      <c r="CA52" s="3954"/>
      <c r="CB52" s="3954"/>
      <c r="CC52" s="3954"/>
      <c r="CD52" s="3954"/>
      <c r="CE52" s="3954"/>
      <c r="CF52" s="3977"/>
    </row>
    <row r="53" spans="1:84" s="359" customFormat="1" ht="30" thickTop="1" thickBot="1" x14ac:dyDescent="0.35">
      <c r="A53" s="356"/>
      <c r="B53" s="1190" t="s">
        <v>1811</v>
      </c>
      <c r="C53" s="1344" t="s">
        <v>1523</v>
      </c>
      <c r="D53" s="1194" t="s">
        <v>565</v>
      </c>
      <c r="E53" s="1369" t="b">
        <f>IF(AND(E54=TRUE,E55=TRUE,E60=TRUE,E61=TRUE,E72=TRUE,E73=TRUE),TRUE,FALSE)</f>
        <v>0</v>
      </c>
      <c r="F53" s="1370">
        <f>COUNTIF(E54,TRUE)+SUM(F55,F61)+COUNTIF(E72:E73,TRUE)</f>
        <v>0</v>
      </c>
      <c r="G53" s="1371">
        <f>COUNTIFS(E54:E73,TRUE,G54:G73,"Not Blank")</f>
        <v>0</v>
      </c>
      <c r="H53" s="1372">
        <f>COUNTIFS(E54:E73,FALSE,G54:G73,"Not Blank")</f>
        <v>0</v>
      </c>
      <c r="I53" s="1351" t="str">
        <f xml:space="preserve">
IF(F53&gt;18,"Too Many Entries - Check Red Lines",
IF(G53&lt;F53,"Valid Entry required below - Check Amber Line/s",
IF(AND(E53=FALSE,G53=0,H53=0),"Nothing Entered below Yet",
IF(G53&lt;F53,"Valid Entry required below - Check Amber Line/s",
IF(AND(G53=0,H53&gt;0),"**Non-Valid Entry/ies below - Check Yellow Line/s",
IF(AND(G53&gt;0,H53&gt;0),"**Valid and Non-Valid Entries made below - Check Yellow Line/s",
IF(AND(E53=FALSE,F53&lt;18),"Not all requirements addressed below - Check Pink Line/s",
IF(AND(E53=FALSE,G53&lt;18,G53&gt;0,H53=0),"More entries to come",
IF(AND(E53,TRUE,G53=18,H53=0),"Valid Entries made below"
)))))))))</f>
        <v>Nothing Entered below Yet</v>
      </c>
      <c r="J53" s="1352">
        <f>COUNTIFS(E54:E73,TRUE,J54:J73,"Not Blank")</f>
        <v>0</v>
      </c>
      <c r="K53" s="1351">
        <f>COUNTIFS(E54:E63,FALSE,J54:J63,"Not Blank")</f>
        <v>0</v>
      </c>
      <c r="L53" s="1357" t="str">
        <f xml:space="preserve">
IF(J53&gt;18,"Too Many Entries - Check Red Lines",
IF(J53&lt;F53,"Valid Entry required below - Check Amber Line/s",
IF(AND(E53=FALSE,J53=0,K53=0),"Nothing Entered below Yet",
IF(AND(J53=0,K53&gt;0),"**Non-Valid Entry/ies below - Check Yellow Line/s",
IF(AND(J53&gt;0,K53&gt;0),"**Valid and Non-Valid Entries made below - Check Yellow Line/s",
IF(AND(E53=FALSE,J53&lt;18),"Not all requirements addressed below - Check Pink Line/s",
IF(AND(E53=FALSE,J53&lt;18,J53&gt;0,K53=0),"More entries to come",
IF(AND(E53,TRUE,J53=18,K53=0),"Valid Entries made below"
))))))))</f>
        <v>Nothing Entered below Yet</v>
      </c>
      <c r="M53" s="761"/>
      <c r="N53" s="1195" t="s">
        <v>565</v>
      </c>
      <c r="O53" s="132" t="b">
        <f>IF(AND(O54=TRUE,O55=TRUE,O60=TRUE,O61=TRUE,O72=TRUE,O73=TRUE),TRUE,FALSE)</f>
        <v>0</v>
      </c>
      <c r="P53" s="337"/>
      <c r="Q53" s="1197" t="s">
        <v>565</v>
      </c>
      <c r="R53" s="892" t="b">
        <f>IF(AND(R54=TRUE,R55=TRUE,R60=TRUE,R61=TRUE,R72=TRUE,R73=TRUE),TRUE,FALSE)</f>
        <v>0</v>
      </c>
      <c r="S53" s="336"/>
      <c r="T53" s="336"/>
      <c r="U53" s="640"/>
      <c r="V53" s="1197" t="s">
        <v>565</v>
      </c>
      <c r="W53" s="703" t="b">
        <f>IF(AND(W54=TRUE,W55=TRUE,W60=TRUE,W61=TRUE,W72=TRUE,W73=TRUE),TRUE,FALSE)</f>
        <v>0</v>
      </c>
      <c r="X53" s="703"/>
      <c r="Y53" s="760"/>
      <c r="Z53" s="761"/>
      <c r="AA53" s="357"/>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8"/>
    </row>
    <row r="54" spans="1:84" s="174" customFormat="1" ht="117" thickTop="1" thickBot="1" x14ac:dyDescent="0.35">
      <c r="A54" s="169" t="s">
        <v>194</v>
      </c>
      <c r="B54" s="1364" t="s">
        <v>1525</v>
      </c>
      <c r="C54" s="1365" t="s">
        <v>1812</v>
      </c>
      <c r="D54" s="875" t="s">
        <v>3</v>
      </c>
      <c r="E54" s="872" t="b">
        <f>IF(D54="Compliant",TRUE,FALSE)</f>
        <v>0</v>
      </c>
      <c r="F54" s="753"/>
      <c r="G54" s="1284" t="str">
        <f>IF(I54&lt;&gt;"", "Not Blank", "")</f>
        <v/>
      </c>
      <c r="H54" s="1285"/>
      <c r="I54" s="3407"/>
      <c r="J54" s="3405"/>
      <c r="K54" s="3405"/>
      <c r="L54" s="3406"/>
      <c r="M54" s="763"/>
      <c r="N54" s="1137" t="s">
        <v>3</v>
      </c>
      <c r="O54" s="1144" t="b">
        <f>IF(OR(N54="Compliant",N54="FE with work-a-round",N54="Functionally Equivalent"),TRUE,FALSE)</f>
        <v>0</v>
      </c>
      <c r="P54" s="823"/>
      <c r="Q54" s="1138" t="s">
        <v>3</v>
      </c>
      <c r="R54" s="746" t="b">
        <f>IF(OR(Q54="Compliant",Q54="FE with work-a-round",Q54="Functionally Equivalent"),TRUE,FALSE)</f>
        <v>0</v>
      </c>
      <c r="S54" s="746"/>
      <c r="T54" s="746"/>
      <c r="U54" s="823"/>
      <c r="V54" s="1138" t="s">
        <v>3</v>
      </c>
      <c r="W54" s="1286" t="b">
        <f>IF(OR(V54="Compliant",V54="FE with work-a-round",V54="Functionally Equivalent",V54="Not Required/Applicable"),TRUE,FALSE)</f>
        <v>0</v>
      </c>
      <c r="X54" s="822"/>
      <c r="Y54" s="753"/>
      <c r="Z54" s="763"/>
      <c r="AA54" s="172"/>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73"/>
    </row>
    <row r="55" spans="1:84" s="174" customFormat="1" ht="58.5" thickTop="1" x14ac:dyDescent="0.3">
      <c r="A55" s="169"/>
      <c r="B55" s="2536" t="s">
        <v>1524</v>
      </c>
      <c r="C55" s="2534" t="s">
        <v>1165</v>
      </c>
      <c r="D55" s="1191" t="s">
        <v>565</v>
      </c>
      <c r="E55" s="873" t="b">
        <f>IF(AND(E56=TRUE,E57=TRUE,E58=TRUE,E59=TRUE,E60=TRUE),TRUE,FALSE)</f>
        <v>0</v>
      </c>
      <c r="F55" s="164">
        <f>COUNTIF(E56:E71,TRUE)</f>
        <v>0</v>
      </c>
      <c r="G55" s="1209">
        <f>COUNTIFS(E56:E60,TRUE,G56:G60,"Not Blank")</f>
        <v>0</v>
      </c>
      <c r="H55" s="1208">
        <f>COUNTIFS(E56:E60,FALSE,G56:G60,"Not Blank")</f>
        <v>0</v>
      </c>
      <c r="I55" s="3623" t="str">
        <f xml:space="preserve">
IF(F55&gt;5,"Too Many Entries - Check Red Lines",
IF(G55&lt;F55,"Valid Entry required below - Check Amber Line/s",
IF(AND(E55=FALSE,G55=0,H55=0),"Nothing Entered below Yet",
IF(G55&lt;F55,"Valid Entry required below - Check Amber Line/s",
IF(AND(G55=0,H55&gt;0),"**Non-Valid Entry/ies below - Check Yellow Line/s",
IF(AND(G55&gt;0,H55&gt;0),"**Valid and Non-Valid Entries made below - Check Yellow Line/s",
IF(AND(E55=FALSE,F55&lt;5),"Not all requirements addressed below - Check Pink Line/s",
IF(AND(E55=FALSE,G55&lt;5,G55&gt;0,H55=0),"More entries to come",
IF(AND(E55,TRUE,G55=5,H55=0),"Valid Entries made below"
)))))))))</f>
        <v>Nothing Entered below Yet</v>
      </c>
      <c r="J55" s="3624">
        <f>COUNTIFS(E56:E60,TRUE,J56:J60,"Not Blank")</f>
        <v>0</v>
      </c>
      <c r="K55" s="3625">
        <f>COUNTIFS(E56:E59,FALSE,J56:J59,"Not Blank")</f>
        <v>0</v>
      </c>
      <c r="L55" s="3626" t="str">
        <f xml:space="preserve">
IF(J55&gt;5,"Too Many Entries - Check Red Lines",
IF(J55&lt;F55,"Valid Entry required below - Check Amber Line/s",
IF(AND(E55=FALSE,J55=0,K55=0),"Nothing Entered below Yet",
IF(AND(J55=0,K55&gt;0),"**Non-Valid Entry/ies below - Check Yellow Line/s",
IF(AND(J55&gt;0,K55&gt;0),"**Valid and Non-Valid Entries made below - Check Yellow Line/s",
IF(AND(E55=FALSE,J55&lt;5),"Not all requirements addressed below - Check Pink Line/s",
IF(AND(E55=FALSE,J55&lt;5,J55&gt;0,K55=0),"More entries to come",
IF(AND(E55,TRUE,J55=5,K55=0),"Valid Entries made below"
))))))))</f>
        <v>Nothing Entered below Yet</v>
      </c>
      <c r="M55" s="2537"/>
      <c r="N55" s="4443" t="s">
        <v>3</v>
      </c>
      <c r="O55" s="4440" t="b">
        <f>IF(OR(N55="Compliant",N55="FE with work-a-round",N55="Functionally Equivalent"),TRUE,FALSE)</f>
        <v>0</v>
      </c>
      <c r="P55" s="2538"/>
      <c r="Q55" s="698" t="s">
        <v>565</v>
      </c>
      <c r="R55" s="773" t="b">
        <f>IF(AND(R56=TRUE,R57=TRUE,R58=TRUE,R59=TRUE,R60=TRUE),TRUE,FALSE)</f>
        <v>0</v>
      </c>
      <c r="S55" s="164"/>
      <c r="T55" s="164"/>
      <c r="U55" s="171"/>
      <c r="V55" s="4414" t="s">
        <v>3</v>
      </c>
      <c r="W55" s="4437" t="b">
        <f>IF(OR(V55="Compliant",V55="FE with work-a-round",V55="Functionally Equivalent",V55="Not Required/Applicable"),TRUE,FALSE)</f>
        <v>0</v>
      </c>
      <c r="X55" s="1068"/>
      <c r="Y55" s="164"/>
      <c r="Z55" s="171"/>
      <c r="AA55" s="172"/>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73"/>
    </row>
    <row r="56" spans="1:84" s="174" customFormat="1" ht="72.5" x14ac:dyDescent="0.3">
      <c r="A56" s="169"/>
      <c r="B56" s="1366"/>
      <c r="C56" s="2535" t="s">
        <v>1166</v>
      </c>
      <c r="D56" s="445" t="s">
        <v>3</v>
      </c>
      <c r="E56" s="751" t="b">
        <f>IF(D56="Compliant",TRUE,FALSE)</f>
        <v>0</v>
      </c>
      <c r="F56" s="165"/>
      <c r="G56" s="1216" t="str">
        <f>IF(I56&lt;&gt;"", "Not Blank", "")</f>
        <v/>
      </c>
      <c r="H56" s="1215"/>
      <c r="I56" s="3414"/>
      <c r="J56" s="3408"/>
      <c r="K56" s="3408"/>
      <c r="L56" s="3409"/>
      <c r="M56" s="2518"/>
      <c r="N56" s="4444"/>
      <c r="O56" s="4441"/>
      <c r="P56" s="757"/>
      <c r="Q56" s="2391" t="s">
        <v>3</v>
      </c>
      <c r="R56" s="732" t="b">
        <f>IF(OR(Q56="Compliant",Q56="FE with work-a-round",Q56="Functionally Equivalent"),TRUE,FALSE)</f>
        <v>0</v>
      </c>
      <c r="S56" s="165"/>
      <c r="T56" s="165"/>
      <c r="U56" s="175"/>
      <c r="V56" s="4415"/>
      <c r="W56" s="4438"/>
      <c r="X56" s="822"/>
      <c r="Y56" s="165"/>
      <c r="Z56" s="175"/>
      <c r="AA56" s="172"/>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73"/>
    </row>
    <row r="57" spans="1:84" s="174" customFormat="1" ht="130.5" x14ac:dyDescent="0.3">
      <c r="A57" s="169"/>
      <c r="B57" s="1367"/>
      <c r="C57" s="1342" t="s">
        <v>1813</v>
      </c>
      <c r="D57" s="445" t="s">
        <v>3</v>
      </c>
      <c r="E57" s="751" t="b">
        <f>IF(D57="Compliant",TRUE,FALSE)</f>
        <v>0</v>
      </c>
      <c r="F57" s="165"/>
      <c r="G57" s="1216" t="str">
        <f>IF(I57&lt;&gt;"", "Not Blank", "")</f>
        <v/>
      </c>
      <c r="H57" s="1215"/>
      <c r="I57" s="3414"/>
      <c r="J57" s="3408"/>
      <c r="K57" s="3408"/>
      <c r="L57" s="3409"/>
      <c r="M57" s="175"/>
      <c r="N57" s="4444"/>
      <c r="O57" s="4441"/>
      <c r="P57" s="175"/>
      <c r="Q57" s="847" t="s">
        <v>3</v>
      </c>
      <c r="R57" s="732" t="b">
        <f>IF(OR(Q57="Compliant",Q57="FE with work-a-round",Q57="Functionally Equivalent"),TRUE,FALSE)</f>
        <v>0</v>
      </c>
      <c r="S57" s="165"/>
      <c r="T57" s="165"/>
      <c r="U57" s="175"/>
      <c r="V57" s="4415"/>
      <c r="W57" s="4438"/>
      <c r="X57" s="822"/>
      <c r="Y57" s="165"/>
      <c r="Z57" s="175"/>
      <c r="AA57" s="172"/>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73"/>
    </row>
    <row r="58" spans="1:84" s="174" customFormat="1" ht="159.5" x14ac:dyDescent="0.3">
      <c r="A58" s="169"/>
      <c r="B58" s="1367"/>
      <c r="C58" s="1342" t="s">
        <v>1814</v>
      </c>
      <c r="D58" s="445" t="s">
        <v>3</v>
      </c>
      <c r="E58" s="751" t="b">
        <f>IF(D58="Compliant",TRUE,FALSE)</f>
        <v>0</v>
      </c>
      <c r="F58" s="165"/>
      <c r="G58" s="1216" t="str">
        <f>IF(I58&lt;&gt;"", "Not Blank", "")</f>
        <v/>
      </c>
      <c r="H58" s="1215"/>
      <c r="I58" s="3414"/>
      <c r="J58" s="3408"/>
      <c r="K58" s="3408"/>
      <c r="L58" s="3409"/>
      <c r="M58" s="175"/>
      <c r="N58" s="4444"/>
      <c r="O58" s="4441"/>
      <c r="P58" s="175"/>
      <c r="Q58" s="847" t="s">
        <v>3</v>
      </c>
      <c r="R58" s="732" t="b">
        <f>IF(OR(Q58="Compliant",Q58="FE with work-a-round",Q58="Functionally Equivalent"),TRUE,FALSE)</f>
        <v>0</v>
      </c>
      <c r="S58" s="165"/>
      <c r="T58" s="165"/>
      <c r="U58" s="175"/>
      <c r="V58" s="4415"/>
      <c r="W58" s="4438"/>
      <c r="X58" s="822"/>
      <c r="Y58" s="165"/>
      <c r="Z58" s="175"/>
      <c r="AA58" s="172"/>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73"/>
    </row>
    <row r="59" spans="1:84" s="174" customFormat="1" ht="58.5" thickBot="1" x14ac:dyDescent="0.35">
      <c r="A59" s="169"/>
      <c r="B59" s="1367"/>
      <c r="C59" s="1343" t="s">
        <v>1182</v>
      </c>
      <c r="D59" s="446" t="s">
        <v>3</v>
      </c>
      <c r="E59" s="752" t="b">
        <f>IF(D59="Compliant",TRUE,FALSE)</f>
        <v>0</v>
      </c>
      <c r="F59" s="168"/>
      <c r="G59" s="1287" t="str">
        <f>IF(I59&lt;&gt;"", "Not Blank", "")</f>
        <v/>
      </c>
      <c r="H59" s="1288"/>
      <c r="I59" s="3415"/>
      <c r="J59" s="3410"/>
      <c r="K59" s="3410"/>
      <c r="L59" s="3411"/>
      <c r="M59" s="177"/>
      <c r="N59" s="4445"/>
      <c r="O59" s="4442"/>
      <c r="P59" s="177"/>
      <c r="Q59" s="848" t="s">
        <v>3</v>
      </c>
      <c r="R59" s="812" t="b">
        <f>IF(OR(Q59="Compliant",Q59="FE with work-a-round",Q59="Functionally Equivalent"),TRUE,FALSE)</f>
        <v>0</v>
      </c>
      <c r="S59" s="168"/>
      <c r="T59" s="168"/>
      <c r="U59" s="177"/>
      <c r="V59" s="4416"/>
      <c r="W59" s="4439"/>
      <c r="X59" s="1283"/>
      <c r="Y59" s="168"/>
      <c r="Z59" s="177"/>
      <c r="AA59" s="172"/>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73"/>
    </row>
    <row r="60" spans="1:84" s="174" customFormat="1" ht="349" thickTop="1" thickBot="1" x14ac:dyDescent="0.35">
      <c r="A60" s="169"/>
      <c r="B60" s="1367" t="s">
        <v>1526</v>
      </c>
      <c r="C60" s="1368" t="s">
        <v>1815</v>
      </c>
      <c r="D60" s="876" t="s">
        <v>3</v>
      </c>
      <c r="E60" s="874" t="b">
        <f>IF(D60="Compliant",TRUE,FALSE)</f>
        <v>0</v>
      </c>
      <c r="F60" s="802"/>
      <c r="G60" s="1289" t="str">
        <f>IF(I60&lt;&gt;"", "Not Blank", "")</f>
        <v/>
      </c>
      <c r="H60" s="1290"/>
      <c r="I60" s="3416"/>
      <c r="J60" s="3412"/>
      <c r="K60" s="3412"/>
      <c r="L60" s="3413"/>
      <c r="M60" s="805"/>
      <c r="N60" s="925" t="s">
        <v>3</v>
      </c>
      <c r="O60" s="948" t="b">
        <f>IF(OR(N60="Compliant",N60="FE with work-a-round",N60="Functionally Equivalent"),TRUE,FALSE)</f>
        <v>0</v>
      </c>
      <c r="P60" s="805"/>
      <c r="Q60" s="925" t="s">
        <v>3</v>
      </c>
      <c r="R60" s="816" t="b">
        <f>IF(OR(Q60="Compliant",Q60="FE with work-a-round",Q60="Functionally Equivalent"),TRUE,FALSE)</f>
        <v>0</v>
      </c>
      <c r="S60" s="802"/>
      <c r="T60" s="802"/>
      <c r="U60" s="805"/>
      <c r="V60" s="925" t="s">
        <v>3</v>
      </c>
      <c r="W60" s="335" t="b">
        <f>IF(OR(V60="Compliant",V60="FE with work-a-round",V60="Functionally Equivalent",V60="Not Required/Applicable"),TRUE,FALSE)</f>
        <v>0</v>
      </c>
      <c r="X60" s="464"/>
      <c r="Y60" s="802"/>
      <c r="Z60" s="805"/>
      <c r="AA60" s="172"/>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73"/>
    </row>
    <row r="61" spans="1:84" s="174" customFormat="1" ht="47.5" customHeight="1" thickTop="1" x14ac:dyDescent="0.3">
      <c r="A61" s="169">
        <v>5.0999999999999996</v>
      </c>
      <c r="B61" s="2536" t="s">
        <v>1527</v>
      </c>
      <c r="C61" s="2539" t="s">
        <v>998</v>
      </c>
      <c r="D61" s="1191" t="s">
        <v>565</v>
      </c>
      <c r="E61" s="1359" t="b">
        <f>IF(AND(E62=TRUE,E63=TRUE,E64=TRUE,E65=TRUE,E66=TRUE,E67=TRUE,E68=TRUE,E69=TRUE,E70=TRUE,E71=TRUE,E72=TRUE,E73=TRUE),TRUE,FALSE)</f>
        <v>0</v>
      </c>
      <c r="F61" s="1359">
        <f>COUNTIF(E62:E73,TRUE)</f>
        <v>0</v>
      </c>
      <c r="G61" s="1360">
        <f>COUNTIFS(E62:E73,TRUE,G62:G73,"Not Blank")</f>
        <v>0</v>
      </c>
      <c r="H61" s="1361">
        <f>COUNTIFS(E62:E73,FALSE,G62:G73,"Not Blank")</f>
        <v>0</v>
      </c>
      <c r="I61" s="2541" t="str">
        <f xml:space="preserve">
IF(F61&gt;12,"Too Many Entries - Check Red Lines",
IF(G61&lt;F61,"Valid Entry required below - Check Amber Line/s",
IF(AND(E61=FALSE,G61=0,H61=0),"Nothing Entered below Yet",
IF(G61&lt;F61,"Valid Entry required below - Check Amber Line/s",
IF(AND(G61=0,H61&gt;0),"**Non-Valid Entry/ies below - Check Yellow Line/s",
IF(AND(G61&gt;0,H61&gt;0),"**Valid and Non-Valid Entries made below - Check Yellow Line/s",
IF(AND(E61=FALSE,F61&lt;12),"Not all requirements addressed below - Check Pink Line/s",
IF(AND(E61=FALSE,G61&lt;12,G61&gt;0,H61=0),"More entries to come",
IF(AND(E61,TRUE,G61=12,H61=0),"Valid Entries made below"
)))))))))</f>
        <v>Nothing Entered below Yet</v>
      </c>
      <c r="J61" s="2542">
        <f>COUNTIFS(E62:E73,TRUE,J62:J73,"Not Blank")</f>
        <v>0</v>
      </c>
      <c r="K61" s="2541">
        <f>COUNTIFS(E62:E73,FALSE,J62:J73,"Not Blank")</f>
        <v>0</v>
      </c>
      <c r="L61" s="2517" t="str">
        <f xml:space="preserve">
IF(J61&gt;12,"Too Many Entries - Check Red Lines",
IF(J61&lt;F61,"Valid Entry required below - Check Amber Line/s",
IF(AND(E61=FALSE,J61=0,K61=0),"Nothing Entered below Yet",
IF(AND(J61=0,K61&gt;0),"**Non-Valid Entry/ies below - Check Yellow Line/s",
IF(AND(J61&gt;0,K61&gt;0),"**Valid and Non-Valid Entries made below - Check Yellow Line/s",
IF(AND(E61=FALSE,J61&lt;12),"Not all requirements addressed below - Check Pink Line/s",
IF(AND(E61=FALSE,J61&lt;12,J61&gt;0,K61=0),"More entries to come",
IF(AND(E61,TRUE,J61=12,K61=0),"Valid Entries made below"
))))))))</f>
        <v>Nothing Entered below Yet</v>
      </c>
      <c r="M61" s="2538"/>
      <c r="N61" s="4443" t="s">
        <v>3</v>
      </c>
      <c r="O61" s="4440" t="b">
        <f>IF(OR(N61="Compliant",N61="FE with work-a-round",N61="Functionally Equivalent"),TRUE,FALSE)</f>
        <v>0</v>
      </c>
      <c r="P61" s="2537"/>
      <c r="Q61" s="698" t="s">
        <v>565</v>
      </c>
      <c r="R61" s="773" t="b">
        <f>IF(AND(R62=TRUE,R63=TRUE,R64=TRUE,R65=TRUE,R66=TRUE,R67=TRUE,R68=TRUE,R69=TRUE,R70=TRUE,R71=TRUE),TRUE,FALSE)</f>
        <v>0</v>
      </c>
      <c r="S61" s="164"/>
      <c r="T61" s="164"/>
      <c r="U61" s="171"/>
      <c r="V61" s="4414" t="s">
        <v>3</v>
      </c>
      <c r="W61" s="4437" t="b">
        <f>IF(OR(V61="Compliant",V61="FE with work-a-round",V61="Functionally Equivalent",V61="Not Required/Applicable"),TRUE,FALSE)</f>
        <v>0</v>
      </c>
      <c r="X61" s="1068"/>
      <c r="Y61" s="164"/>
      <c r="Z61" s="171"/>
      <c r="AA61" s="172"/>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73"/>
    </row>
    <row r="62" spans="1:84" s="174" customFormat="1" ht="72.5" x14ac:dyDescent="0.3">
      <c r="A62" s="169"/>
      <c r="B62" s="2540"/>
      <c r="C62" s="2500" t="s">
        <v>1816</v>
      </c>
      <c r="D62" s="445" t="s">
        <v>3</v>
      </c>
      <c r="E62" s="751" t="b">
        <f t="shared" ref="E62:E73" si="5">IF(D62="Compliant",TRUE,FALSE)</f>
        <v>0</v>
      </c>
      <c r="F62" s="165"/>
      <c r="G62" s="1216" t="str">
        <f t="shared" ref="G62:G73" si="6">IF(I62&lt;&gt;"", "Not Blank", "")</f>
        <v/>
      </c>
      <c r="H62" s="1215"/>
      <c r="I62" s="3420"/>
      <c r="J62" s="3417" t="str">
        <f t="shared" ref="J62:J73" si="7">IF(L62&lt;&gt;"", "Not Blank", "")</f>
        <v/>
      </c>
      <c r="K62" s="3417"/>
      <c r="L62" s="3418"/>
      <c r="M62" s="3419"/>
      <c r="N62" s="4444"/>
      <c r="O62" s="4441"/>
      <c r="P62" s="2518"/>
      <c r="Q62" s="2391" t="s">
        <v>3</v>
      </c>
      <c r="R62" s="732" t="b">
        <f t="shared" ref="R62:R73" si="8">IF(OR(Q62="Compliant",Q62="FE with work-a-round",Q62="Functionally Equivalent"),TRUE,FALSE)</f>
        <v>0</v>
      </c>
      <c r="S62" s="165"/>
      <c r="T62" s="165"/>
      <c r="U62" s="175"/>
      <c r="V62" s="4415"/>
      <c r="W62" s="4438"/>
      <c r="X62" s="822"/>
      <c r="Y62" s="165"/>
      <c r="Z62" s="175"/>
      <c r="AA62" s="172"/>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73"/>
    </row>
    <row r="63" spans="1:84" s="174" customFormat="1" ht="87" x14ac:dyDescent="0.3">
      <c r="A63" s="169"/>
      <c r="B63" s="1367"/>
      <c r="C63" s="1342" t="s">
        <v>1171</v>
      </c>
      <c r="D63" s="445" t="s">
        <v>3</v>
      </c>
      <c r="E63" s="751" t="b">
        <f t="shared" si="5"/>
        <v>0</v>
      </c>
      <c r="F63" s="165"/>
      <c r="G63" s="1216" t="str">
        <f t="shared" si="6"/>
        <v/>
      </c>
      <c r="H63" s="1215"/>
      <c r="I63" s="3427"/>
      <c r="J63" s="3421" t="str">
        <f t="shared" si="7"/>
        <v/>
      </c>
      <c r="K63" s="3421"/>
      <c r="L63" s="3422"/>
      <c r="M63" s="3423"/>
      <c r="N63" s="4444"/>
      <c r="O63" s="4441"/>
      <c r="P63" s="175"/>
      <c r="Q63" s="847" t="s">
        <v>3</v>
      </c>
      <c r="R63" s="732" t="b">
        <f t="shared" si="8"/>
        <v>0</v>
      </c>
      <c r="S63" s="165"/>
      <c r="T63" s="165"/>
      <c r="U63" s="175"/>
      <c r="V63" s="4415"/>
      <c r="W63" s="4438"/>
      <c r="X63" s="822"/>
      <c r="Y63" s="165"/>
      <c r="Z63" s="175"/>
      <c r="AA63" s="172"/>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73"/>
    </row>
    <row r="64" spans="1:84" s="174" customFormat="1" ht="116" x14ac:dyDescent="0.3">
      <c r="A64" s="169"/>
      <c r="B64" s="1367"/>
      <c r="C64" s="1342" t="s">
        <v>1172</v>
      </c>
      <c r="D64" s="445" t="s">
        <v>3</v>
      </c>
      <c r="E64" s="751" t="b">
        <f t="shared" si="5"/>
        <v>0</v>
      </c>
      <c r="F64" s="165"/>
      <c r="G64" s="1216" t="str">
        <f t="shared" si="6"/>
        <v/>
      </c>
      <c r="H64" s="1215"/>
      <c r="I64" s="3427"/>
      <c r="J64" s="3421" t="str">
        <f t="shared" si="7"/>
        <v/>
      </c>
      <c r="K64" s="3421"/>
      <c r="L64" s="3422"/>
      <c r="M64" s="3423"/>
      <c r="N64" s="4444"/>
      <c r="O64" s="4441"/>
      <c r="P64" s="175"/>
      <c r="Q64" s="847" t="s">
        <v>3</v>
      </c>
      <c r="R64" s="732" t="b">
        <f t="shared" si="8"/>
        <v>0</v>
      </c>
      <c r="S64" s="165"/>
      <c r="T64" s="165"/>
      <c r="U64" s="175"/>
      <c r="V64" s="4415"/>
      <c r="W64" s="4438"/>
      <c r="X64" s="822"/>
      <c r="Y64" s="165"/>
      <c r="Z64" s="175"/>
      <c r="AA64" s="172"/>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73"/>
    </row>
    <row r="65" spans="1:84" s="174" customFormat="1" ht="101.5" x14ac:dyDescent="0.3">
      <c r="A65" s="169"/>
      <c r="B65" s="1367"/>
      <c r="C65" s="1342" t="s">
        <v>1817</v>
      </c>
      <c r="D65" s="445" t="s">
        <v>3</v>
      </c>
      <c r="E65" s="751" t="b">
        <f t="shared" si="5"/>
        <v>0</v>
      </c>
      <c r="F65" s="165"/>
      <c r="G65" s="1216" t="str">
        <f t="shared" si="6"/>
        <v/>
      </c>
      <c r="H65" s="1215"/>
      <c r="I65" s="3427"/>
      <c r="J65" s="3421" t="str">
        <f t="shared" si="7"/>
        <v/>
      </c>
      <c r="K65" s="3421"/>
      <c r="L65" s="3422"/>
      <c r="M65" s="3423"/>
      <c r="N65" s="4444"/>
      <c r="O65" s="4441"/>
      <c r="P65" s="175"/>
      <c r="Q65" s="847" t="s">
        <v>3</v>
      </c>
      <c r="R65" s="732" t="b">
        <f t="shared" si="8"/>
        <v>0</v>
      </c>
      <c r="S65" s="165"/>
      <c r="T65" s="165"/>
      <c r="U65" s="175"/>
      <c r="V65" s="4415"/>
      <c r="W65" s="4438"/>
      <c r="X65" s="822"/>
      <c r="Y65" s="165"/>
      <c r="Z65" s="175"/>
      <c r="AA65" s="172"/>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73"/>
    </row>
    <row r="66" spans="1:84" s="174" customFormat="1" ht="145" x14ac:dyDescent="0.3">
      <c r="A66" s="169"/>
      <c r="B66" s="1367"/>
      <c r="C66" s="1342" t="s">
        <v>1173</v>
      </c>
      <c r="D66" s="445" t="s">
        <v>3</v>
      </c>
      <c r="E66" s="751" t="b">
        <f t="shared" si="5"/>
        <v>0</v>
      </c>
      <c r="F66" s="165"/>
      <c r="G66" s="1216" t="str">
        <f t="shared" si="6"/>
        <v/>
      </c>
      <c r="H66" s="1215"/>
      <c r="I66" s="3427"/>
      <c r="J66" s="3421" t="str">
        <f t="shared" si="7"/>
        <v/>
      </c>
      <c r="K66" s="3421"/>
      <c r="L66" s="3422"/>
      <c r="M66" s="3423"/>
      <c r="N66" s="4444"/>
      <c r="O66" s="4441"/>
      <c r="P66" s="175"/>
      <c r="Q66" s="847" t="s">
        <v>3</v>
      </c>
      <c r="R66" s="732" t="b">
        <f t="shared" si="8"/>
        <v>0</v>
      </c>
      <c r="S66" s="165"/>
      <c r="T66" s="165"/>
      <c r="U66" s="175"/>
      <c r="V66" s="4415"/>
      <c r="W66" s="4438"/>
      <c r="X66" s="822"/>
      <c r="Y66" s="165"/>
      <c r="Z66" s="175"/>
      <c r="AA66" s="172"/>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73"/>
    </row>
    <row r="67" spans="1:84" s="174" customFormat="1" ht="29" x14ac:dyDescent="0.3">
      <c r="A67" s="169"/>
      <c r="B67" s="1367"/>
      <c r="C67" s="1342" t="s">
        <v>999</v>
      </c>
      <c r="D67" s="445" t="s">
        <v>3</v>
      </c>
      <c r="E67" s="751" t="b">
        <f t="shared" si="5"/>
        <v>0</v>
      </c>
      <c r="F67" s="165"/>
      <c r="G67" s="1216" t="str">
        <f t="shared" si="6"/>
        <v/>
      </c>
      <c r="H67" s="1215"/>
      <c r="I67" s="3427"/>
      <c r="J67" s="3421" t="str">
        <f t="shared" si="7"/>
        <v/>
      </c>
      <c r="K67" s="3421"/>
      <c r="L67" s="3422"/>
      <c r="M67" s="3423"/>
      <c r="N67" s="4444"/>
      <c r="O67" s="4441"/>
      <c r="P67" s="175"/>
      <c r="Q67" s="847" t="s">
        <v>3</v>
      </c>
      <c r="R67" s="732" t="b">
        <f t="shared" si="8"/>
        <v>0</v>
      </c>
      <c r="S67" s="165"/>
      <c r="T67" s="165"/>
      <c r="U67" s="175"/>
      <c r="V67" s="4415"/>
      <c r="W67" s="4438"/>
      <c r="X67" s="822"/>
      <c r="Y67" s="165"/>
      <c r="Z67" s="175"/>
      <c r="AA67" s="172"/>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73"/>
    </row>
    <row r="68" spans="1:84" s="174" customFormat="1" ht="188.5" x14ac:dyDescent="0.3">
      <c r="A68" s="169"/>
      <c r="B68" s="1367"/>
      <c r="C68" s="1342" t="s">
        <v>1818</v>
      </c>
      <c r="D68" s="445" t="s">
        <v>3</v>
      </c>
      <c r="E68" s="751" t="b">
        <f t="shared" si="5"/>
        <v>0</v>
      </c>
      <c r="F68" s="165"/>
      <c r="G68" s="1216" t="str">
        <f t="shared" si="6"/>
        <v/>
      </c>
      <c r="H68" s="1215"/>
      <c r="I68" s="3427"/>
      <c r="J68" s="3421" t="str">
        <f t="shared" si="7"/>
        <v/>
      </c>
      <c r="K68" s="3421"/>
      <c r="L68" s="3422"/>
      <c r="M68" s="3423"/>
      <c r="N68" s="4444"/>
      <c r="O68" s="4441"/>
      <c r="P68" s="175"/>
      <c r="Q68" s="847" t="s">
        <v>3</v>
      </c>
      <c r="R68" s="732" t="b">
        <f t="shared" si="8"/>
        <v>0</v>
      </c>
      <c r="S68" s="165"/>
      <c r="T68" s="165"/>
      <c r="U68" s="175"/>
      <c r="V68" s="4415"/>
      <c r="W68" s="4438"/>
      <c r="X68" s="822"/>
      <c r="Y68" s="165"/>
      <c r="Z68" s="175"/>
      <c r="AA68" s="172"/>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73"/>
    </row>
    <row r="69" spans="1:84" s="174" customFormat="1" ht="72.5" x14ac:dyDescent="0.3">
      <c r="A69" s="169"/>
      <c r="B69" s="1367"/>
      <c r="C69" s="1342" t="s">
        <v>1169</v>
      </c>
      <c r="D69" s="445" t="s">
        <v>3</v>
      </c>
      <c r="E69" s="751" t="b">
        <f t="shared" si="5"/>
        <v>0</v>
      </c>
      <c r="F69" s="165"/>
      <c r="G69" s="1216" t="str">
        <f t="shared" si="6"/>
        <v/>
      </c>
      <c r="H69" s="1215"/>
      <c r="I69" s="3427"/>
      <c r="J69" s="3421" t="str">
        <f t="shared" si="7"/>
        <v/>
      </c>
      <c r="K69" s="3421"/>
      <c r="L69" s="3422"/>
      <c r="M69" s="3423"/>
      <c r="N69" s="4444"/>
      <c r="O69" s="4441"/>
      <c r="P69" s="175"/>
      <c r="Q69" s="847" t="s">
        <v>3</v>
      </c>
      <c r="R69" s="732" t="b">
        <f t="shared" si="8"/>
        <v>0</v>
      </c>
      <c r="S69" s="165"/>
      <c r="T69" s="165"/>
      <c r="U69" s="175"/>
      <c r="V69" s="4415"/>
      <c r="W69" s="4438"/>
      <c r="X69" s="822"/>
      <c r="Y69" s="165"/>
      <c r="Z69" s="175"/>
      <c r="AA69" s="172"/>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73"/>
    </row>
    <row r="70" spans="1:84" s="174" customFormat="1" ht="130.5" x14ac:dyDescent="0.3">
      <c r="A70" s="169"/>
      <c r="B70" s="1367"/>
      <c r="C70" s="1342" t="s">
        <v>1168</v>
      </c>
      <c r="D70" s="445" t="s">
        <v>3</v>
      </c>
      <c r="E70" s="751" t="b">
        <f t="shared" si="5"/>
        <v>0</v>
      </c>
      <c r="F70" s="165"/>
      <c r="G70" s="1216" t="str">
        <f t="shared" si="6"/>
        <v/>
      </c>
      <c r="H70" s="1215"/>
      <c r="I70" s="3427"/>
      <c r="J70" s="3421" t="str">
        <f t="shared" si="7"/>
        <v/>
      </c>
      <c r="K70" s="3421"/>
      <c r="L70" s="3422"/>
      <c r="M70" s="3423"/>
      <c r="N70" s="4444"/>
      <c r="O70" s="4441"/>
      <c r="P70" s="175"/>
      <c r="Q70" s="847" t="s">
        <v>3</v>
      </c>
      <c r="R70" s="732" t="b">
        <f t="shared" si="8"/>
        <v>0</v>
      </c>
      <c r="S70" s="165"/>
      <c r="T70" s="165"/>
      <c r="U70" s="175"/>
      <c r="V70" s="4415"/>
      <c r="W70" s="4438"/>
      <c r="X70" s="822"/>
      <c r="Y70" s="165"/>
      <c r="Z70" s="175"/>
      <c r="AA70" s="172"/>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73"/>
    </row>
    <row r="71" spans="1:84" s="174" customFormat="1" ht="73" thickBot="1" x14ac:dyDescent="0.35">
      <c r="A71" s="169"/>
      <c r="B71" s="1367"/>
      <c r="C71" s="1343" t="s">
        <v>1167</v>
      </c>
      <c r="D71" s="446" t="s">
        <v>3</v>
      </c>
      <c r="E71" s="752" t="b">
        <f t="shared" si="5"/>
        <v>0</v>
      </c>
      <c r="F71" s="168"/>
      <c r="G71" s="1287" t="str">
        <f t="shared" si="6"/>
        <v/>
      </c>
      <c r="H71" s="1288"/>
      <c r="I71" s="3428"/>
      <c r="J71" s="3424" t="str">
        <f t="shared" si="7"/>
        <v/>
      </c>
      <c r="K71" s="3424"/>
      <c r="L71" s="3425"/>
      <c r="M71" s="3426"/>
      <c r="N71" s="4445"/>
      <c r="O71" s="4442"/>
      <c r="P71" s="177"/>
      <c r="Q71" s="848" t="s">
        <v>3</v>
      </c>
      <c r="R71" s="812" t="b">
        <f t="shared" si="8"/>
        <v>0</v>
      </c>
      <c r="S71" s="168"/>
      <c r="T71" s="168"/>
      <c r="U71" s="177"/>
      <c r="V71" s="4416"/>
      <c r="W71" s="4439"/>
      <c r="X71" s="1283"/>
      <c r="Y71" s="168"/>
      <c r="Z71" s="177"/>
      <c r="AA71" s="172"/>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73"/>
    </row>
    <row r="72" spans="1:84" s="174" customFormat="1" ht="291" thickTop="1" thickBot="1" x14ac:dyDescent="0.35">
      <c r="A72" s="169">
        <v>5.2</v>
      </c>
      <c r="B72" s="1367" t="s">
        <v>1528</v>
      </c>
      <c r="C72" s="1368" t="s">
        <v>1170</v>
      </c>
      <c r="D72" s="876" t="s">
        <v>3</v>
      </c>
      <c r="E72" s="874" t="b">
        <f t="shared" si="5"/>
        <v>0</v>
      </c>
      <c r="F72" s="802"/>
      <c r="G72" s="1289" t="str">
        <f t="shared" si="6"/>
        <v/>
      </c>
      <c r="H72" s="1290"/>
      <c r="I72" s="1290"/>
      <c r="J72" s="803" t="str">
        <f t="shared" si="7"/>
        <v/>
      </c>
      <c r="K72" s="802"/>
      <c r="L72" s="804"/>
      <c r="M72" s="805"/>
      <c r="N72" s="925" t="s">
        <v>3</v>
      </c>
      <c r="O72" s="948" t="b">
        <f>IF(OR(N72="Compliant",N72="FE with work-a-round",N72="Functionally Equivalent"),TRUE,FALSE)</f>
        <v>0</v>
      </c>
      <c r="P72" s="805"/>
      <c r="Q72" s="925" t="s">
        <v>3</v>
      </c>
      <c r="R72" s="816" t="b">
        <f t="shared" si="8"/>
        <v>0</v>
      </c>
      <c r="S72" s="802"/>
      <c r="T72" s="802"/>
      <c r="U72" s="805"/>
      <c r="V72" s="925" t="s">
        <v>3</v>
      </c>
      <c r="W72" s="335" t="b">
        <f>IF(OR(V72="Compliant",V72="FE with work-a-round",V72="Functionally Equivalent",V72="Not Required/Applicable"),TRUE,FALSE)</f>
        <v>0</v>
      </c>
      <c r="X72" s="464"/>
      <c r="Y72" s="802"/>
      <c r="Z72" s="805"/>
      <c r="AA72" s="172"/>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73"/>
    </row>
    <row r="73" spans="1:84" s="174" customFormat="1" ht="305.5" thickTop="1" thickBot="1" x14ac:dyDescent="0.35">
      <c r="A73" s="169">
        <v>6</v>
      </c>
      <c r="B73" s="1367" t="s">
        <v>1529</v>
      </c>
      <c r="C73" s="1368" t="s">
        <v>1819</v>
      </c>
      <c r="D73" s="876" t="s">
        <v>3</v>
      </c>
      <c r="E73" s="874" t="b">
        <f t="shared" si="5"/>
        <v>0</v>
      </c>
      <c r="F73" s="802"/>
      <c r="G73" s="1289" t="str">
        <f t="shared" si="6"/>
        <v/>
      </c>
      <c r="H73" s="1290"/>
      <c r="I73" s="1290"/>
      <c r="J73" s="803" t="str">
        <f t="shared" si="7"/>
        <v/>
      </c>
      <c r="K73" s="802"/>
      <c r="L73" s="804"/>
      <c r="M73" s="805"/>
      <c r="N73" s="925" t="s">
        <v>3</v>
      </c>
      <c r="O73" s="948" t="b">
        <f>IF(OR(N73="Compliant",N73="FE with work-a-round",N73="Functionally Equivalent"),TRUE,FALSE)</f>
        <v>0</v>
      </c>
      <c r="P73" s="805"/>
      <c r="Q73" s="925" t="s">
        <v>3</v>
      </c>
      <c r="R73" s="816" t="b">
        <f t="shared" si="8"/>
        <v>0</v>
      </c>
      <c r="S73" s="802"/>
      <c r="T73" s="802"/>
      <c r="U73" s="805"/>
      <c r="V73" s="925" t="s">
        <v>3</v>
      </c>
      <c r="W73" s="335" t="b">
        <f>IF(OR(V73="Compliant",V73="FE with work-a-round",V73="Functionally Equivalent",V73="Not Required/Applicable"),TRUE,FALSE)</f>
        <v>0</v>
      </c>
      <c r="X73" s="464"/>
      <c r="Y73" s="802"/>
      <c r="Z73" s="805"/>
      <c r="AA73" s="172"/>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73"/>
    </row>
    <row r="74" spans="1:84" s="3983" customFormat="1" ht="16" thickTop="1" x14ac:dyDescent="0.3">
      <c r="A74" s="3954"/>
      <c r="B74" s="3954"/>
      <c r="C74" s="3954"/>
      <c r="D74" s="3954"/>
      <c r="E74" s="3954"/>
      <c r="F74" s="3954"/>
      <c r="G74" s="3908"/>
      <c r="H74" s="3939"/>
      <c r="I74" s="3939"/>
      <c r="J74" s="3955"/>
      <c r="K74" s="3954"/>
      <c r="L74" s="3954"/>
      <c r="M74" s="3954"/>
      <c r="N74" s="3953"/>
      <c r="O74" s="3953"/>
      <c r="P74" s="3954"/>
      <c r="Q74" s="3954"/>
      <c r="R74" s="3954"/>
      <c r="S74" s="3954"/>
      <c r="T74" s="3954"/>
      <c r="U74" s="3954"/>
      <c r="V74" s="3945"/>
      <c r="W74" s="3954"/>
      <c r="X74" s="3954"/>
      <c r="Y74" s="3954"/>
      <c r="Z74" s="3954"/>
      <c r="AA74" s="3954"/>
      <c r="AB74" s="3954"/>
      <c r="AC74" s="3954"/>
      <c r="AD74" s="3954"/>
      <c r="AE74" s="3954"/>
      <c r="AF74" s="3954"/>
      <c r="AG74" s="3954"/>
      <c r="AH74" s="3954"/>
      <c r="AI74" s="3954"/>
      <c r="AJ74" s="3954"/>
      <c r="AK74" s="3954"/>
      <c r="AL74" s="3954"/>
      <c r="AM74" s="3954"/>
      <c r="AN74" s="3954"/>
      <c r="AO74" s="3954"/>
      <c r="AP74" s="3954"/>
      <c r="AQ74" s="3954"/>
      <c r="AR74" s="3954"/>
      <c r="AS74" s="3954"/>
      <c r="AT74" s="3954"/>
      <c r="AU74" s="3954"/>
      <c r="AV74" s="3954"/>
      <c r="AW74" s="3954"/>
      <c r="AX74" s="3954"/>
      <c r="AY74" s="3954"/>
      <c r="AZ74" s="3954"/>
      <c r="BA74" s="3954"/>
      <c r="BB74" s="3954"/>
      <c r="BC74" s="3954"/>
      <c r="BD74" s="3954"/>
      <c r="BE74" s="3954"/>
      <c r="BF74" s="3954"/>
      <c r="BG74" s="3954"/>
      <c r="BH74" s="3954"/>
      <c r="BI74" s="3954"/>
      <c r="BJ74" s="3954"/>
      <c r="BK74" s="3954"/>
      <c r="BL74" s="3954"/>
      <c r="BM74" s="3954"/>
      <c r="BN74" s="3954"/>
      <c r="BO74" s="3954"/>
      <c r="BP74" s="3954"/>
      <c r="BQ74" s="3954"/>
      <c r="BR74" s="3954"/>
      <c r="BS74" s="3954"/>
      <c r="BT74" s="3954"/>
      <c r="BU74" s="3954"/>
      <c r="BV74" s="3954"/>
      <c r="BW74" s="3954"/>
      <c r="BX74" s="3954"/>
      <c r="BY74" s="3954"/>
      <c r="BZ74" s="3954"/>
      <c r="CA74" s="3954"/>
      <c r="CB74" s="3954"/>
      <c r="CC74" s="3954"/>
      <c r="CD74" s="3954"/>
      <c r="CE74" s="3954"/>
      <c r="CF74" s="3954"/>
    </row>
    <row r="75" spans="1:84" s="3939" customFormat="1" ht="18.5" x14ac:dyDescent="0.3">
      <c r="A75" s="4423" t="s">
        <v>1139</v>
      </c>
      <c r="B75" s="4424"/>
      <c r="C75" s="4424"/>
      <c r="D75" s="4424"/>
      <c r="E75" s="4424"/>
      <c r="F75" s="4424"/>
      <c r="G75" s="4424"/>
      <c r="H75" s="4424"/>
      <c r="I75" s="4424"/>
      <c r="J75" s="4424"/>
      <c r="K75" s="4424"/>
      <c r="L75" s="4424"/>
      <c r="M75" s="4424"/>
      <c r="N75" s="4424"/>
      <c r="O75" s="3956"/>
      <c r="P75" s="3957"/>
      <c r="Q75" s="3957"/>
      <c r="R75" s="3957"/>
      <c r="S75" s="3958"/>
      <c r="T75" s="3959"/>
      <c r="U75" s="3959"/>
      <c r="V75" s="3960"/>
      <c r="W75" s="3961"/>
      <c r="X75" s="3961"/>
      <c r="Y75" s="3962"/>
      <c r="Z75" s="3963"/>
    </row>
    <row r="76" spans="1:84" s="3984" customFormat="1" ht="16" thickBot="1" x14ac:dyDescent="0.35">
      <c r="A76" s="3954"/>
      <c r="B76" s="3979"/>
      <c r="C76" s="3979"/>
      <c r="D76" s="3979"/>
      <c r="E76" s="3979"/>
      <c r="F76" s="3979"/>
      <c r="G76" s="3966"/>
      <c r="H76" s="3965"/>
      <c r="I76" s="3979"/>
      <c r="J76" s="3981"/>
      <c r="K76" s="3979"/>
      <c r="L76" s="3979"/>
      <c r="M76" s="3979"/>
      <c r="N76" s="3969"/>
      <c r="O76" s="3969"/>
      <c r="P76" s="3979"/>
      <c r="Q76" s="3979"/>
      <c r="R76" s="3979"/>
      <c r="S76" s="3979"/>
      <c r="T76" s="3979"/>
      <c r="U76" s="3979"/>
      <c r="V76" s="3970"/>
      <c r="W76" s="3954"/>
      <c r="X76" s="3954"/>
      <c r="Y76" s="3954"/>
      <c r="Z76" s="3954"/>
      <c r="AA76" s="3954"/>
      <c r="AB76" s="3954"/>
      <c r="AC76" s="3954"/>
      <c r="AD76" s="3954"/>
      <c r="AE76" s="3954"/>
      <c r="AF76" s="3954"/>
      <c r="AG76" s="3954"/>
      <c r="AH76" s="3954"/>
      <c r="AI76" s="3954"/>
      <c r="AJ76" s="3954"/>
      <c r="AK76" s="3954"/>
      <c r="AL76" s="3954"/>
      <c r="AM76" s="3954"/>
      <c r="AN76" s="3954"/>
      <c r="AO76" s="3954"/>
      <c r="AP76" s="3954"/>
      <c r="AQ76" s="3954"/>
      <c r="AR76" s="3954"/>
      <c r="AS76" s="3954"/>
      <c r="AT76" s="3954"/>
      <c r="AU76" s="3954"/>
      <c r="AV76" s="3954"/>
      <c r="AW76" s="3954"/>
      <c r="AX76" s="3954"/>
      <c r="AY76" s="3954"/>
      <c r="AZ76" s="3954"/>
      <c r="BA76" s="3954"/>
      <c r="BB76" s="3954"/>
      <c r="BC76" s="3954"/>
      <c r="BD76" s="3954"/>
      <c r="BE76" s="3954"/>
      <c r="BF76" s="3954"/>
      <c r="BG76" s="3954"/>
      <c r="BH76" s="3954"/>
      <c r="BI76" s="3954"/>
      <c r="BJ76" s="3954"/>
      <c r="BK76" s="3954"/>
      <c r="BL76" s="3954"/>
      <c r="BM76" s="3954"/>
      <c r="BN76" s="3954"/>
      <c r="BO76" s="3954"/>
      <c r="BP76" s="3954"/>
      <c r="BQ76" s="3954"/>
      <c r="BR76" s="3954"/>
      <c r="BS76" s="3954"/>
      <c r="BT76" s="3954"/>
      <c r="BU76" s="3954"/>
      <c r="BV76" s="3954"/>
      <c r="BW76" s="3954"/>
      <c r="BX76" s="3954"/>
      <c r="BY76" s="3954"/>
      <c r="BZ76" s="3954"/>
      <c r="CA76" s="3954"/>
      <c r="CB76" s="3954"/>
      <c r="CC76" s="3954"/>
      <c r="CD76" s="3954"/>
      <c r="CE76" s="3954"/>
      <c r="CF76" s="3954"/>
    </row>
    <row r="77" spans="1:84" s="174" customFormat="1" ht="30" thickTop="1" thickBot="1" x14ac:dyDescent="0.35">
      <c r="A77" s="169">
        <v>7</v>
      </c>
      <c r="B77" s="1203" t="s">
        <v>1000</v>
      </c>
      <c r="C77" s="2550" t="s">
        <v>670</v>
      </c>
      <c r="D77" s="1203" t="s">
        <v>565</v>
      </c>
      <c r="E77" s="1359" t="b">
        <f>IF(AND(E78=TRUE,E79=TRUE),TRUE,FALSE)</f>
        <v>0</v>
      </c>
      <c r="F77" s="1359">
        <f>COUNTIF(E78,TRUE)+COUNTIF(E80:E86,TRUE)</f>
        <v>0</v>
      </c>
      <c r="G77" s="1360">
        <f>COUNTIFS(E78,TRUE,G78,"Not Blank")+COUNTIFS(E80:E86,TRUE,G80:G86,"Not Blank")</f>
        <v>0</v>
      </c>
      <c r="H77" s="1361">
        <f>COUNTIFS(E78:E86,FALSE,G78:G86,"Not Blank")</f>
        <v>0</v>
      </c>
      <c r="I77" s="2545" t="str">
        <f xml:space="preserve">
IF(F77&gt;8,"Too Many Entries - Check Red Lines",
IF(G77&lt;F77,"Valid Entry required below - Check Amber Line/s",
IF(AND(E77=FALSE,G77=0,H77=0),"Nothing Entered below Yet",
IF(G77&lt;F77,"Valid Entry required below - Check Amber Line/s",
IF(AND(G77=0,H77&gt;0),"**Non-Valid Entry/ies below - Check Yellow Line/s",
IF(AND(G77&gt;0,H77&gt;0),"**Valid and Non-Valid Entries made below - Check Yellow Line/s",
IF(AND(E77=FALSE,F77&lt;8),"Not all requirements addressed below - Check Pink Line/s",
IF(AND(E77=FALSE,G77&lt;8,G77&gt;0,H77=0),"More entries to come",
IF(AND(E77,TRUE,G77=8,H77=0),"Valid Entries made below"
)))))))))</f>
        <v>Nothing Entered below Yet</v>
      </c>
      <c r="J77" s="1362">
        <f>COUNTIFS(E78,TRUE,J78,"Not Blank")+COUNTIFS(E80:E86,TRUE,J80:J86,"Not Blank")</f>
        <v>0</v>
      </c>
      <c r="K77" s="1350">
        <f>COUNTIFS(E78:E86,FALSE,J78:J86,"Not Blank")</f>
        <v>0</v>
      </c>
      <c r="L77" s="2555" t="str">
        <f xml:space="preserve">
IF(J77&gt;8,"Too Many Entries - Check Red Lines",
IF(J77&lt;F77,"Valid Entry required below - Check Amber Line/s",
IF(AND(E77=FALSE,J77=0,K77=0),"Nothing Entered below Yet",
IF(AND(J77=0,K77&gt;0),"**Non-Valid Entry/ies below - Check Yellow Line/s",
IF(AND(J77&gt;0,K77&gt;0),"**Valid and Non-Valid Entries made below - Check Yellow Line/s",
IF(AND(E77=FALSE,J77&lt;8),"Not all requirements addressed below - Check Pink Line/s",
IF(AND(E77=FALSE,J77&lt;8,J77&gt;0,K77=0),"More entries to come",
IF(AND(E77,TRUE,J77=8,K77=0),"Valid Entries made below"
))))))))</f>
        <v>Nothing Entered below Yet</v>
      </c>
      <c r="M77" s="2537"/>
      <c r="N77" s="1363" t="s">
        <v>565</v>
      </c>
      <c r="O77" s="331" t="b">
        <f>IF(AND(O78=TRUE,O79=TRUE),TRUE,FALSE)</f>
        <v>0</v>
      </c>
      <c r="P77" s="2543"/>
      <c r="Q77" s="698" t="s">
        <v>565</v>
      </c>
      <c r="R77" s="170" t="b">
        <f>IF(AND(R78=TRUE,R79=TRUE),TRUE,FALSE)</f>
        <v>0</v>
      </c>
      <c r="S77" s="164"/>
      <c r="T77" s="164"/>
      <c r="U77" s="171"/>
      <c r="V77" s="698" t="s">
        <v>565</v>
      </c>
      <c r="W77" s="331" t="b">
        <f>IF(AND(W78=TRUE,W79=TRUE),TRUE,FALSE)</f>
        <v>0</v>
      </c>
      <c r="X77" s="497"/>
      <c r="Y77" s="180"/>
      <c r="Z77" s="181"/>
      <c r="AA77" s="172"/>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73"/>
    </row>
    <row r="78" spans="1:84" s="174" customFormat="1" ht="44.5" thickTop="1" thickBot="1" x14ac:dyDescent="0.35">
      <c r="A78" s="169"/>
      <c r="B78" s="1358"/>
      <c r="C78" s="2551" t="s">
        <v>1184</v>
      </c>
      <c r="D78" s="670" t="s">
        <v>3</v>
      </c>
      <c r="E78" s="178" t="b">
        <f>IF(D78="Compliant",TRUE,FALSE)</f>
        <v>0</v>
      </c>
      <c r="F78" s="178"/>
      <c r="G78" s="1291" t="str">
        <f>IF(I78&lt;&gt;"", "Not Blank", "")</f>
        <v/>
      </c>
      <c r="H78" s="1292"/>
      <c r="I78" s="802"/>
      <c r="J78" s="800" t="str">
        <f>IF(L78&lt;&gt;"", "Not Blank", "")</f>
        <v/>
      </c>
      <c r="K78" s="178"/>
      <c r="L78" s="802"/>
      <c r="M78" s="805"/>
      <c r="N78" s="1146" t="s">
        <v>3</v>
      </c>
      <c r="O78" s="1018" t="b">
        <f>IF(OR(N78="Compliant",N78="FE with work-a-round",N78="Functionally Equivalent"),TRUE,FALSE)</f>
        <v>0</v>
      </c>
      <c r="P78" s="2556"/>
      <c r="Q78" s="924" t="s">
        <v>3</v>
      </c>
      <c r="R78" s="1264" t="b">
        <f>IF(OR(Q78="Compliant",Q78="FE with work-a-round",Q78="Functionally Equivalent"),TRUE,FALSE)</f>
        <v>0</v>
      </c>
      <c r="S78" s="755"/>
      <c r="T78" s="178"/>
      <c r="U78" s="179"/>
      <c r="V78" s="924" t="s">
        <v>3</v>
      </c>
      <c r="W78" s="1293" t="b">
        <f>IF(OR(V78="Compliant",V78="FE with work-a-round",V78="Functionally Equivalent",V78="Not Required/Applicable"),TRUE,FALSE)</f>
        <v>0</v>
      </c>
      <c r="X78" s="717"/>
      <c r="Y78" s="178"/>
      <c r="Z78" s="179"/>
      <c r="AA78" s="172"/>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73"/>
    </row>
    <row r="79" spans="1:84" s="174" customFormat="1" ht="59" thickTop="1" thickBot="1" x14ac:dyDescent="0.35">
      <c r="A79" s="169">
        <v>7.1</v>
      </c>
      <c r="B79" s="2546"/>
      <c r="C79" s="2552" t="s">
        <v>1002</v>
      </c>
      <c r="D79" s="2548" t="s">
        <v>565</v>
      </c>
      <c r="E79" s="1359" t="b">
        <f>IF(AND(E80=TRUE,E81=TRUE,E82=TRUE,E83=TRUE,E84=TRUE,E85=TRUE,E86=TRUE),TRUE,FALSE)</f>
        <v>0</v>
      </c>
      <c r="F79" s="1359">
        <f>COUNTIF(E80:E86,TRUE)</f>
        <v>0</v>
      </c>
      <c r="G79" s="1360">
        <f>COUNTIFS(E80:E86,TRUE,G80:G86,"Not Blank")</f>
        <v>0</v>
      </c>
      <c r="H79" s="1361">
        <f>COUNTIFS(E80:E86,FALSE,G80:G86,"Not Blank")</f>
        <v>0</v>
      </c>
      <c r="I79" s="2541" t="str">
        <f xml:space="preserve">
IF(F79&gt;7,"Too Many Entries - Check Red Lines",
IF(G79&lt;F79,"Valid Entry required below - Check Amber Line/s",
IF(AND(E79=FALSE,G79=0,H79=0),"Nothing Entered below Yet",
IF(G79&lt;F79,"Valid Entry required below - Check Amber Line/s",
IF(AND(G79=0,H79&gt;0),"**Non-Valid Entry/ies below - Check Yellow Line/s",
IF(AND(G79&gt;0,H79&gt;0),"**Valid and Non-Valid Entries made below - Check Yellow Line/s",
IF(AND(E79=FALSE,F79&lt;7),"Not all requirements addressed below - Check Pink Line/s",
IF(AND(E79=FALSE,G79&lt;7,G79&gt;0,H79=0),"More entries to come",
IF(AND(E79,TRUE,G79=7,H79=0),"Valid Entries made below"
)))))))))</f>
        <v>Nothing Entered below Yet</v>
      </c>
      <c r="J79" s="2542">
        <f>COUNTIFS(E80:E86,TRUE,J80:J86,"Not Blank")</f>
        <v>0</v>
      </c>
      <c r="K79" s="2541">
        <f>COUNTIFS(E80:E86,FALSE,J80:J86,"Not Blank")</f>
        <v>0</v>
      </c>
      <c r="L79" s="2517" t="str">
        <f xml:space="preserve">
IF(J79&gt;7,"Too Many Entries - Check Red Lines",
IF(J79&lt;F79,"Valid Entry required below - Check Amber Line/s",
IF(AND(E79=FALSE,J79=0,K79=0),"Nothing Entered below Yet",
IF(AND(J79=0,K79&gt;0),"**Non-Valid Entry/ies below - Check Yellow Line/s",
IF(AND(J79&gt;0,K79&gt;0),"**Valid and Non-Valid Entries made below - Check Yellow Line/s",
IF(AND(E79=FALSE,J79&lt;7),"Not all requirements addressed below - Check Pink Line/s",
IF(AND(E79=FALSE,J79&lt;7,J79&gt;0,K79=0),"More entries to come",
IF(AND(E79,TRUE,J79=7,K79=0),"Valid Entries made below"
))))))))</f>
        <v>Nothing Entered below Yet</v>
      </c>
      <c r="M79" s="2537"/>
      <c r="N79" s="4443" t="s">
        <v>3</v>
      </c>
      <c r="O79" s="4446" t="b">
        <f>IF(OR(N79="Compliant",N79="FE with work-a-round",N79="Functionally Equivalent"),TRUE,FALSE)</f>
        <v>0</v>
      </c>
      <c r="P79" s="2543"/>
      <c r="Q79" s="698" t="s">
        <v>565</v>
      </c>
      <c r="R79" s="814" t="b">
        <f>IF(AND(R80=TRUE,R81=TRUE,R82=TRUE,R83=TRUE,R84=TRUE,R85=TRUE,R86=TRUE),TRUE,FALSE)</f>
        <v>0</v>
      </c>
      <c r="S79" s="164"/>
      <c r="T79" s="164"/>
      <c r="U79" s="171"/>
      <c r="V79" s="4459" t="s">
        <v>3</v>
      </c>
      <c r="W79" s="4437" t="b">
        <f>IF(OR(V79="Compliant",V79="FE with work-a-round",V79="Functionally Equivalent",V79="Not Required/Applicable"),TRUE,FALSE)</f>
        <v>0</v>
      </c>
      <c r="X79" s="1068"/>
      <c r="Y79" s="164"/>
      <c r="Z79" s="171"/>
      <c r="AA79" s="172"/>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73"/>
    </row>
    <row r="80" spans="1:84" s="174" customFormat="1" ht="44.5" thickTop="1" thickBot="1" x14ac:dyDescent="0.35">
      <c r="A80" s="169"/>
      <c r="B80" s="2547"/>
      <c r="C80" s="2553" t="s">
        <v>1003</v>
      </c>
      <c r="D80" s="2549" t="s">
        <v>3</v>
      </c>
      <c r="E80" s="165" t="b">
        <f t="shared" ref="E80:E86" si="9">IF(D80="Compliant",TRUE,FALSE)</f>
        <v>0</v>
      </c>
      <c r="F80" s="165"/>
      <c r="G80" s="1216" t="str">
        <f t="shared" ref="G80:G86" si="10">IF(I80&lt;&gt;"", "Not Blank", "")</f>
        <v/>
      </c>
      <c r="H80" s="1215"/>
      <c r="I80" s="756"/>
      <c r="J80" s="2491"/>
      <c r="K80" s="756"/>
      <c r="L80" s="2502"/>
      <c r="M80" s="2518"/>
      <c r="N80" s="4444"/>
      <c r="O80" s="4447"/>
      <c r="P80" s="2544"/>
      <c r="Q80" s="2391" t="s">
        <v>3</v>
      </c>
      <c r="R80" s="1244" t="b">
        <f t="shared" ref="R80:R86" si="11">IF(OR(Q80="Compliant",Q80="FE with work-a-round",Q80="Functionally Equivalent"),TRUE,FALSE)</f>
        <v>0</v>
      </c>
      <c r="S80" s="751"/>
      <c r="T80" s="165"/>
      <c r="U80" s="175"/>
      <c r="V80" s="4459"/>
      <c r="W80" s="4438"/>
      <c r="X80" s="822"/>
      <c r="Y80" s="165"/>
      <c r="Z80" s="175"/>
      <c r="AA80" s="172"/>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73"/>
    </row>
    <row r="81" spans="1:84" s="174" customFormat="1" ht="59" thickTop="1" thickBot="1" x14ac:dyDescent="0.35">
      <c r="A81" s="169"/>
      <c r="B81" s="2547"/>
      <c r="C81" s="2554" t="s">
        <v>1004</v>
      </c>
      <c r="D81" s="2549" t="s">
        <v>3</v>
      </c>
      <c r="E81" s="165" t="b">
        <f t="shared" si="9"/>
        <v>0</v>
      </c>
      <c r="F81" s="165"/>
      <c r="G81" s="1216" t="str">
        <f t="shared" si="10"/>
        <v/>
      </c>
      <c r="H81" s="1215"/>
      <c r="I81" s="165"/>
      <c r="J81" s="347"/>
      <c r="K81" s="165"/>
      <c r="L81" s="765"/>
      <c r="M81" s="175"/>
      <c r="N81" s="4444"/>
      <c r="O81" s="4447"/>
      <c r="P81" s="166"/>
      <c r="Q81" s="847" t="s">
        <v>3</v>
      </c>
      <c r="R81" s="732" t="b">
        <f t="shared" si="11"/>
        <v>0</v>
      </c>
      <c r="S81" s="751"/>
      <c r="T81" s="165"/>
      <c r="U81" s="175"/>
      <c r="V81" s="4459"/>
      <c r="W81" s="4438"/>
      <c r="X81" s="822"/>
      <c r="Y81" s="165"/>
      <c r="Z81" s="175"/>
      <c r="AA81" s="172"/>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73"/>
    </row>
    <row r="82" spans="1:84" s="174" customFormat="1" ht="117" thickTop="1" thickBot="1" x14ac:dyDescent="0.35">
      <c r="A82" s="169"/>
      <c r="B82" s="2547"/>
      <c r="C82" s="2554" t="s">
        <v>1005</v>
      </c>
      <c r="D82" s="2549" t="s">
        <v>3</v>
      </c>
      <c r="E82" s="165" t="b">
        <f t="shared" si="9"/>
        <v>0</v>
      </c>
      <c r="F82" s="165"/>
      <c r="G82" s="1216" t="str">
        <f t="shared" si="10"/>
        <v/>
      </c>
      <c r="H82" s="1215"/>
      <c r="I82" s="165"/>
      <c r="J82" s="347"/>
      <c r="K82" s="165"/>
      <c r="L82" s="765"/>
      <c r="M82" s="175"/>
      <c r="N82" s="4444"/>
      <c r="O82" s="4447"/>
      <c r="P82" s="166"/>
      <c r="Q82" s="847" t="s">
        <v>3</v>
      </c>
      <c r="R82" s="732" t="b">
        <f t="shared" si="11"/>
        <v>0</v>
      </c>
      <c r="S82" s="751"/>
      <c r="T82" s="165"/>
      <c r="U82" s="175"/>
      <c r="V82" s="4459"/>
      <c r="W82" s="4438"/>
      <c r="X82" s="822"/>
      <c r="Y82" s="165"/>
      <c r="Z82" s="175"/>
      <c r="AA82" s="172"/>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73"/>
    </row>
    <row r="83" spans="1:84" s="174" customFormat="1" ht="88" thickTop="1" thickBot="1" x14ac:dyDescent="0.35">
      <c r="A83" s="169"/>
      <c r="B83" s="2547"/>
      <c r="C83" s="2554" t="s">
        <v>1820</v>
      </c>
      <c r="D83" s="2549" t="s">
        <v>3</v>
      </c>
      <c r="E83" s="165" t="b">
        <f t="shared" si="9"/>
        <v>0</v>
      </c>
      <c r="F83" s="165"/>
      <c r="G83" s="1216" t="str">
        <f t="shared" si="10"/>
        <v/>
      </c>
      <c r="H83" s="1215"/>
      <c r="I83" s="165"/>
      <c r="J83" s="347"/>
      <c r="K83" s="165"/>
      <c r="L83" s="765"/>
      <c r="M83" s="175"/>
      <c r="N83" s="4444"/>
      <c r="O83" s="4447"/>
      <c r="P83" s="166"/>
      <c r="Q83" s="847" t="s">
        <v>3</v>
      </c>
      <c r="R83" s="732" t="b">
        <f t="shared" si="11"/>
        <v>0</v>
      </c>
      <c r="S83" s="751"/>
      <c r="T83" s="165"/>
      <c r="U83" s="175"/>
      <c r="V83" s="4459"/>
      <c r="W83" s="4438"/>
      <c r="X83" s="822"/>
      <c r="Y83" s="165"/>
      <c r="Z83" s="175"/>
      <c r="AA83" s="172"/>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73"/>
    </row>
    <row r="84" spans="1:84" s="174" customFormat="1" ht="44.5" thickTop="1" thickBot="1" x14ac:dyDescent="0.35">
      <c r="A84" s="169"/>
      <c r="B84" s="2547"/>
      <c r="C84" s="2554" t="s">
        <v>1006</v>
      </c>
      <c r="D84" s="2549" t="s">
        <v>3</v>
      </c>
      <c r="E84" s="165" t="b">
        <f t="shared" si="9"/>
        <v>0</v>
      </c>
      <c r="F84" s="165"/>
      <c r="G84" s="1216" t="str">
        <f t="shared" si="10"/>
        <v/>
      </c>
      <c r="H84" s="1215"/>
      <c r="I84" s="165"/>
      <c r="J84" s="347"/>
      <c r="K84" s="165"/>
      <c r="L84" s="765"/>
      <c r="M84" s="175"/>
      <c r="N84" s="4444"/>
      <c r="O84" s="4447"/>
      <c r="P84" s="166"/>
      <c r="Q84" s="847" t="s">
        <v>3</v>
      </c>
      <c r="R84" s="732" t="b">
        <f t="shared" si="11"/>
        <v>0</v>
      </c>
      <c r="S84" s="751"/>
      <c r="T84" s="165"/>
      <c r="U84" s="175"/>
      <c r="V84" s="4459"/>
      <c r="W84" s="4438"/>
      <c r="X84" s="822"/>
      <c r="Y84" s="165"/>
      <c r="Z84" s="175"/>
      <c r="AA84" s="172"/>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73"/>
    </row>
    <row r="85" spans="1:84" s="174" customFormat="1" ht="44.5" thickTop="1" thickBot="1" x14ac:dyDescent="0.35">
      <c r="A85" s="169"/>
      <c r="B85" s="2547"/>
      <c r="C85" s="2554" t="s">
        <v>1007</v>
      </c>
      <c r="D85" s="2549" t="s">
        <v>3</v>
      </c>
      <c r="E85" s="165" t="b">
        <f t="shared" si="9"/>
        <v>0</v>
      </c>
      <c r="F85" s="165"/>
      <c r="G85" s="1216" t="str">
        <f t="shared" si="10"/>
        <v/>
      </c>
      <c r="H85" s="1215"/>
      <c r="I85" s="165"/>
      <c r="J85" s="347"/>
      <c r="K85" s="165"/>
      <c r="L85" s="765"/>
      <c r="M85" s="175"/>
      <c r="N85" s="4444"/>
      <c r="O85" s="4447"/>
      <c r="P85" s="166"/>
      <c r="Q85" s="847" t="s">
        <v>3</v>
      </c>
      <c r="R85" s="732" t="b">
        <f t="shared" si="11"/>
        <v>0</v>
      </c>
      <c r="S85" s="751"/>
      <c r="T85" s="165"/>
      <c r="U85" s="175"/>
      <c r="V85" s="4459"/>
      <c r="W85" s="4438"/>
      <c r="X85" s="822"/>
      <c r="Y85" s="165"/>
      <c r="Z85" s="175"/>
      <c r="AA85" s="172"/>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73"/>
    </row>
    <row r="86" spans="1:84" s="174" customFormat="1" ht="59" thickTop="1" thickBot="1" x14ac:dyDescent="0.35">
      <c r="A86" s="169"/>
      <c r="B86" s="2557"/>
      <c r="C86" s="1343" t="s">
        <v>1183</v>
      </c>
      <c r="D86" s="2558" t="s">
        <v>3</v>
      </c>
      <c r="E86" s="168" t="b">
        <f t="shared" si="9"/>
        <v>0</v>
      </c>
      <c r="F86" s="168"/>
      <c r="G86" s="1287" t="str">
        <f t="shared" si="10"/>
        <v/>
      </c>
      <c r="H86" s="1288"/>
      <c r="I86" s="178"/>
      <c r="J86" s="347"/>
      <c r="K86" s="165"/>
      <c r="L86" s="801"/>
      <c r="M86" s="177"/>
      <c r="N86" s="4445"/>
      <c r="O86" s="4448"/>
      <c r="P86" s="167"/>
      <c r="Q86" s="848" t="s">
        <v>3</v>
      </c>
      <c r="R86" s="812" t="b">
        <f t="shared" si="11"/>
        <v>0</v>
      </c>
      <c r="S86" s="752"/>
      <c r="T86" s="168"/>
      <c r="U86" s="177"/>
      <c r="V86" s="4459"/>
      <c r="W86" s="4439"/>
      <c r="X86" s="1283"/>
      <c r="Y86" s="168"/>
      <c r="Z86" s="177"/>
      <c r="AA86" s="172"/>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73"/>
    </row>
    <row r="87" spans="1:84" ht="54.65" customHeight="1" thickTop="1" x14ac:dyDescent="0.3">
      <c r="A87" s="1294"/>
      <c r="B87" s="1295"/>
      <c r="I87" s="2559"/>
      <c r="L87" s="2559"/>
    </row>
    <row r="88" spans="1:84" ht="34.75" customHeight="1" x14ac:dyDescent="0.3">
      <c r="A88" s="1296"/>
      <c r="B88" s="4412" t="s">
        <v>2047</v>
      </c>
      <c r="C88" s="4413"/>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row>
    <row r="89" spans="1:84" ht="159" customHeight="1" x14ac:dyDescent="0.3">
      <c r="A89" s="1296"/>
      <c r="B89" s="1297"/>
    </row>
    <row r="90" spans="1:84" ht="196" customHeight="1" x14ac:dyDescent="0.3">
      <c r="A90" s="1296"/>
      <c r="B90" s="1297"/>
    </row>
    <row r="91" spans="1:84" ht="53.15" customHeight="1" x14ac:dyDescent="0.3">
      <c r="A91" s="1296"/>
    </row>
    <row r="92" spans="1:84" ht="53.15" customHeight="1" thickBot="1" x14ac:dyDescent="0.35">
      <c r="A92" s="1298"/>
    </row>
    <row r="93" spans="1:84" ht="53.15" customHeight="1" thickTop="1" x14ac:dyDescent="0.3">
      <c r="B93" s="1299"/>
    </row>
    <row r="94" spans="1:84" ht="53.15" customHeight="1" x14ac:dyDescent="0.3">
      <c r="B94" s="1299"/>
    </row>
    <row r="95" spans="1:84" ht="53.15" customHeight="1" x14ac:dyDescent="0.3">
      <c r="B95" s="1299"/>
    </row>
    <row r="96" spans="1:84" ht="53.15" customHeight="1" x14ac:dyDescent="0.3">
      <c r="B96" s="1299"/>
    </row>
    <row r="97" spans="2:2" ht="53.15" customHeight="1" x14ac:dyDescent="0.3">
      <c r="B97" s="1299"/>
    </row>
    <row r="139" spans="1:15" ht="53.15" customHeight="1" x14ac:dyDescent="0.3">
      <c r="A139" s="1300" t="s">
        <v>2</v>
      </c>
      <c r="B139" s="1301" t="s">
        <v>148</v>
      </c>
      <c r="C139" s="1302"/>
      <c r="D139" s="1303"/>
      <c r="E139" s="1304"/>
      <c r="F139" s="1305"/>
      <c r="G139" s="1306"/>
      <c r="H139" s="1307"/>
      <c r="I139" s="1304"/>
      <c r="J139" s="1308"/>
      <c r="K139" s="1304"/>
      <c r="L139" s="1305"/>
      <c r="M139" s="1305"/>
      <c r="N139" s="1309"/>
      <c r="O139" s="1310"/>
    </row>
    <row r="140" spans="1:15" ht="53.15" customHeight="1" x14ac:dyDescent="0.3">
      <c r="A140" s="1311"/>
      <c r="B140" s="1312"/>
      <c r="C140" s="1312"/>
      <c r="D140" s="1313"/>
      <c r="E140" s="1314"/>
      <c r="F140" s="1315"/>
      <c r="G140" s="1312"/>
      <c r="H140" s="1313"/>
      <c r="I140" s="1314"/>
      <c r="J140" s="1316"/>
      <c r="K140" s="1314"/>
      <c r="L140" s="1315"/>
      <c r="M140" s="1315"/>
      <c r="N140" s="1317"/>
      <c r="O140" s="1310"/>
    </row>
    <row r="141" spans="1:15" ht="53.15" customHeight="1" x14ac:dyDescent="0.3">
      <c r="A141" s="1318" t="s">
        <v>191</v>
      </c>
      <c r="B141" s="1319" t="s">
        <v>470</v>
      </c>
      <c r="C141" s="1320"/>
      <c r="D141" s="1321"/>
      <c r="E141" s="1322"/>
      <c r="F141" s="1323"/>
      <c r="G141" s="1324"/>
      <c r="H141" s="1321"/>
      <c r="I141" s="1322"/>
      <c r="J141" s="1325"/>
      <c r="K141" s="1322"/>
      <c r="L141" s="1323"/>
      <c r="M141" s="1323"/>
      <c r="N141" s="1326"/>
    </row>
    <row r="142" spans="1:15" ht="53.15" customHeight="1" x14ac:dyDescent="0.3">
      <c r="A142" s="1318"/>
      <c r="B142" s="1327" t="s">
        <v>192</v>
      </c>
      <c r="C142" s="1320"/>
      <c r="D142" s="1328"/>
      <c r="E142" s="1329"/>
      <c r="F142" s="1330"/>
      <c r="G142" s="1320"/>
      <c r="H142" s="1328"/>
      <c r="I142" s="1329"/>
      <c r="J142" s="1331"/>
      <c r="K142" s="1329"/>
      <c r="L142" s="1330"/>
      <c r="M142" s="1330"/>
      <c r="N142" s="1332"/>
    </row>
    <row r="143" spans="1:15" ht="53.15" customHeight="1" x14ac:dyDescent="0.3">
      <c r="A143" s="1318">
        <v>11</v>
      </c>
      <c r="B143" s="1324" t="s">
        <v>196</v>
      </c>
      <c r="C143" s="1320"/>
      <c r="D143" s="1321"/>
      <c r="E143" s="1322"/>
      <c r="F143" s="1323"/>
      <c r="G143" s="1324"/>
      <c r="H143" s="1321"/>
      <c r="I143" s="1322"/>
      <c r="J143" s="1325"/>
      <c r="K143" s="1322"/>
      <c r="L143" s="1323"/>
      <c r="M143" s="1323"/>
      <c r="N143" s="1326"/>
    </row>
    <row r="144" spans="1:15" ht="53.15" customHeight="1" x14ac:dyDescent="0.3">
      <c r="A144" s="1318">
        <v>11.1</v>
      </c>
      <c r="B144" s="1312" t="s">
        <v>197</v>
      </c>
      <c r="C144" s="1320"/>
      <c r="D144" s="1328"/>
      <c r="E144" s="1329"/>
      <c r="F144" s="1330"/>
      <c r="G144" s="1320"/>
      <c r="H144" s="1328"/>
      <c r="I144" s="1329"/>
      <c r="J144" s="1331"/>
      <c r="K144" s="1329"/>
      <c r="L144" s="1330"/>
      <c r="M144" s="1330"/>
      <c r="N144" s="1332"/>
    </row>
    <row r="145" spans="1:14" ht="53.15" customHeight="1" x14ac:dyDescent="0.3">
      <c r="A145" s="1318">
        <v>11.2</v>
      </c>
      <c r="B145" s="1312" t="s">
        <v>471</v>
      </c>
      <c r="C145" s="1320"/>
      <c r="D145" s="1328"/>
      <c r="E145" s="1329"/>
      <c r="F145" s="1330"/>
      <c r="G145" s="1320"/>
      <c r="H145" s="1328"/>
      <c r="I145" s="1329"/>
      <c r="J145" s="1331"/>
      <c r="K145" s="1329"/>
      <c r="L145" s="1330"/>
      <c r="M145" s="1330"/>
      <c r="N145" s="1332"/>
    </row>
    <row r="146" spans="1:14" ht="53.15" customHeight="1" x14ac:dyDescent="0.3">
      <c r="A146" s="1318">
        <v>11.3</v>
      </c>
      <c r="B146" s="1327" t="s">
        <v>198</v>
      </c>
      <c r="C146" s="1320"/>
      <c r="D146" s="1328"/>
      <c r="E146" s="1329"/>
      <c r="F146" s="1330"/>
      <c r="G146" s="1320"/>
      <c r="H146" s="1328"/>
      <c r="I146" s="1329"/>
      <c r="J146" s="1331"/>
      <c r="K146" s="1329"/>
      <c r="L146" s="1330"/>
      <c r="M146" s="1330"/>
      <c r="N146" s="1332"/>
    </row>
    <row r="147" spans="1:14" ht="53.15" customHeight="1" x14ac:dyDescent="0.3">
      <c r="A147" s="1318">
        <v>11.4</v>
      </c>
      <c r="B147" s="1327" t="s">
        <v>839</v>
      </c>
      <c r="C147" s="1320"/>
      <c r="D147" s="1328"/>
      <c r="E147" s="1329"/>
      <c r="F147" s="1330"/>
      <c r="G147" s="1320"/>
      <c r="H147" s="1328"/>
      <c r="I147" s="1329"/>
      <c r="J147" s="1331"/>
      <c r="K147" s="1329"/>
      <c r="L147" s="1330"/>
      <c r="M147" s="1330"/>
      <c r="N147" s="1332"/>
    </row>
    <row r="148" spans="1:14" ht="53.15" customHeight="1" x14ac:dyDescent="0.3">
      <c r="A148" s="1318">
        <v>11.5</v>
      </c>
      <c r="B148" s="1327" t="s">
        <v>199</v>
      </c>
      <c r="C148" s="1320"/>
      <c r="D148" s="1328"/>
      <c r="E148" s="1329"/>
      <c r="F148" s="1330"/>
      <c r="G148" s="1320"/>
      <c r="H148" s="1328"/>
      <c r="I148" s="1329"/>
      <c r="J148" s="1331"/>
      <c r="K148" s="1329"/>
      <c r="L148" s="1330"/>
      <c r="M148" s="1330"/>
      <c r="N148" s="1332"/>
    </row>
    <row r="149" spans="1:14" ht="53.15" customHeight="1" x14ac:dyDescent="0.3">
      <c r="A149" s="1318">
        <v>11.6</v>
      </c>
      <c r="B149" s="1327" t="s">
        <v>840</v>
      </c>
      <c r="C149" s="1320"/>
      <c r="D149" s="1328"/>
      <c r="E149" s="1329"/>
      <c r="F149" s="1330"/>
      <c r="G149" s="1320"/>
      <c r="H149" s="1328"/>
      <c r="I149" s="1329"/>
      <c r="J149" s="1331"/>
      <c r="K149" s="1329"/>
      <c r="L149" s="1330"/>
      <c r="M149" s="1330"/>
      <c r="N149" s="1332"/>
    </row>
    <row r="150" spans="1:14" ht="53.15" customHeight="1" x14ac:dyDescent="0.3">
      <c r="A150" s="1318">
        <v>11.7</v>
      </c>
      <c r="B150" s="1324" t="s">
        <v>200</v>
      </c>
      <c r="C150" s="1320"/>
      <c r="D150" s="1321"/>
      <c r="E150" s="1322"/>
      <c r="F150" s="1323"/>
      <c r="G150" s="1324"/>
      <c r="H150" s="1321"/>
      <c r="I150" s="1322"/>
      <c r="J150" s="1325"/>
      <c r="K150" s="1322"/>
      <c r="L150" s="1323"/>
      <c r="M150" s="1323"/>
      <c r="N150" s="1326"/>
    </row>
    <row r="151" spans="1:14" ht="53.15" customHeight="1" x14ac:dyDescent="0.3">
      <c r="A151" s="1318" t="s">
        <v>201</v>
      </c>
      <c r="B151" s="1327" t="s">
        <v>841</v>
      </c>
      <c r="C151" s="1320"/>
      <c r="D151" s="1328"/>
      <c r="E151" s="1329"/>
      <c r="F151" s="1330"/>
      <c r="G151" s="1320"/>
      <c r="H151" s="1328"/>
      <c r="I151" s="1329"/>
      <c r="J151" s="1331"/>
      <c r="K151" s="1329"/>
      <c r="L151" s="1330"/>
      <c r="M151" s="1330"/>
      <c r="N151" s="1332"/>
    </row>
    <row r="152" spans="1:14" ht="53.15" customHeight="1" x14ac:dyDescent="0.3">
      <c r="A152" s="1318" t="s">
        <v>202</v>
      </c>
      <c r="B152" s="1327" t="s">
        <v>842</v>
      </c>
      <c r="C152" s="1320"/>
      <c r="D152" s="1328"/>
      <c r="E152" s="1329"/>
      <c r="F152" s="1330"/>
      <c r="G152" s="1320"/>
      <c r="H152" s="1328"/>
      <c r="I152" s="1329"/>
      <c r="J152" s="1331"/>
      <c r="K152" s="1329"/>
      <c r="L152" s="1330"/>
      <c r="M152" s="1330"/>
      <c r="N152" s="1332"/>
    </row>
    <row r="153" spans="1:14" ht="53.15" customHeight="1" x14ac:dyDescent="0.3">
      <c r="A153" s="1318">
        <v>12</v>
      </c>
      <c r="B153" s="1319" t="s">
        <v>195</v>
      </c>
      <c r="C153" s="1320"/>
      <c r="D153" s="1321"/>
      <c r="E153" s="1322"/>
      <c r="F153" s="1323"/>
      <c r="G153" s="1324"/>
      <c r="H153" s="1321"/>
      <c r="I153" s="1322"/>
      <c r="J153" s="1325"/>
      <c r="K153" s="1322"/>
      <c r="L153" s="1323"/>
      <c r="M153" s="1323"/>
      <c r="N153" s="1326"/>
    </row>
    <row r="154" spans="1:14" ht="53.15" customHeight="1" x14ac:dyDescent="0.3">
      <c r="A154" s="1318" t="s">
        <v>203</v>
      </c>
      <c r="B154" s="1327" t="s">
        <v>843</v>
      </c>
      <c r="C154" s="1320"/>
      <c r="D154" s="1328"/>
      <c r="E154" s="1329"/>
      <c r="F154" s="1330"/>
      <c r="G154" s="1320"/>
      <c r="H154" s="1328"/>
      <c r="I154" s="1329"/>
      <c r="J154" s="1331"/>
      <c r="K154" s="1329"/>
      <c r="L154" s="1330"/>
      <c r="M154" s="1330"/>
      <c r="N154" s="1332"/>
    </row>
    <row r="155" spans="1:14" ht="53.15" customHeight="1" x14ac:dyDescent="0.3">
      <c r="A155" s="1318"/>
      <c r="B155" s="1327"/>
      <c r="C155" s="1320"/>
      <c r="D155" s="1328"/>
      <c r="E155" s="1333"/>
      <c r="F155" s="1330"/>
      <c r="G155" s="1320"/>
      <c r="H155" s="1328"/>
      <c r="I155" s="1333"/>
      <c r="J155" s="1331"/>
      <c r="K155" s="1333"/>
      <c r="L155" s="1330"/>
      <c r="M155" s="1330"/>
      <c r="N155" s="1332"/>
    </row>
    <row r="156" spans="1:14" ht="53.15" customHeight="1" x14ac:dyDescent="0.3">
      <c r="A156" s="1318"/>
      <c r="B156" s="1319" t="s">
        <v>1785</v>
      </c>
      <c r="C156" s="1320"/>
      <c r="D156" s="1321"/>
      <c r="E156" s="1322"/>
      <c r="F156" s="1323"/>
      <c r="G156" s="1324"/>
      <c r="H156" s="1321"/>
      <c r="I156" s="1322"/>
      <c r="J156" s="1325"/>
      <c r="K156" s="1322"/>
      <c r="L156" s="1323"/>
      <c r="M156" s="1323"/>
      <c r="N156" s="1326"/>
    </row>
    <row r="157" spans="1:14" ht="53.15" customHeight="1" thickBot="1" x14ac:dyDescent="0.35">
      <c r="A157" s="1334"/>
      <c r="B157" s="1335" t="s">
        <v>193</v>
      </c>
      <c r="C157" s="1336"/>
      <c r="D157" s="1337"/>
      <c r="E157" s="1338"/>
      <c r="F157" s="1339"/>
      <c r="G157" s="1336"/>
      <c r="H157" s="1337"/>
      <c r="I157" s="1338"/>
      <c r="J157" s="1340"/>
      <c r="K157" s="1338"/>
      <c r="L157" s="1339"/>
      <c r="M157" s="1339"/>
      <c r="N157" s="1341"/>
    </row>
    <row r="158" spans="1:14" ht="53.15" customHeight="1" thickTop="1" x14ac:dyDescent="0.3"/>
  </sheetData>
  <sheetProtection algorithmName="SHA-512" hashValue="4U588vEN35s4Mbj7C4dy/lcHzuvXDfH1VZUPVqLEEaw0tb+Lh/dgKw2YCh6wuSPWWNhdWt12qNvw4xdlzT8gBw==" saltValue="Wyt897JhR+RuwFnTunWmrQ==" spinCount="100000" sheet="1" formatColumns="0" formatRows="0" insertHyperlinks="0" selectLockedCells="1" autoFilter="0"/>
  <mergeCells count="42">
    <mergeCell ref="B1:D1"/>
    <mergeCell ref="B2:D2"/>
    <mergeCell ref="B3:D3"/>
    <mergeCell ref="A4:D4"/>
    <mergeCell ref="N55:N59"/>
    <mergeCell ref="A6:C6"/>
    <mergeCell ref="A13:C13"/>
    <mergeCell ref="D13:N13"/>
    <mergeCell ref="A75:C75"/>
    <mergeCell ref="O61:O71"/>
    <mergeCell ref="V79:V86"/>
    <mergeCell ref="N61:N71"/>
    <mergeCell ref="V61:V71"/>
    <mergeCell ref="D75:N75"/>
    <mergeCell ref="O55:O59"/>
    <mergeCell ref="N79:N86"/>
    <mergeCell ref="O79:O86"/>
    <mergeCell ref="W55:W59"/>
    <mergeCell ref="N23:N25"/>
    <mergeCell ref="O23:O25"/>
    <mergeCell ref="N28:N37"/>
    <mergeCell ref="O28:O37"/>
    <mergeCell ref="W42:W47"/>
    <mergeCell ref="V28:V37"/>
    <mergeCell ref="W28:W37"/>
    <mergeCell ref="V23:V25"/>
    <mergeCell ref="B88:C88"/>
    <mergeCell ref="V15:V18"/>
    <mergeCell ref="W15:W18"/>
    <mergeCell ref="N15:N18"/>
    <mergeCell ref="O15:O18"/>
    <mergeCell ref="A51:C51"/>
    <mergeCell ref="D51:N51"/>
    <mergeCell ref="N42:N47"/>
    <mergeCell ref="V42:V47"/>
    <mergeCell ref="O42:O47"/>
    <mergeCell ref="A20:C20"/>
    <mergeCell ref="D20:N20"/>
    <mergeCell ref="W23:W25"/>
    <mergeCell ref="W79:W86"/>
    <mergeCell ref="W61:W71"/>
    <mergeCell ref="V55:V59"/>
  </mergeCells>
  <conditionalFormatting sqref="B8:B11">
    <cfRule type="expression" dxfId="9212" priority="300">
      <formula>IF($E8=TRUE,TRUE,FALSE)</formula>
    </cfRule>
  </conditionalFormatting>
  <conditionalFormatting sqref="B12 D12:G12">
    <cfRule type="expression" dxfId="9211" priority="676">
      <formula>IF($E12,TRUE)</formula>
    </cfRule>
  </conditionalFormatting>
  <conditionalFormatting sqref="B12 F12:G12">
    <cfRule type="expression" dxfId="9210" priority="12315">
      <formula>IF(AND($E12=FALSE,$N12="Not Applicable"),TRUE,FALSE)</formula>
    </cfRule>
    <cfRule type="expression" dxfId="9209" priority="12316">
      <formula>IF(AND($E12,TRUE,$N12="Not Applicable"),TRUE,FALSE)</formula>
    </cfRule>
    <cfRule type="expression" dxfId="9208" priority="12317">
      <formula>IF($E12=TRUE,TRUE,FALSE)</formula>
    </cfRule>
    <cfRule type="expression" dxfId="9207" priority="12318">
      <formula>IF(AND($E12=FALSE,$N12&lt;&gt;""),TRUE,FALSE)</formula>
    </cfRule>
  </conditionalFormatting>
  <conditionalFormatting sqref="B15 D15 B22:B23 D22:D23 B28 D28 B40 D40 B42 D42 B53 D53 B55 D55 B61 D61 B77 D77 B79 D79">
    <cfRule type="expression" dxfId="9206" priority="4">
      <formula>IF($E15,TRUE)</formula>
    </cfRule>
  </conditionalFormatting>
  <conditionalFormatting sqref="B54 B56:B60 B62:B73 B78 B80:B86 B16:B18 B24:B27 B29:B39 B41 B43:B49">
    <cfRule type="expression" dxfId="9205" priority="425">
      <formula>IF(AND($E16=FALSE,OR($I16&lt;&gt;"",$L16&lt;&gt;"")),TRUE,FALSE)</formula>
    </cfRule>
    <cfRule type="expression" dxfId="9204" priority="426">
      <formula>IF(AND($E16=TRUE,OR($I16="",$L16="")),TRUE,FALSE)</formula>
    </cfRule>
    <cfRule type="expression" dxfId="9203" priority="427">
      <formula>IF(AND($E16=TRUE,OR($I16&lt;&gt;"",$L16="")),TRUE,FALSE)</formula>
    </cfRule>
  </conditionalFormatting>
  <conditionalFormatting sqref="B54 B56:B60">
    <cfRule type="expression" dxfId="9202" priority="409">
      <formula>IF(AND($E54=FALSE,OR($I54&lt;&gt;"",$L54&lt;&gt;"")),TRUE,FALSE)</formula>
    </cfRule>
    <cfRule type="expression" dxfId="9201" priority="410">
      <formula>IF(AND($E54=TRUE,OR($I54="",$J54="")),TRUE,FALSE)</formula>
    </cfRule>
    <cfRule type="expression" dxfId="9200" priority="411">
      <formula>IF(AND($E54=TRUE,OR($I54&lt;&gt;"",$L54="")),TRUE,FALSE)</formula>
    </cfRule>
    <cfRule type="expression" dxfId="9199" priority="412">
      <formula>IF(AND($E54=FALSE,$E$53=TRUE),TRUE,FALSE)</formula>
    </cfRule>
  </conditionalFormatting>
  <conditionalFormatting sqref="B62:B73">
    <cfRule type="expression" dxfId="9198" priority="405">
      <formula>IF(AND($E62=FALSE,OR($I62&lt;&gt;"",$L62&lt;&gt;"")),TRUE,FALSE)</formula>
    </cfRule>
    <cfRule type="expression" dxfId="9197" priority="406">
      <formula>IF(AND($E62=TRUE,OR($I62="",$J62="")),TRUE,FALSE)</formula>
    </cfRule>
    <cfRule type="expression" dxfId="9196" priority="407">
      <formula>IF(AND($E62=TRUE,OR($I62&lt;&gt;"",$L62="")),TRUE,FALSE)</formula>
    </cfRule>
    <cfRule type="expression" dxfId="9195" priority="408">
      <formula>IF(AND($E62=FALSE,$E$61=TRUE),TRUE,FALSE)</formula>
    </cfRule>
  </conditionalFormatting>
  <conditionalFormatting sqref="B78">
    <cfRule type="expression" dxfId="9194" priority="401">
      <formula>IF(AND($E78=FALSE,OR($I78&lt;&gt;"",$L78&lt;&gt;"")),TRUE,FALSE)</formula>
    </cfRule>
    <cfRule type="expression" dxfId="9193" priority="402">
      <formula>IF(AND($E78=TRUE,OR($I78="",$J78="")),TRUE,FALSE)</formula>
    </cfRule>
    <cfRule type="expression" dxfId="9192" priority="403">
      <formula>IF(AND($E78=TRUE,OR($I78&lt;&gt;"",$L78="")),TRUE,FALSE)</formula>
    </cfRule>
    <cfRule type="expression" dxfId="9191" priority="404">
      <formula>IF(AND($E78=FALSE,$E$77=TRUE),TRUE,FALSE)</formula>
    </cfRule>
  </conditionalFormatting>
  <conditionalFormatting sqref="B80:B86">
    <cfRule type="expression" dxfId="9190" priority="397">
      <formula>IF(AND($E80=FALSE,OR($I80&lt;&gt;"",$L80&lt;&gt;"")),TRUE,FALSE)</formula>
    </cfRule>
    <cfRule type="expression" dxfId="9189" priority="398">
      <formula>IF(AND($E80=TRUE,OR($I80="",$J80="")),TRUE,FALSE)</formula>
    </cfRule>
    <cfRule type="expression" dxfId="9188" priority="399">
      <formula>IF(AND($E80=TRUE,OR($I80&lt;&gt;"",$L80="")),TRUE,FALSE)</formula>
    </cfRule>
    <cfRule type="expression" dxfId="9187" priority="400">
      <formula>IF(AND($E80=FALSE,$E$79=TRUE),TRUE,FALSE)</formula>
    </cfRule>
  </conditionalFormatting>
  <conditionalFormatting sqref="D8:D11 N8:N11 Q8:Q11 V8:V11">
    <cfRule type="expression" dxfId="9186" priority="5">
      <formula>IF(E8=FALSE,TRUE,FALSE)</formula>
    </cfRule>
    <cfRule type="expression" dxfId="9185" priority="6">
      <formula>IF(E8=TRUE,TRUE,FALSE)</formula>
    </cfRule>
  </conditionalFormatting>
  <conditionalFormatting sqref="D16:D18">
    <cfRule type="expression" dxfId="9184" priority="311">
      <formula>IF($D16="Compliant",TRUE)</formula>
    </cfRule>
    <cfRule type="expression" dxfId="9183" priority="312">
      <formula>IF($D16=" ",TRUE)</formula>
    </cfRule>
    <cfRule type="expression" dxfId="9182" priority="318">
      <formula>IF($D16="Not Compliant",TRUE)</formula>
    </cfRule>
  </conditionalFormatting>
  <conditionalFormatting sqref="D24:D27 D29:D39">
    <cfRule type="expression" dxfId="9181" priority="375">
      <formula>IF($D24="Compliant",TRUE)</formula>
    </cfRule>
    <cfRule type="expression" dxfId="9180" priority="376">
      <formula>IF($D24=" ",TRUE)</formula>
    </cfRule>
    <cfRule type="expression" dxfId="9179" priority="382">
      <formula>IF($D24="Not Compliant",TRUE)</formula>
    </cfRule>
  </conditionalFormatting>
  <conditionalFormatting sqref="D41 D43:D49">
    <cfRule type="expression" dxfId="9178" priority="367">
      <formula>IF($D41="Compliant",TRUE)</formula>
    </cfRule>
    <cfRule type="expression" dxfId="9177" priority="368">
      <formula>IF($D41=" ",TRUE)</formula>
    </cfRule>
    <cfRule type="expression" dxfId="9176" priority="374">
      <formula>IF($D41="Not Compliant",TRUE)</formula>
    </cfRule>
  </conditionalFormatting>
  <conditionalFormatting sqref="D52">
    <cfRule type="expression" dxfId="9175" priority="806">
      <formula>IF(#REF!,TRUE)</formula>
    </cfRule>
    <cfRule type="expression" dxfId="9174" priority="807">
      <formula>IF($E52,TRUE)</formula>
    </cfRule>
  </conditionalFormatting>
  <conditionalFormatting sqref="D54">
    <cfRule type="expression" dxfId="9173" priority="359">
      <formula>IF($D54="Compliant",TRUE)</formula>
    </cfRule>
    <cfRule type="expression" dxfId="9172" priority="360">
      <formula>IF($D54=" ",TRUE)</formula>
    </cfRule>
    <cfRule type="expression" dxfId="9171" priority="366">
      <formula>IF($D54="Not Compliant",TRUE)</formula>
    </cfRule>
  </conditionalFormatting>
  <conditionalFormatting sqref="D56:D60">
    <cfRule type="expression" dxfId="9170" priority="351">
      <formula>IF($D56="Compliant",TRUE)</formula>
    </cfRule>
    <cfRule type="expression" dxfId="9169" priority="352">
      <formula>IF($D56=" ",TRUE)</formula>
    </cfRule>
    <cfRule type="expression" dxfId="9168" priority="358">
      <formula>IF($D56="Not Compliant",TRUE)</formula>
    </cfRule>
  </conditionalFormatting>
  <conditionalFormatting sqref="D62:D73">
    <cfRule type="expression" dxfId="9167" priority="335">
      <formula>IF($D62="Compliant",TRUE)</formula>
    </cfRule>
    <cfRule type="expression" dxfId="9166" priority="336">
      <formula>IF($D62=" ",TRUE)</formula>
    </cfRule>
    <cfRule type="expression" dxfId="9165" priority="342">
      <formula>IF($D62="Not Compliant",TRUE)</formula>
    </cfRule>
  </conditionalFormatting>
  <conditionalFormatting sqref="D78">
    <cfRule type="expression" dxfId="9164" priority="327">
      <formula>IF($D78="Compliant",TRUE)</formula>
    </cfRule>
    <cfRule type="expression" dxfId="9163" priority="328">
      <formula>IF($D78=" ",TRUE)</formula>
    </cfRule>
    <cfRule type="expression" dxfId="9162" priority="334">
      <formula>IF($D78="Not Compliant",TRUE)</formula>
    </cfRule>
  </conditionalFormatting>
  <conditionalFormatting sqref="D80:D86">
    <cfRule type="expression" dxfId="9161" priority="319">
      <formula>IF($D80="Compliant",TRUE)</formula>
    </cfRule>
    <cfRule type="expression" dxfId="9160" priority="320">
      <formula>IF($D80=" ",TRUE)</formula>
    </cfRule>
    <cfRule type="expression" dxfId="9159" priority="326">
      <formula>IF($D80="Not Compliant",TRUE)</formula>
    </cfRule>
  </conditionalFormatting>
  <conditionalFormatting sqref="D21:F21">
    <cfRule type="expression" dxfId="9158" priority="788">
      <formula>IF(AND($E21=TRUE,#REF!&gt;1),TRUE)</formula>
    </cfRule>
    <cfRule type="expression" dxfId="9157" priority="789">
      <formula>IF(AND($E21=TRUE,#REF!=1),TRUE)</formula>
    </cfRule>
    <cfRule type="expression" dxfId="9156" priority="790">
      <formula>IF(AND($E21=FALSE,#REF!=1),TRUE)</formula>
    </cfRule>
  </conditionalFormatting>
  <conditionalFormatting sqref="D50:F50">
    <cfRule type="expression" dxfId="9155" priority="611">
      <formula>$E50=TRUE</formula>
    </cfRule>
  </conditionalFormatting>
  <conditionalFormatting sqref="D74:F74">
    <cfRule type="expression" dxfId="9154" priority="610">
      <formula>$E74=TRUE</formula>
    </cfRule>
  </conditionalFormatting>
  <conditionalFormatting sqref="E142">
    <cfRule type="beginsWith" dxfId="9153" priority="774" operator="beginsWith" text="Partly">
      <formula>LEFT(E142,LEN("Partly"))="Partly"</formula>
    </cfRule>
    <cfRule type="beginsWith" dxfId="9152" priority="775" operator="beginsWith" text="Missing">
      <formula>LEFT(E142,LEN("Missing"))="Missing"</formula>
    </cfRule>
    <cfRule type="beginsWith" dxfId="9151" priority="776" operator="beginsWith" text="Not">
      <formula>LEFT(E142,LEN("Not"))="Not"</formula>
    </cfRule>
    <cfRule type="beginsWith" dxfId="9150" priority="785" operator="beginsWith" text="Compliant">
      <formula>LEFT(E142,LEN("Compliant"))="Compliant"</formula>
    </cfRule>
    <cfRule type="containsText" dxfId="9149" priority="786" operator="containsText" text="Equivalent">
      <formula>NOT(ISERROR(SEARCH("Equivalent",E142)))</formula>
    </cfRule>
  </conditionalFormatting>
  <conditionalFormatting sqref="E144:E149">
    <cfRule type="beginsWith" dxfId="9148" priority="764" operator="beginsWith" text="Partly">
      <formula>LEFT(E144,LEN("Partly"))="Partly"</formula>
    </cfRule>
    <cfRule type="beginsWith" dxfId="9147" priority="765" operator="beginsWith" text="Missing">
      <formula>LEFT(E144,LEN("Missing"))="Missing"</formula>
    </cfRule>
    <cfRule type="beginsWith" dxfId="9146" priority="766" operator="beginsWith" text="Not">
      <formula>LEFT(E144,LEN("Not"))="Not"</formula>
    </cfRule>
    <cfRule type="beginsWith" dxfId="9145" priority="767" operator="beginsWith" text="Compliant">
      <formula>LEFT(E144,LEN("Compliant"))="Compliant"</formula>
    </cfRule>
    <cfRule type="containsText" dxfId="9144" priority="768" operator="containsText" text="Equivalent">
      <formula>NOT(ISERROR(SEARCH("Equivalent",E144)))</formula>
    </cfRule>
  </conditionalFormatting>
  <conditionalFormatting sqref="E151:E152">
    <cfRule type="beginsWith" dxfId="9143" priority="759" operator="beginsWith" text="Partly">
      <formula>LEFT(E151,LEN("Partly"))="Partly"</formula>
    </cfRule>
    <cfRule type="beginsWith" dxfId="9142" priority="760" operator="beginsWith" text="Missing">
      <formula>LEFT(E151,LEN("Missing"))="Missing"</formula>
    </cfRule>
    <cfRule type="beginsWith" dxfId="9141" priority="761" operator="beginsWith" text="Not">
      <formula>LEFT(E151,LEN("Not"))="Not"</formula>
    </cfRule>
    <cfRule type="beginsWith" dxfId="9140" priority="762" operator="beginsWith" text="Compliant">
      <formula>LEFT(E151,LEN("Compliant"))="Compliant"</formula>
    </cfRule>
    <cfRule type="containsText" dxfId="9139" priority="763" operator="containsText" text="Equivalent">
      <formula>NOT(ISERROR(SEARCH("Equivalent",E151)))</formula>
    </cfRule>
  </conditionalFormatting>
  <conditionalFormatting sqref="E154">
    <cfRule type="beginsWith" dxfId="9138" priority="754" operator="beginsWith" text="Partly">
      <formula>LEFT(E154,LEN("Partly"))="Partly"</formula>
    </cfRule>
    <cfRule type="beginsWith" dxfId="9137" priority="755" operator="beginsWith" text="Missing">
      <formula>LEFT(E154,LEN("Missing"))="Missing"</formula>
    </cfRule>
    <cfRule type="beginsWith" dxfId="9136" priority="756" operator="beginsWith" text="Not">
      <formula>LEFT(E154,LEN("Not"))="Not"</formula>
    </cfRule>
    <cfRule type="beginsWith" dxfId="9135" priority="757" operator="beginsWith" text="Compliant">
      <formula>LEFT(E154,LEN("Compliant"))="Compliant"</formula>
    </cfRule>
    <cfRule type="containsText" dxfId="9134" priority="758" operator="containsText" text="Equivalent">
      <formula>NOT(ISERROR(SEARCH("Equivalent",E154)))</formula>
    </cfRule>
  </conditionalFormatting>
  <conditionalFormatting sqref="E157">
    <cfRule type="beginsWith" dxfId="9133" priority="749" operator="beginsWith" text="Partly">
      <formula>LEFT(E157,LEN("Partly"))="Partly"</formula>
    </cfRule>
    <cfRule type="beginsWith" dxfId="9132" priority="750" operator="beginsWith" text="Missing">
      <formula>LEFT(E157,LEN("Missing"))="Missing"</formula>
    </cfRule>
    <cfRule type="beginsWith" dxfId="9131" priority="751" operator="beginsWith" text="Not">
      <formula>LEFT(E157,LEN("Not"))="Not"</formula>
    </cfRule>
    <cfRule type="beginsWith" dxfId="9130" priority="752" operator="beginsWith" text="Compliant">
      <formula>LEFT(E157,LEN("Compliant"))="Compliant"</formula>
    </cfRule>
    <cfRule type="containsText" dxfId="9129" priority="753" operator="containsText" text="Equivalent">
      <formula>NOT(ISERROR(SEARCH("Equivalent",E157)))</formula>
    </cfRule>
  </conditionalFormatting>
  <conditionalFormatting sqref="G50:I50">
    <cfRule type="expression" dxfId="9128" priority="557">
      <formula>IF(AND($E50=TRUE,$I50&lt;&gt;""),TRUE,FALSE)</formula>
    </cfRule>
    <cfRule type="expression" dxfId="9127" priority="588">
      <formula>IF(AND($E50=FALSE,$I50&lt;&gt;""),TRUE,FALSE)</formula>
    </cfRule>
    <cfRule type="expression" dxfId="9126" priority="589">
      <formula>IF(AND($E50=TRUE,$I50=""),TRUE,FALSE)</formula>
    </cfRule>
  </conditionalFormatting>
  <conditionalFormatting sqref="G74:I74">
    <cfRule type="expression" dxfId="9125" priority="532">
      <formula>IF(AND($E74=TRUE,$I74&lt;&gt;""),TRUE,FALSE)</formula>
    </cfRule>
    <cfRule type="expression" dxfId="9124" priority="533">
      <formula>IF(AND($E74=FALSE,$I74&lt;&gt;""),TRUE,FALSE)</formula>
    </cfRule>
    <cfRule type="expression" dxfId="9123" priority="534">
      <formula>IF(AND($E74=TRUE,$I74=""),TRUE,FALSE)</formula>
    </cfRule>
  </conditionalFormatting>
  <conditionalFormatting sqref="G21:M21">
    <cfRule type="expression" dxfId="9122" priority="799">
      <formula>IF(AND($E21=FALSE,$I21&lt;&gt;""),TRUE,FALSE)</formula>
    </cfRule>
    <cfRule type="expression" dxfId="9121" priority="800">
      <formula>IF(AND($E21=TRUE,$I21=""),TRUE,FALSE)</formula>
    </cfRule>
    <cfRule type="expression" dxfId="9120" priority="801">
      <formula>IF(AND($E21=TRUE,$I21&lt;&gt;""),TRUE,FALSE)</formula>
    </cfRule>
    <cfRule type="expression" dxfId="9119" priority="802">
      <formula>IF(AND($E21=FALSE,#REF!,TRUE),TRUE,FALSE)</formula>
    </cfRule>
  </conditionalFormatting>
  <conditionalFormatting sqref="I142">
    <cfRule type="containsText" dxfId="9118" priority="781" operator="containsText" text="Likely">
      <formula>NOT(ISERROR(SEARCH("Likely",I142)))</formula>
    </cfRule>
    <cfRule type="containsText" dxfId="9117" priority="782" operator="containsText" text="Not Compliant">
      <formula>NOT(ISERROR(SEARCH("Not Compliant",I142)))</formula>
    </cfRule>
    <cfRule type="containsText" dxfId="9116" priority="783" operator="containsText" text="Compliant">
      <formula>NOT(ISERROR(SEARCH("Compliant",I142)))</formula>
    </cfRule>
    <cfRule type="containsText" dxfId="9115" priority="784" operator="containsText" text="Equivalent">
      <formula>NOT(ISERROR(SEARCH("Equivalent",I142)))</formula>
    </cfRule>
  </conditionalFormatting>
  <conditionalFormatting sqref="I144:I149">
    <cfRule type="containsText" dxfId="9114" priority="729" operator="containsText" text="Likely">
      <formula>NOT(ISERROR(SEARCH("Likely",I144)))</formula>
    </cfRule>
    <cfRule type="containsText" dxfId="9113" priority="730" operator="containsText" text="Not Compliant">
      <formula>NOT(ISERROR(SEARCH("Not Compliant",I144)))</formula>
    </cfRule>
    <cfRule type="containsText" dxfId="9112" priority="731" operator="containsText" text="Compliant">
      <formula>NOT(ISERROR(SEARCH("Compliant",I144)))</formula>
    </cfRule>
    <cfRule type="containsText" dxfId="9111" priority="732" operator="containsText" text="Equivalent">
      <formula>NOT(ISERROR(SEARCH("Equivalent",I144)))</formula>
    </cfRule>
  </conditionalFormatting>
  <conditionalFormatting sqref="I151:I152">
    <cfRule type="containsText" dxfId="9110" priority="725" operator="containsText" text="Likely">
      <formula>NOT(ISERROR(SEARCH("Likely",I151)))</formula>
    </cfRule>
    <cfRule type="containsText" dxfId="9109" priority="726" operator="containsText" text="Not Compliant">
      <formula>NOT(ISERROR(SEARCH("Not Compliant",I151)))</formula>
    </cfRule>
    <cfRule type="containsText" dxfId="9108" priority="727" operator="containsText" text="Compliant">
      <formula>NOT(ISERROR(SEARCH("Compliant",I151)))</formula>
    </cfRule>
    <cfRule type="containsText" dxfId="9107" priority="728" operator="containsText" text="Equivalent">
      <formula>NOT(ISERROR(SEARCH("Equivalent",I151)))</formula>
    </cfRule>
  </conditionalFormatting>
  <conditionalFormatting sqref="I154">
    <cfRule type="containsText" dxfId="9106" priority="721" operator="containsText" text="Likely">
      <formula>NOT(ISERROR(SEARCH("Likely",I154)))</formula>
    </cfRule>
    <cfRule type="containsText" dxfId="9105" priority="722" operator="containsText" text="Not Compliant">
      <formula>NOT(ISERROR(SEARCH("Not Compliant",I154)))</formula>
    </cfRule>
    <cfRule type="containsText" dxfId="9104" priority="723" operator="containsText" text="Compliant">
      <formula>NOT(ISERROR(SEARCH("Compliant",I154)))</formula>
    </cfRule>
    <cfRule type="containsText" dxfId="9103" priority="724" operator="containsText" text="Equivalent">
      <formula>NOT(ISERROR(SEARCH("Equivalent",I154)))</formula>
    </cfRule>
  </conditionalFormatting>
  <conditionalFormatting sqref="I157">
    <cfRule type="containsText" dxfId="9102" priority="717" operator="containsText" text="Likely">
      <formula>NOT(ISERROR(SEARCH("Likely",I157)))</formula>
    </cfRule>
    <cfRule type="containsText" dxfId="9101" priority="718" operator="containsText" text="Not Compliant">
      <formula>NOT(ISERROR(SEARCH("Not Compliant",I157)))</formula>
    </cfRule>
    <cfRule type="containsText" dxfId="9100" priority="719" operator="containsText" text="Compliant">
      <formula>NOT(ISERROR(SEARCH("Compliant",I157)))</formula>
    </cfRule>
    <cfRule type="containsText" dxfId="9099" priority="720" operator="containsText" text="Equivalent">
      <formula>NOT(ISERROR(SEARCH("Equivalent",I157)))</formula>
    </cfRule>
  </conditionalFormatting>
  <conditionalFormatting sqref="J50:M50 J74:M74">
    <cfRule type="expression" dxfId="9098" priority="483">
      <formula>IF(AND($E50=FALSE,$L50&lt;&gt;""),TRUE,FALSE)</formula>
    </cfRule>
    <cfRule type="expression" dxfId="9097" priority="484">
      <formula>IF(AND($E50=TRUE,$L50=""),TRUE,FALSE)</formula>
    </cfRule>
    <cfRule type="expression" dxfId="9096" priority="485">
      <formula>IF(AND($E50=TRUE,$L50&lt;&gt;""),TRUE,FALSE)</formula>
    </cfRule>
    <cfRule type="expression" dxfId="9095" priority="486">
      <formula>IF(AND($E50=FALSE,$E$33,TRUE,$L50=""),TRUE,FALSE)</formula>
    </cfRule>
  </conditionalFormatting>
  <conditionalFormatting sqref="K142">
    <cfRule type="containsText" dxfId="9094" priority="777" operator="containsText" text="Likely">
      <formula>NOT(ISERROR(SEARCH("Likely",K142)))</formula>
    </cfRule>
    <cfRule type="containsText" dxfId="9093" priority="778" operator="containsText" text="Not Compliant">
      <formula>NOT(ISERROR(SEARCH("Not Compliant",K142)))</formula>
    </cfRule>
    <cfRule type="containsText" dxfId="9092" priority="779" operator="containsText" text="Compliant">
      <formula>NOT(ISERROR(SEARCH("Compliant",K142)))</formula>
    </cfRule>
    <cfRule type="containsText" dxfId="9091" priority="780" operator="containsText" text="Equivalent">
      <formula>NOT(ISERROR(SEARCH("Equivalent",K142)))</formula>
    </cfRule>
  </conditionalFormatting>
  <conditionalFormatting sqref="K144:K149">
    <cfRule type="containsText" dxfId="9090" priority="745" operator="containsText" text="Likely">
      <formula>NOT(ISERROR(SEARCH("Likely",K144)))</formula>
    </cfRule>
    <cfRule type="containsText" dxfId="9089" priority="746" operator="containsText" text="Not Compliant">
      <formula>NOT(ISERROR(SEARCH("Not Compliant",K144)))</formula>
    </cfRule>
    <cfRule type="containsText" dxfId="9088" priority="747" operator="containsText" text="Compliant">
      <formula>NOT(ISERROR(SEARCH("Compliant",K144)))</formula>
    </cfRule>
    <cfRule type="containsText" dxfId="9087" priority="748" operator="containsText" text="Equivalent">
      <formula>NOT(ISERROR(SEARCH("Equivalent",K144)))</formula>
    </cfRule>
  </conditionalFormatting>
  <conditionalFormatting sqref="K151:K152">
    <cfRule type="containsText" dxfId="9086" priority="741" operator="containsText" text="Likely">
      <formula>NOT(ISERROR(SEARCH("Likely",K151)))</formula>
    </cfRule>
    <cfRule type="containsText" dxfId="9085" priority="742" operator="containsText" text="Not Compliant">
      <formula>NOT(ISERROR(SEARCH("Not Compliant",K151)))</formula>
    </cfRule>
    <cfRule type="containsText" dxfId="9084" priority="743" operator="containsText" text="Compliant">
      <formula>NOT(ISERROR(SEARCH("Compliant",K151)))</formula>
    </cfRule>
    <cfRule type="containsText" dxfId="9083" priority="744" operator="containsText" text="Equivalent">
      <formula>NOT(ISERROR(SEARCH("Equivalent",K151)))</formula>
    </cfRule>
  </conditionalFormatting>
  <conditionalFormatting sqref="K154">
    <cfRule type="containsText" dxfId="9082" priority="737" operator="containsText" text="Likely">
      <formula>NOT(ISERROR(SEARCH("Likely",K154)))</formula>
    </cfRule>
    <cfRule type="containsText" dxfId="9081" priority="738" operator="containsText" text="Not Compliant">
      <formula>NOT(ISERROR(SEARCH("Not Compliant",K154)))</formula>
    </cfRule>
    <cfRule type="containsText" dxfId="9080" priority="739" operator="containsText" text="Compliant">
      <formula>NOT(ISERROR(SEARCH("Compliant",K154)))</formula>
    </cfRule>
    <cfRule type="containsText" dxfId="9079" priority="740" operator="containsText" text="Equivalent">
      <formula>NOT(ISERROR(SEARCH("Equivalent",K154)))</formula>
    </cfRule>
  </conditionalFormatting>
  <conditionalFormatting sqref="K157">
    <cfRule type="containsText" dxfId="9078" priority="733" operator="containsText" text="Likely">
      <formula>NOT(ISERROR(SEARCH("Likely",K157)))</formula>
    </cfRule>
    <cfRule type="containsText" dxfId="9077" priority="734" operator="containsText" text="Not Compliant">
      <formula>NOT(ISERROR(SEARCH("Not Compliant",K157)))</formula>
    </cfRule>
    <cfRule type="containsText" dxfId="9076" priority="735" operator="containsText" text="Compliant">
      <formula>NOT(ISERROR(SEARCH("Compliant",K157)))</formula>
    </cfRule>
    <cfRule type="containsText" dxfId="9075" priority="736" operator="containsText" text="Equivalent">
      <formula>NOT(ISERROR(SEARCH("Equivalent",K157)))</formula>
    </cfRule>
  </conditionalFormatting>
  <conditionalFormatting sqref="N15">
    <cfRule type="expression" dxfId="9074" priority="221">
      <formula>IF($N15="Compliant",TRUE)</formula>
    </cfRule>
    <cfRule type="expression" dxfId="9073" priority="222">
      <formula>IF($N15="FE with work-a-round",TRUE)</formula>
    </cfRule>
    <cfRule type="expression" dxfId="9072" priority="223">
      <formula>IF($N15="Functionally Equivalent",TRUE)</formula>
    </cfRule>
    <cfRule type="expression" dxfId="9071" priority="224">
      <formula>IF($N15="Likely to become compliant",TRUE)</formula>
    </cfRule>
    <cfRule type="expression" dxfId="9070" priority="225">
      <formula>IF($N15="Partly Compliant",TRUE)</formula>
    </cfRule>
    <cfRule type="expression" dxfId="9069" priority="226">
      <formula>IF($N15="Unknown/Missing",TRUE)</formula>
    </cfRule>
    <cfRule type="expression" dxfId="9068" priority="227">
      <formula>IF($N15="Not Required/Applicable",TRUE)</formula>
    </cfRule>
    <cfRule type="expression" dxfId="9067" priority="228">
      <formula>IF($N15="Not Compliant",TRUE)</formula>
    </cfRule>
    <cfRule type="expression" dxfId="9066" priority="229">
      <formula>IF($N15=" ",TRUE)</formula>
    </cfRule>
  </conditionalFormatting>
  <conditionalFormatting sqref="N22 N40">
    <cfRule type="expression" dxfId="9065" priority="99">
      <formula>IF(O22=FALSE,TRUE,FALSE)</formula>
    </cfRule>
    <cfRule type="expression" dxfId="9064" priority="100">
      <formula>IF(O22=TRUE,TRUE,FALSE)</formula>
    </cfRule>
  </conditionalFormatting>
  <conditionalFormatting sqref="N23">
    <cfRule type="expression" dxfId="9063" priority="260">
      <formula>IF($N23="Compliant",TRUE)</formula>
    </cfRule>
    <cfRule type="expression" dxfId="9062" priority="261">
      <formula>IF($N23="FE with work-a-round",TRUE)</formula>
    </cfRule>
    <cfRule type="expression" dxfId="9061" priority="262">
      <formula>IF($N23="Functionally Equivalent",TRUE)</formula>
    </cfRule>
    <cfRule type="expression" dxfId="9060" priority="263">
      <formula>IF($N23="Likely to become compliant",TRUE)</formula>
    </cfRule>
    <cfRule type="expression" dxfId="9059" priority="264">
      <formula>IF($N23="Partly Compliant",TRUE)</formula>
    </cfRule>
    <cfRule type="expression" dxfId="9058" priority="265">
      <formula>IF($N23="Unknown/Missing",TRUE)</formula>
    </cfRule>
    <cfRule type="expression" dxfId="9057" priority="266">
      <formula>IF($N23="Not Required/Applicable",TRUE)</formula>
    </cfRule>
    <cfRule type="expression" dxfId="9056" priority="267">
      <formula>IF($N23="Not Compliant",TRUE)</formula>
    </cfRule>
    <cfRule type="expression" dxfId="9055" priority="268">
      <formula>IF($N23=" ",TRUE)</formula>
    </cfRule>
  </conditionalFormatting>
  <conditionalFormatting sqref="N26:N28">
    <cfRule type="expression" dxfId="9054" priority="54">
      <formula>IF($N26="Compliant",TRUE)</formula>
    </cfRule>
    <cfRule type="expression" dxfId="9053" priority="55">
      <formula>IF($N26="FE with work-a-round",TRUE)</formula>
    </cfRule>
    <cfRule type="expression" dxfId="9052" priority="56">
      <formula>IF($N26="Functionally Equivalent",TRUE)</formula>
    </cfRule>
    <cfRule type="expression" dxfId="9051" priority="57">
      <formula>IF($N26="Likely to become compliant",TRUE)</formula>
    </cfRule>
    <cfRule type="expression" dxfId="9050" priority="58">
      <formula>IF($N26="Partly Compliant",TRUE)</formula>
    </cfRule>
    <cfRule type="expression" dxfId="9049" priority="59">
      <formula>IF($N26="Unknown/Missing",TRUE)</formula>
    </cfRule>
    <cfRule type="expression" dxfId="9048" priority="60">
      <formula>IF($N26="Not Required/Applicable",TRUE)</formula>
    </cfRule>
    <cfRule type="expression" dxfId="9047" priority="61">
      <formula>IF($N26="Not Compliant",TRUE)</formula>
    </cfRule>
    <cfRule type="expression" dxfId="9046" priority="62">
      <formula>IF($N26=" ",TRUE)</formula>
    </cfRule>
  </conditionalFormatting>
  <conditionalFormatting sqref="N38:N39">
    <cfRule type="expression" dxfId="9045" priority="81">
      <formula>IF($N38="Compliant",TRUE)</formula>
    </cfRule>
    <cfRule type="expression" dxfId="9044" priority="82">
      <formula>IF($N38="FE with work-a-round",TRUE)</formula>
    </cfRule>
    <cfRule type="expression" dxfId="9043" priority="83">
      <formula>IF($N38="Functionally Equivalent",TRUE)</formula>
    </cfRule>
    <cfRule type="expression" dxfId="9042" priority="84">
      <formula>IF($N38="Likely to become compliant",TRUE)</formula>
    </cfRule>
    <cfRule type="expression" dxfId="9041" priority="85">
      <formula>IF($N38="Partly Compliant",TRUE)</formula>
    </cfRule>
    <cfRule type="expression" dxfId="9040" priority="86">
      <formula>IF($N38="Unknown/Missing",TRUE)</formula>
    </cfRule>
    <cfRule type="expression" dxfId="9039" priority="87">
      <formula>IF($N38="Not Required/Applicable",TRUE)</formula>
    </cfRule>
    <cfRule type="expression" dxfId="9038" priority="88">
      <formula>IF($N38="Not Compliant",TRUE)</formula>
    </cfRule>
    <cfRule type="expression" dxfId="9037" priority="89">
      <formula>IF($N38=" ",TRUE)</formula>
    </cfRule>
  </conditionalFormatting>
  <conditionalFormatting sqref="N41:N42">
    <cfRule type="expression" dxfId="9036" priority="63">
      <formula>IF($N41="Compliant",TRUE)</formula>
    </cfRule>
    <cfRule type="expression" dxfId="9035" priority="64">
      <formula>IF($N41="FE with work-a-round",TRUE)</formula>
    </cfRule>
    <cfRule type="expression" dxfId="9034" priority="65">
      <formula>IF($N41="Functionally Equivalent",TRUE)</formula>
    </cfRule>
    <cfRule type="expression" dxfId="9033" priority="66">
      <formula>IF($N41="Likely to become compliant",TRUE)</formula>
    </cfRule>
    <cfRule type="expression" dxfId="9032" priority="67">
      <formula>IF($N41="Partly Compliant",TRUE)</formula>
    </cfRule>
    <cfRule type="expression" dxfId="9031" priority="68">
      <formula>IF($N41="Unknown/Missing",TRUE)</formula>
    </cfRule>
    <cfRule type="expression" dxfId="9030" priority="69">
      <formula>IF($N41="Not Required/Applicable",TRUE)</formula>
    </cfRule>
    <cfRule type="expression" dxfId="9029" priority="70">
      <formula>IF($N41="Not Compliant",TRUE)</formula>
    </cfRule>
    <cfRule type="expression" dxfId="9028" priority="71">
      <formula>IF($N41=" ",TRUE)</formula>
    </cfRule>
  </conditionalFormatting>
  <conditionalFormatting sqref="N48:N49">
    <cfRule type="expression" dxfId="9027" priority="134">
      <formula>IF($N48="Compliant",TRUE)</formula>
    </cfRule>
    <cfRule type="expression" dxfId="9026" priority="135">
      <formula>IF($N48="FE with work-a-round",TRUE)</formula>
    </cfRule>
    <cfRule type="expression" dxfId="9025" priority="136">
      <formula>IF($N48="Functionally Equivalent",TRUE)</formula>
    </cfRule>
    <cfRule type="expression" dxfId="9024" priority="137">
      <formula>IF($N48="Likely to become compliant",TRUE)</formula>
    </cfRule>
    <cfRule type="expression" dxfId="9023" priority="138">
      <formula>IF($N48="Partly Compliant",TRUE)</formula>
    </cfRule>
    <cfRule type="expression" dxfId="9022" priority="139">
      <formula>IF($N48="Unknown/Missing",TRUE)</formula>
    </cfRule>
    <cfRule type="expression" dxfId="9021" priority="140">
      <formula>IF($N48="Not Required/Applicable",TRUE)</formula>
    </cfRule>
    <cfRule type="expression" dxfId="9020" priority="141">
      <formula>IF($N48="Not Compliant",TRUE)</formula>
    </cfRule>
    <cfRule type="expression" dxfId="9019" priority="142">
      <formula>IF($N48=" ",TRUE)</formula>
    </cfRule>
  </conditionalFormatting>
  <conditionalFormatting sqref="N53">
    <cfRule type="expression" dxfId="9018" priority="234">
      <formula>IF(O53=FALSE,TRUE,FALSE)</formula>
    </cfRule>
    <cfRule type="expression" dxfId="9017" priority="235">
      <formula>IF(O53=TRUE,TRUE,FALSE)</formula>
    </cfRule>
  </conditionalFormatting>
  <conditionalFormatting sqref="N54:N55 N60:N61 N72:N73">
    <cfRule type="expression" dxfId="9016" priority="287">
      <formula>IF($N54="Compliant",TRUE)</formula>
    </cfRule>
    <cfRule type="expression" dxfId="9015" priority="288">
      <formula>IF($N54="FE with work-a-round",TRUE)</formula>
    </cfRule>
    <cfRule type="expression" dxfId="9014" priority="289">
      <formula>IF($N54="Functionally Equivalent",TRUE)</formula>
    </cfRule>
    <cfRule type="expression" dxfId="9013" priority="290">
      <formula>IF($N54="Likely to become compliant",TRUE)</formula>
    </cfRule>
    <cfRule type="expression" dxfId="9012" priority="291">
      <formula>IF($N54="Partly Compliant",TRUE)</formula>
    </cfRule>
    <cfRule type="expression" dxfId="9011" priority="292">
      <formula>IF($N54="Unknown/Missing",TRUE)</formula>
    </cfRule>
    <cfRule type="expression" dxfId="9010" priority="293">
      <formula>IF($N54="Not Required/Applicable",TRUE)</formula>
    </cfRule>
    <cfRule type="expression" dxfId="9009" priority="294">
      <formula>IF($N54="Not Compliant",TRUE)</formula>
    </cfRule>
    <cfRule type="expression" dxfId="9008" priority="295">
      <formula>IF($N54=" ",TRUE)</formula>
    </cfRule>
  </conditionalFormatting>
  <conditionalFormatting sqref="N77">
    <cfRule type="expression" dxfId="9007" priority="101">
      <formula>IF(O77=FALSE,TRUE,FALSE)</formula>
    </cfRule>
    <cfRule type="expression" dxfId="9006" priority="102">
      <formula>IF(O77=TRUE,TRUE,FALSE)</formula>
    </cfRule>
  </conditionalFormatting>
  <conditionalFormatting sqref="N78:N79">
    <cfRule type="expression" dxfId="9005" priority="107">
      <formula>IF($N78="Compliant",TRUE)</formula>
    </cfRule>
    <cfRule type="expression" dxfId="9004" priority="108">
      <formula>IF($N78="FE with work-a-round",TRUE)</formula>
    </cfRule>
    <cfRule type="expression" dxfId="9003" priority="109">
      <formula>IF($N78="Functionally Equivalent",TRUE)</formula>
    </cfRule>
    <cfRule type="expression" dxfId="9002" priority="110">
      <formula>IF($N78="Likely to become compliant",TRUE)</formula>
    </cfRule>
    <cfRule type="expression" dxfId="9001" priority="111">
      <formula>IF($N78="Partly Compliant",TRUE)</formula>
    </cfRule>
    <cfRule type="expression" dxfId="9000" priority="112">
      <formula>IF($N78="Unknown/Missing",TRUE)</formula>
    </cfRule>
    <cfRule type="expression" dxfId="8999" priority="113">
      <formula>IF($N78="Not Required/Applicable",TRUE)</formula>
    </cfRule>
    <cfRule type="expression" dxfId="8998" priority="114">
      <formula>IF($N78="Not Compliant",TRUE)</formula>
    </cfRule>
    <cfRule type="expression" dxfId="8997" priority="115">
      <formula>IF($N78=" ",TRUE)</formula>
    </cfRule>
  </conditionalFormatting>
  <conditionalFormatting sqref="N12:O12">
    <cfRule type="expression" dxfId="8996" priority="12323">
      <formula>IF(AND($E12=FALSE,$N12="Not Applicable"),TRUE,FALSE)</formula>
    </cfRule>
    <cfRule type="expression" dxfId="8995" priority="12324">
      <formula>IF(AND($E12=TRUE,$L12="",$N12="Applicable"),TRUE,FALSE)</formula>
    </cfRule>
    <cfRule type="expression" dxfId="8994" priority="12325">
      <formula>IF(AND($E12=TRUE,$L12&lt;&gt;"",$N12="Applicable"),TRUE,FALSE)</formula>
    </cfRule>
    <cfRule type="expression" dxfId="8993" priority="12326">
      <formula>IF(AND($E12=FALSE,$N12&lt;&gt;""),TRUE,FALSE)</formula>
    </cfRule>
    <cfRule type="expression" dxfId="8992" priority="12327">
      <formula>IF(AND($L12&lt;&gt;"",$N12&lt;&gt;""),TRUE,FALSE)</formula>
    </cfRule>
  </conditionalFormatting>
  <conditionalFormatting sqref="N50:O50 N52:O52 N74:O74 N76:O76">
    <cfRule type="containsText" dxfId="8991" priority="12341" operator="containsText" text="Not Compliant">
      <formula>NOT(ISERROR(SEARCH("Not Compliant",N50)))</formula>
    </cfRule>
    <cfRule type="expression" dxfId="8990" priority="12342">
      <formula>IF(AND($E50=TRUE,$I50="",$N50="Compliant"),TRUE,FALSE)</formula>
    </cfRule>
    <cfRule type="expression" dxfId="8989" priority="12343">
      <formula>IF(AND($E50=TRUE,$I50&lt;&gt;"",$N50="Compliant"),TRUE,FALSE)</formula>
    </cfRule>
    <cfRule type="expression" dxfId="8988" priority="12344">
      <formula>IF($N50&lt;&gt;"",TRUE,FALSE)</formula>
    </cfRule>
    <cfRule type="expression" dxfId="8987" priority="12345">
      <formula>IF(AND($E50=FALSE,$N50&lt;&gt;""),TRUE,FALSE)</formula>
    </cfRule>
    <cfRule type="expression" dxfId="8986" priority="12346">
      <formula>IF(AND($I50&lt;&gt;"",$N50&lt;&gt;""),TRUE,FALSE)</formula>
    </cfRule>
  </conditionalFormatting>
  <conditionalFormatting sqref="O53">
    <cfRule type="expression" dxfId="8985" priority="236">
      <formula>IF(AND($E53=TRUE,$I53="Valid Entry required below - Check amber box",#REF!="Compliant"),TRUE,FALSE)</formula>
    </cfRule>
    <cfRule type="expression" dxfId="8984" priority="237">
      <formula>IF(AND($E53=TRUE,$I53="Valid Entry made below",#REF!="Compliant"),TRUE,FALSE)</formula>
    </cfRule>
    <cfRule type="expression" dxfId="8983" priority="238">
      <formula>IF(AND($E53=FALSE,#REF!&lt;&gt;""),TRUE,FALSE)</formula>
    </cfRule>
    <cfRule type="expression" dxfId="8982" priority="239">
      <formula>IF(AND($I53&lt;&gt;"",#REF!&lt;&gt;""),TRUE,FALSE)</formula>
    </cfRule>
  </conditionalFormatting>
  <conditionalFormatting sqref="O77">
    <cfRule type="expression" dxfId="8981" priority="103">
      <formula>IF(AND($E77=TRUE,$I77="Valid Entry required below - Check amber box",#REF!="Compliant"),TRUE,FALSE)</formula>
    </cfRule>
    <cfRule type="expression" dxfId="8980" priority="104">
      <formula>IF(AND($E77=TRUE,$I77="Valid Entry made below",#REF!="Compliant"),TRUE,FALSE)</formula>
    </cfRule>
    <cfRule type="expression" dxfId="8979" priority="105">
      <formula>IF(AND($E77=FALSE,#REF!&lt;&gt;""),TRUE,FALSE)</formula>
    </cfRule>
    <cfRule type="expression" dxfId="8978" priority="106">
      <formula>IF(AND($I77&lt;&gt;"",#REF!&lt;&gt;""),TRUE,FALSE)</formula>
    </cfRule>
  </conditionalFormatting>
  <conditionalFormatting sqref="P12">
    <cfRule type="beginsWith" dxfId="8977" priority="696" operator="beginsWith" text="Likely">
      <formula>LEFT(P12,LEN("Likely"))="Likely"</formula>
    </cfRule>
    <cfRule type="beginsWith" dxfId="8976" priority="697" operator="beginsWith" text="Not Applicable">
      <formula>LEFT(P12,LEN("Not Applicable"))="Not Applicable"</formula>
    </cfRule>
    <cfRule type="beginsWith" dxfId="8975" priority="698" operator="beginsWith" text="Applicable">
      <formula>LEFT(P12,LEN("Applicable"))="Applicable"</formula>
    </cfRule>
    <cfRule type="beginsWith" dxfId="8974" priority="699" operator="beginsWith" text="Partly">
      <formula>LEFT(P12,LEN("Partly"))="Partly"</formula>
    </cfRule>
    <cfRule type="beginsWith" dxfId="8973" priority="700" operator="beginsWith" text="Missing">
      <formula>LEFT(P12,LEN("Missing"))="Missing"</formula>
    </cfRule>
    <cfRule type="beginsWith" dxfId="8972" priority="701" operator="beginsWith" text="Not">
      <formula>LEFT(P12,LEN("Not"))="Not"</formula>
    </cfRule>
    <cfRule type="beginsWith" dxfId="8971" priority="702" operator="beginsWith" text="Compliant">
      <formula>LEFT(P12,LEN("Compliant"))="Compliant"</formula>
    </cfRule>
    <cfRule type="containsText" dxfId="8970" priority="703" operator="containsText" text="Equivalent">
      <formula>NOT(ISERROR(SEARCH("Equivalent",P12)))</formula>
    </cfRule>
  </conditionalFormatting>
  <conditionalFormatting sqref="Q15">
    <cfRule type="expression" dxfId="8969" priority="201">
      <formula>IF(R15=FALSE,TRUE,FALSE)</formula>
    </cfRule>
    <cfRule type="expression" dxfId="8968" priority="202">
      <formula>IF(R15=TRUE,TRUE,FALSE)</formula>
    </cfRule>
  </conditionalFormatting>
  <conditionalFormatting sqref="Q16:Q18">
    <cfRule type="expression" dxfId="8967" priority="212">
      <formula>IF(Q16="Compliant",TRUE)</formula>
    </cfRule>
    <cfRule type="expression" dxfId="8966" priority="213">
      <formula>IF(Q16="FE with work-a-round",TRUE)</formula>
    </cfRule>
    <cfRule type="expression" dxfId="8965" priority="214">
      <formula>IF(Q16="Functionally Equivalent",TRUE)</formula>
    </cfRule>
    <cfRule type="expression" dxfId="8964" priority="215">
      <formula>IF($Q16="Likely to become compliant",TRUE)</formula>
    </cfRule>
    <cfRule type="expression" dxfId="8963" priority="216">
      <formula>IF($Q16="Partly Compliant",TRUE)</formula>
    </cfRule>
    <cfRule type="expression" dxfId="8962" priority="217">
      <formula>IF($Q16="Unknown/Missing",TRUE)</formula>
    </cfRule>
    <cfRule type="expression" dxfId="8961" priority="218">
      <formula>IF($Q16="Not Required/Applicable",TRUE)</formula>
    </cfRule>
    <cfRule type="expression" dxfId="8960" priority="219">
      <formula>IF(Q16="Not Compliant",TRUE)</formula>
    </cfRule>
    <cfRule type="expression" dxfId="8959" priority="220">
      <formula>IF(Q16=" ",TRUE)</formula>
    </cfRule>
  </conditionalFormatting>
  <conditionalFormatting sqref="Q22">
    <cfRule type="expression" dxfId="8958" priority="240">
      <formula>IF(R22=FALSE,TRUE,FALSE)</formula>
    </cfRule>
    <cfRule type="expression" dxfId="8957" priority="241">
      <formula>IF(R22=TRUE,TRUE,FALSE)</formula>
    </cfRule>
  </conditionalFormatting>
  <conditionalFormatting sqref="Q23:Q27 Q29:Q39 Q43:Q47 Q56:Q60 Q62:Q73 Q78 Q80:Q86">
    <cfRule type="expression" dxfId="8956" priority="48">
      <formula>IF($Q23="Likely to become compliant",TRUE)</formula>
    </cfRule>
    <cfRule type="expression" dxfId="8955" priority="49">
      <formula>IF($Q23="Partly Compliant",TRUE)</formula>
    </cfRule>
    <cfRule type="expression" dxfId="8954" priority="50">
      <formula>IF($Q23="Unknown/Missing",TRUE)</formula>
    </cfRule>
    <cfRule type="expression" dxfId="8953" priority="51">
      <formula>IF($Q23="Not Required/Applicable",TRUE)</formula>
    </cfRule>
    <cfRule type="expression" dxfId="8952" priority="53">
      <formula>IF(Q23=" ",TRUE)</formula>
    </cfRule>
  </conditionalFormatting>
  <conditionalFormatting sqref="Q23:Q27 Q29:Q39 Q43:Q49 Q56:Q60 Q62:Q73 Q78 Q80:Q86">
    <cfRule type="expression" dxfId="8951" priority="45">
      <formula>IF(Q23="Compliant",TRUE)</formula>
    </cfRule>
    <cfRule type="expression" dxfId="8950" priority="46">
      <formula>IF(Q23="FE with work-a-round",TRUE)</formula>
    </cfRule>
    <cfRule type="expression" dxfId="8949" priority="47">
      <formula>IF(Q23="Functionally Equivalent",TRUE)</formula>
    </cfRule>
    <cfRule type="expression" dxfId="8948" priority="52">
      <formula>IF(Q23="Not Compliant",TRUE)</formula>
    </cfRule>
  </conditionalFormatting>
  <conditionalFormatting sqref="Q28">
    <cfRule type="expression" dxfId="8947" priority="172">
      <formula>IF(R28=FALSE,TRUE,FALSE)</formula>
    </cfRule>
    <cfRule type="expression" dxfId="8946" priority="173">
      <formula>IF(R28=TRUE,TRUE,FALSE)</formula>
    </cfRule>
  </conditionalFormatting>
  <conditionalFormatting sqref="Q40">
    <cfRule type="expression" dxfId="8945" priority="143">
      <formula>IF(R40=FALSE,TRUE,FALSE)</formula>
    </cfRule>
    <cfRule type="expression" dxfId="8944" priority="144">
      <formula>IF(R40=TRUE,TRUE,FALSE)</formula>
    </cfRule>
  </conditionalFormatting>
  <conditionalFormatting sqref="Q41">
    <cfRule type="expression" dxfId="8943" priority="154">
      <formula>IF(Q41="Compliant",TRUE)</formula>
    </cfRule>
    <cfRule type="expression" dxfId="8942" priority="155">
      <formula>IF(Q41="FE with work-a-round",TRUE)</formula>
    </cfRule>
    <cfRule type="expression" dxfId="8941" priority="156">
      <formula>IF(Q41="Functionally Equivalent",TRUE)</formula>
    </cfRule>
    <cfRule type="expression" dxfId="8940" priority="157">
      <formula>IF($Q41="Likely to become compliant",TRUE)</formula>
    </cfRule>
    <cfRule type="expression" dxfId="8939" priority="158">
      <formula>IF($Q41="Partly Compliant",TRUE)</formula>
    </cfRule>
    <cfRule type="expression" dxfId="8938" priority="159">
      <formula>IF($Q41="Unknown/Missing",TRUE)</formula>
    </cfRule>
    <cfRule type="expression" dxfId="8937" priority="160">
      <formula>IF($Q41="Not Required/Applicable",TRUE)</formula>
    </cfRule>
    <cfRule type="expression" dxfId="8936" priority="161">
      <formula>IF(Q41="Not Compliant",TRUE)</formula>
    </cfRule>
    <cfRule type="expression" dxfId="8935" priority="162">
      <formula>IF(Q41=" ",TRUE)</formula>
    </cfRule>
  </conditionalFormatting>
  <conditionalFormatting sqref="Q42">
    <cfRule type="expression" dxfId="8934" priority="35">
      <formula>IF(R42=FALSE,TRUE,FALSE)</formula>
    </cfRule>
    <cfRule type="expression" dxfId="8933" priority="36">
      <formula>IF(R42=TRUE,TRUE,FALSE)</formula>
    </cfRule>
  </conditionalFormatting>
  <conditionalFormatting sqref="Q48:Q49">
    <cfRule type="expression" dxfId="8932" priority="119">
      <formula>IF(Q48="Likely to become compliant",TRUE)</formula>
    </cfRule>
    <cfRule type="expression" dxfId="8931" priority="120">
      <formula>IF(Q48="Partly Compliant",TRUE)</formula>
    </cfRule>
    <cfRule type="expression" dxfId="8930" priority="121">
      <formula>IF(Q48="Unknown/Missing",TRUE)</formula>
    </cfRule>
    <cfRule type="expression" dxfId="8929" priority="122">
      <formula>IF(Q48="Not Required/Applicable",TRUE)</formula>
    </cfRule>
    <cfRule type="expression" dxfId="8928" priority="124">
      <formula>IF($N48=" ",TRUE)</formula>
    </cfRule>
  </conditionalFormatting>
  <conditionalFormatting sqref="Q53">
    <cfRule type="expression" dxfId="8927" priority="232">
      <formula>IF(R53=FALSE,TRUE,FALSE)</formula>
    </cfRule>
    <cfRule type="expression" dxfId="8926" priority="233">
      <formula>IF(R53=TRUE,TRUE,FALSE)</formula>
    </cfRule>
  </conditionalFormatting>
  <conditionalFormatting sqref="Q54">
    <cfRule type="expression" dxfId="8925" priority="269">
      <formula>IF(Q54="Compliant",TRUE)</formula>
    </cfRule>
    <cfRule type="expression" dxfId="8924" priority="270">
      <formula>IF(Q54="FE with work-a-round",TRUE)</formula>
    </cfRule>
    <cfRule type="expression" dxfId="8923" priority="271">
      <formula>IF(Q54="Functionally Equivalent",TRUE)</formula>
    </cfRule>
    <cfRule type="expression" dxfId="8922" priority="272">
      <formula>IF(Q54="Likely to become compliant",TRUE)</formula>
    </cfRule>
    <cfRule type="expression" dxfId="8921" priority="273">
      <formula>IF(Q54="Partly Compliant",TRUE)</formula>
    </cfRule>
    <cfRule type="expression" dxfId="8920" priority="274">
      <formula>IF(Q54="Unknown/Missing",TRUE)</formula>
    </cfRule>
    <cfRule type="expression" dxfId="8919" priority="275">
      <formula>IF(Q54="Not Required/Applicable",TRUE)</formula>
    </cfRule>
    <cfRule type="expression" dxfId="8918" priority="276">
      <formula>IF(Q54="Not Compliant",TRUE)</formula>
    </cfRule>
    <cfRule type="expression" dxfId="8917" priority="277">
      <formula>IF($N54=" ",TRUE)</formula>
    </cfRule>
  </conditionalFormatting>
  <conditionalFormatting sqref="Q55">
    <cfRule type="expression" dxfId="8916" priority="43">
      <formula>IF(R55=FALSE,TRUE,FALSE)</formula>
    </cfRule>
    <cfRule type="expression" dxfId="8915" priority="44">
      <formula>IF(R55=TRUE,TRUE,FALSE)</formula>
    </cfRule>
  </conditionalFormatting>
  <conditionalFormatting sqref="Q61">
    <cfRule type="expression" dxfId="8914" priority="41">
      <formula>IF(R61=FALSE,TRUE,FALSE)</formula>
    </cfRule>
    <cfRule type="expression" dxfId="8913" priority="42">
      <formula>IF(R61=TRUE,TRUE,FALSE)</formula>
    </cfRule>
  </conditionalFormatting>
  <conditionalFormatting sqref="Q77">
    <cfRule type="expression" dxfId="8912" priority="39">
      <formula>IF(R77=FALSE,TRUE,FALSE)</formula>
    </cfRule>
    <cfRule type="expression" dxfId="8911" priority="40">
      <formula>IF(R77=TRUE,TRUE,FALSE)</formula>
    </cfRule>
  </conditionalFormatting>
  <conditionalFormatting sqref="Q79">
    <cfRule type="expression" dxfId="8910" priority="37">
      <formula>IF(R79=FALSE,TRUE,FALSE)</formula>
    </cfRule>
    <cfRule type="expression" dxfId="8909" priority="38">
      <formula>IF(R79=TRUE,TRUE,FALSE)</formula>
    </cfRule>
  </conditionalFormatting>
  <conditionalFormatting sqref="V15">
    <cfRule type="expression" dxfId="8908" priority="203">
      <formula>IF(V15="Compliant",TRUE)</formula>
    </cfRule>
    <cfRule type="expression" dxfId="8907" priority="204">
      <formula>IF(V15="FE with work-a-round",TRUE)</formula>
    </cfRule>
    <cfRule type="expression" dxfId="8906" priority="205">
      <formula>IF(V15="Functionally Equivalent",TRUE)</formula>
    </cfRule>
    <cfRule type="expression" dxfId="8905" priority="206">
      <formula>IF(V15="Likely to become compliant",TRUE)</formula>
    </cfRule>
    <cfRule type="expression" dxfId="8904" priority="207">
      <formula>IF(V15="Partly Compliant",TRUE)</formula>
    </cfRule>
    <cfRule type="expression" dxfId="8903" priority="208">
      <formula>IF(V15="Unknown/Missing",TRUE)</formula>
    </cfRule>
    <cfRule type="expression" dxfId="8902" priority="209">
      <formula>IF(V15="Not Required/Applicable",TRUE)</formula>
    </cfRule>
    <cfRule type="expression" dxfId="8901" priority="210">
      <formula>IF(V15="Not Compliant",TRUE)</formula>
    </cfRule>
    <cfRule type="expression" dxfId="8900" priority="211">
      <formula>IF($N15=" ",TRUE)</formula>
    </cfRule>
  </conditionalFormatting>
  <conditionalFormatting sqref="V22">
    <cfRule type="expression" dxfId="8899" priority="33">
      <formula>IF(W22=FALSE,TRUE,FALSE)</formula>
    </cfRule>
    <cfRule type="expression" dxfId="8898" priority="34">
      <formula>IF(W22=TRUE,TRUE,FALSE)</formula>
    </cfRule>
  </conditionalFormatting>
  <conditionalFormatting sqref="V23 V26:V28 V38:V39 V41:V42">
    <cfRule type="expression" dxfId="8897" priority="24">
      <formula>IF(V23="Compliant",TRUE)</formula>
    </cfRule>
    <cfRule type="expression" dxfId="8896" priority="25">
      <formula>IF(V23="FE with work-a-round",TRUE)</formula>
    </cfRule>
    <cfRule type="expression" dxfId="8895" priority="26">
      <formula>IF(V23="Functionally Equivalent",TRUE)</formula>
    </cfRule>
    <cfRule type="expression" dxfId="8894" priority="27">
      <formula>IF(V23="Likely to become compliant",TRUE)</formula>
    </cfRule>
    <cfRule type="expression" dxfId="8893" priority="28">
      <formula>IF(V23="Partly Compliant",TRUE)</formula>
    </cfRule>
    <cfRule type="expression" dxfId="8892" priority="29">
      <formula>IF(V23="Unknown/Missing",TRUE)</formula>
    </cfRule>
    <cfRule type="expression" dxfId="8891" priority="30">
      <formula>IF(V23="Not Required/Applicable",TRUE)</formula>
    </cfRule>
    <cfRule type="expression" dxfId="8890" priority="31">
      <formula>IF(V23="Not Compliant",TRUE)</formula>
    </cfRule>
    <cfRule type="expression" dxfId="8889" priority="32">
      <formula>IF($N23=" ",TRUE)</formula>
    </cfRule>
  </conditionalFormatting>
  <conditionalFormatting sqref="V40">
    <cfRule type="expression" dxfId="8888" priority="7">
      <formula>IF(W40=FALSE,TRUE,FALSE)</formula>
    </cfRule>
    <cfRule type="expression" dxfId="8887" priority="8">
      <formula>IF(W40=TRUE,TRUE,FALSE)</formula>
    </cfRule>
  </conditionalFormatting>
  <conditionalFormatting sqref="V48:V49">
    <cfRule type="expression" dxfId="8886" priority="125">
      <formula>IF(V48="Compliant",TRUE)</formula>
    </cfRule>
    <cfRule type="expression" dxfId="8885" priority="126">
      <formula>IF(V48="FE with work-a-round",TRUE)</formula>
    </cfRule>
    <cfRule type="expression" dxfId="8884" priority="127">
      <formula>IF(V48="Functionally Equivalent",TRUE)</formula>
    </cfRule>
    <cfRule type="expression" dxfId="8883" priority="128">
      <formula>IF(V48="Likely to become compliant",TRUE)</formula>
    </cfRule>
    <cfRule type="expression" dxfId="8882" priority="129">
      <formula>IF(V48="Partly Compliant",TRUE)</formula>
    </cfRule>
    <cfRule type="expression" dxfId="8881" priority="130">
      <formula>IF(V48="Unknown/Missing",TRUE)</formula>
    </cfRule>
    <cfRule type="expression" dxfId="8880" priority="131">
      <formula>IF(V48="Not Required/Applicable",TRUE)</formula>
    </cfRule>
    <cfRule type="expression" dxfId="8879" priority="132">
      <formula>IF(V48="Not Compliant",TRUE)</formula>
    </cfRule>
    <cfRule type="expression" dxfId="8878" priority="133">
      <formula>IF($N48=" ",TRUE)</formula>
    </cfRule>
  </conditionalFormatting>
  <conditionalFormatting sqref="V50 V52 V74 V76">
    <cfRule type="containsText" dxfId="8877" priority="692" operator="containsText" text="Applicable">
      <formula>NOT(ISERROR(SEARCH("Applicable",V50)))</formula>
    </cfRule>
    <cfRule type="containsText" dxfId="8876" priority="693" operator="containsText" text="Functionally">
      <formula>NOT(ISERROR(SEARCH("Functionally",V50)))</formula>
    </cfRule>
    <cfRule type="containsText" dxfId="8875" priority="694" operator="containsText" text="Not Compliant">
      <formula>NOT(ISERROR(SEARCH("Not Compliant",V50)))</formula>
    </cfRule>
    <cfRule type="containsText" dxfId="8874" priority="695" operator="containsText" text="Compliant">
      <formula>NOT(ISERROR(SEARCH("Compliant",V50)))</formula>
    </cfRule>
  </conditionalFormatting>
  <conditionalFormatting sqref="V53">
    <cfRule type="expression" dxfId="8873" priority="230">
      <formula>IF(W53=FALSE,TRUE,FALSE)</formula>
    </cfRule>
    <cfRule type="expression" dxfId="8872" priority="231">
      <formula>IF(W53=TRUE,TRUE,FALSE)</formula>
    </cfRule>
  </conditionalFormatting>
  <conditionalFormatting sqref="V54:V55">
    <cfRule type="expression" dxfId="8871" priority="278">
      <formula>IF(V54="Compliant",TRUE)</formula>
    </cfRule>
    <cfRule type="expression" dxfId="8870" priority="279">
      <formula>IF(V54="FE with work-a-round",TRUE)</formula>
    </cfRule>
    <cfRule type="expression" dxfId="8869" priority="280">
      <formula>IF(V54="Functionally Equivalent",TRUE)</formula>
    </cfRule>
    <cfRule type="expression" dxfId="8868" priority="281">
      <formula>IF(V54="Likely to become compliant",TRUE)</formula>
    </cfRule>
    <cfRule type="expression" dxfId="8867" priority="282">
      <formula>IF(V54="Partly Compliant",TRUE)</formula>
    </cfRule>
    <cfRule type="expression" dxfId="8866" priority="283">
      <formula>IF(V54="Unknown/Missing",TRUE)</formula>
    </cfRule>
    <cfRule type="expression" dxfId="8865" priority="284">
      <formula>IF(V54="Not Required/Applicable",TRUE)</formula>
    </cfRule>
    <cfRule type="expression" dxfId="8864" priority="285">
      <formula>IF(V54="Not Compliant",TRUE)</formula>
    </cfRule>
    <cfRule type="expression" dxfId="8863" priority="286">
      <formula>IF($N54=" ",TRUE)</formula>
    </cfRule>
  </conditionalFormatting>
  <conditionalFormatting sqref="V60:V61 V72:V73 V78:V79">
    <cfRule type="expression" dxfId="8862" priority="15">
      <formula>IF(V60="Compliant",TRUE)</formula>
    </cfRule>
    <cfRule type="expression" dxfId="8861" priority="16">
      <formula>IF(V60="FE with work-a-round",TRUE)</formula>
    </cfRule>
    <cfRule type="expression" dxfId="8860" priority="17">
      <formula>IF(V60="Functionally Equivalent",TRUE)</formula>
    </cfRule>
    <cfRule type="expression" dxfId="8859" priority="18">
      <formula>IF(V60="Likely to become compliant",TRUE)</formula>
    </cfRule>
    <cfRule type="expression" dxfId="8858" priority="19">
      <formula>IF(V60="Partly Compliant",TRUE)</formula>
    </cfRule>
    <cfRule type="expression" dxfId="8857" priority="20">
      <formula>IF(V60="Unknown/Missing",TRUE)</formula>
    </cfRule>
    <cfRule type="expression" dxfId="8856" priority="21">
      <formula>IF(V60="Not Required/Applicable",TRUE)</formula>
    </cfRule>
    <cfRule type="expression" dxfId="8855" priority="22">
      <formula>IF(V60="Not Compliant",TRUE)</formula>
    </cfRule>
    <cfRule type="expression" dxfId="8854" priority="23">
      <formula>IF($N60=" ",TRUE)</formula>
    </cfRule>
  </conditionalFormatting>
  <conditionalFormatting sqref="V77">
    <cfRule type="expression" dxfId="8853" priority="9">
      <formula>IF(W77=FALSE,TRUE,FALSE)</formula>
    </cfRule>
    <cfRule type="expression" dxfId="8852" priority="10">
      <formula>IF(W77=TRUE,TRUE,FALSE)</formula>
    </cfRule>
  </conditionalFormatting>
  <conditionalFormatting sqref="W77:X77">
    <cfRule type="expression" dxfId="8851" priority="11">
      <formula>IF(AND($E77=TRUE,$I77="Valid Entry required below - Check amber box",#REF!="Compliant"),TRUE,FALSE)</formula>
    </cfRule>
    <cfRule type="expression" dxfId="8850" priority="12">
      <formula>IF(AND($E77=TRUE,$I77="Valid Entry made below",#REF!="Compliant"),TRUE,FALSE)</formula>
    </cfRule>
    <cfRule type="expression" dxfId="8849" priority="13">
      <formula>IF(AND($E77=FALSE,#REF!&lt;&gt;""),TRUE,FALSE)</formula>
    </cfRule>
    <cfRule type="expression" dxfId="8848" priority="14">
      <formula>IF(AND($I77&lt;&gt;"",#REF!&lt;&gt;""),TRUE,FALSE)</formula>
    </cfRule>
  </conditionalFormatting>
  <dataValidations count="4">
    <dataValidation type="list" allowBlank="1" showInputMessage="1" showErrorMessage="1" sqref="N19 N74 N12 N50">
      <formula1>Initial_Compliance</formula1>
    </dataValidation>
    <dataValidation type="list" allowBlank="1" showInputMessage="1" showErrorMessage="1" sqref="I157 I144:I149 I151:I152 I154">
      <formula1>MAO_Compliance_Submission</formula1>
    </dataValidation>
    <dataValidation type="list" allowBlank="1" showInputMessage="1" showErrorMessage="1" sqref="K157 K144:K149 K151:K152 K154">
      <formula1>Final_Compliance</formula1>
    </dataValidation>
    <dataValidation type="list" allowBlank="1" showInputMessage="1" showErrorMessage="1" sqref="E144:E149 E157 E154 E151:E152">
      <formula1>MAO_Compliance_Initial</formula1>
    </dataValidation>
  </dataValidations>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313" id="{DFE58132-3A50-4AA2-B7E0-F8DCB08F133F}">
            <xm:f>ISNUMBER(SEARCH($D16,Dropdowns!$D$18))</xm:f>
            <x14:dxf>
              <fill>
                <patternFill>
                  <bgColor rgb="FFFFFF00"/>
                </patternFill>
              </fill>
            </x14:dxf>
          </x14:cfRule>
          <x14:cfRule type="expression" priority="314" id="{216A96C9-ABE6-4D99-8D02-37390CF9F1FF}">
            <xm:f>ISNUMBER(SEARCH($D16,Dropdowns!$D$19))</xm:f>
            <x14:dxf>
              <fill>
                <patternFill>
                  <bgColor theme="6" tint="0.39994506668294322"/>
                </patternFill>
              </fill>
            </x14:dxf>
          </x14:cfRule>
          <x14:cfRule type="expression" priority="315" id="{8F6B2ECE-EB4B-4E54-930D-536FD925B54A}">
            <xm:f>ISNUMBER(SEARCH($D16,Dropdowns!$D$20))</xm:f>
            <x14:dxf>
              <fill>
                <patternFill>
                  <bgColor theme="6" tint="0.39994506668294322"/>
                </patternFill>
              </fill>
            </x14:dxf>
          </x14:cfRule>
          <x14:cfRule type="expression" priority="316" id="{3A6BC25F-14DC-4729-AFEB-073C88513177}">
            <xm:f>ISNUMBER(SEARCH($D16,Dropdowns!$D$21))</xm:f>
            <x14:dxf>
              <fill>
                <patternFill>
                  <bgColor rgb="FFFFFF00"/>
                </patternFill>
              </fill>
            </x14:dxf>
          </x14:cfRule>
          <x14:cfRule type="expression" priority="317" id="{AEC3A32A-E03B-4A0C-B3B6-FC7B4F3E45F9}">
            <xm:f>ISNUMBER(SEARCH($D16,Dropdowns!$D$23))</xm:f>
            <x14:dxf>
              <fill>
                <patternFill>
                  <bgColor rgb="FFFFFF00"/>
                </patternFill>
              </fill>
            </x14:dxf>
          </x14:cfRule>
          <xm:sqref>D16:D18</xm:sqref>
        </x14:conditionalFormatting>
        <x14:conditionalFormatting xmlns:xm="http://schemas.microsoft.com/office/excel/2006/main">
          <x14:cfRule type="expression" priority="377" id="{CF1D2675-B839-49D5-A409-6449891AD4D9}">
            <xm:f>ISNUMBER(SEARCH($D24,Dropdowns!$D$18))</xm:f>
            <x14:dxf>
              <fill>
                <patternFill>
                  <bgColor rgb="FFFFFF00"/>
                </patternFill>
              </fill>
            </x14:dxf>
          </x14:cfRule>
          <x14:cfRule type="expression" priority="378" id="{5D6EC555-722C-487F-98A9-B86D4A3882E3}">
            <xm:f>ISNUMBER(SEARCH($D24,Dropdowns!$D$19))</xm:f>
            <x14:dxf>
              <fill>
                <patternFill>
                  <bgColor theme="6" tint="0.39994506668294322"/>
                </patternFill>
              </fill>
            </x14:dxf>
          </x14:cfRule>
          <x14:cfRule type="expression" priority="379" id="{BFD6E350-17FA-4EAD-9FBC-D3BDB6BA740A}">
            <xm:f>ISNUMBER(SEARCH($D24,Dropdowns!$D$20))</xm:f>
            <x14:dxf>
              <fill>
                <patternFill>
                  <bgColor theme="6" tint="0.39994506668294322"/>
                </patternFill>
              </fill>
            </x14:dxf>
          </x14:cfRule>
          <x14:cfRule type="expression" priority="380" id="{E74773BB-C067-4D20-ADC1-EB7AFB1D3EEB}">
            <xm:f>ISNUMBER(SEARCH($D24,Dropdowns!$D$21))</xm:f>
            <x14:dxf>
              <fill>
                <patternFill>
                  <bgColor rgb="FFFFFF00"/>
                </patternFill>
              </fill>
            </x14:dxf>
          </x14:cfRule>
          <x14:cfRule type="expression" priority="381" id="{5509A949-1089-4A18-81B9-49CA88B457AC}">
            <xm:f>ISNUMBER(SEARCH($D24,Dropdowns!$D$23))</xm:f>
            <x14:dxf>
              <fill>
                <patternFill>
                  <bgColor rgb="FFFFFF00"/>
                </patternFill>
              </fill>
            </x14:dxf>
          </x14:cfRule>
          <xm:sqref>D24:D27 D29:D39</xm:sqref>
        </x14:conditionalFormatting>
        <x14:conditionalFormatting xmlns:xm="http://schemas.microsoft.com/office/excel/2006/main">
          <x14:cfRule type="expression" priority="369" id="{63D04E7A-CD94-4757-94DC-C6924FE0655F}">
            <xm:f>ISNUMBER(SEARCH($D41,Dropdowns!$D$18))</xm:f>
            <x14:dxf>
              <fill>
                <patternFill>
                  <bgColor rgb="FFFFFF00"/>
                </patternFill>
              </fill>
            </x14:dxf>
          </x14:cfRule>
          <x14:cfRule type="expression" priority="370" id="{8ADC4043-0437-4F77-A1C6-F43383EA20ED}">
            <xm:f>ISNUMBER(SEARCH($D41,Dropdowns!$D$19))</xm:f>
            <x14:dxf>
              <fill>
                <patternFill>
                  <bgColor theme="6" tint="0.39994506668294322"/>
                </patternFill>
              </fill>
            </x14:dxf>
          </x14:cfRule>
          <x14:cfRule type="expression" priority="371" id="{D6A7512A-2A2E-40F2-B2D6-9CCBC37BF893}">
            <xm:f>ISNUMBER(SEARCH($D41,Dropdowns!$D$20))</xm:f>
            <x14:dxf>
              <fill>
                <patternFill>
                  <bgColor theme="6" tint="0.39994506668294322"/>
                </patternFill>
              </fill>
            </x14:dxf>
          </x14:cfRule>
          <x14:cfRule type="expression" priority="372" id="{3D1213E2-47DE-4D45-9B44-CBD708128B1D}">
            <xm:f>ISNUMBER(SEARCH($D41,Dropdowns!$D$21))</xm:f>
            <x14:dxf>
              <fill>
                <patternFill>
                  <bgColor rgb="FFFFFF00"/>
                </patternFill>
              </fill>
            </x14:dxf>
          </x14:cfRule>
          <x14:cfRule type="expression" priority="373" id="{23EF4D8F-0ABB-4C63-9CEC-49F626FC10B2}">
            <xm:f>ISNUMBER(SEARCH($D41,Dropdowns!$D$23))</xm:f>
            <x14:dxf>
              <fill>
                <patternFill>
                  <bgColor rgb="FFFFFF00"/>
                </patternFill>
              </fill>
            </x14:dxf>
          </x14:cfRule>
          <xm:sqref>D41 D43:D49</xm:sqref>
        </x14:conditionalFormatting>
        <x14:conditionalFormatting xmlns:xm="http://schemas.microsoft.com/office/excel/2006/main">
          <x14:cfRule type="expression" priority="361" id="{62696385-D99D-42B6-A456-21CB92D9B529}">
            <xm:f>ISNUMBER(SEARCH($D54,Dropdowns!$D$18))</xm:f>
            <x14:dxf>
              <fill>
                <patternFill>
                  <bgColor rgb="FFFFFF00"/>
                </patternFill>
              </fill>
            </x14:dxf>
          </x14:cfRule>
          <x14:cfRule type="expression" priority="362" id="{CB2E2C2D-61B6-4385-928A-3666EF360F43}">
            <xm:f>ISNUMBER(SEARCH($D54,Dropdowns!$D$19))</xm:f>
            <x14:dxf>
              <fill>
                <patternFill>
                  <bgColor theme="6" tint="0.39994506668294322"/>
                </patternFill>
              </fill>
            </x14:dxf>
          </x14:cfRule>
          <x14:cfRule type="expression" priority="363" id="{BF636284-A121-4906-899C-2F457D0BF699}">
            <xm:f>ISNUMBER(SEARCH($D54,Dropdowns!$D$20))</xm:f>
            <x14:dxf>
              <fill>
                <patternFill>
                  <bgColor theme="6" tint="0.39994506668294322"/>
                </patternFill>
              </fill>
            </x14:dxf>
          </x14:cfRule>
          <x14:cfRule type="expression" priority="364" id="{B23C9F43-5B6B-43A2-8391-5F768A3D1C25}">
            <xm:f>ISNUMBER(SEARCH($D54,Dropdowns!$D$21))</xm:f>
            <x14:dxf>
              <fill>
                <patternFill>
                  <bgColor rgb="FFFFFF00"/>
                </patternFill>
              </fill>
            </x14:dxf>
          </x14:cfRule>
          <x14:cfRule type="expression" priority="365" id="{84C16230-55E9-486F-BD71-91D0DE81272A}">
            <xm:f>ISNUMBER(SEARCH($D54,Dropdowns!$D$23))</xm:f>
            <x14:dxf>
              <fill>
                <patternFill>
                  <bgColor rgb="FFFFFF00"/>
                </patternFill>
              </fill>
            </x14:dxf>
          </x14:cfRule>
          <xm:sqref>D54</xm:sqref>
        </x14:conditionalFormatting>
        <x14:conditionalFormatting xmlns:xm="http://schemas.microsoft.com/office/excel/2006/main">
          <x14:cfRule type="expression" priority="353" id="{70A0E434-FE32-49BA-9A6D-4B254C7C3CC2}">
            <xm:f>ISNUMBER(SEARCH($D56,Dropdowns!$D$18))</xm:f>
            <x14:dxf>
              <fill>
                <patternFill>
                  <bgColor rgb="FFFFFF00"/>
                </patternFill>
              </fill>
            </x14:dxf>
          </x14:cfRule>
          <x14:cfRule type="expression" priority="354" id="{18442AEA-D969-4802-B481-7F934C4CCAF9}">
            <xm:f>ISNUMBER(SEARCH($D56,Dropdowns!$D$19))</xm:f>
            <x14:dxf>
              <fill>
                <patternFill>
                  <bgColor theme="6" tint="0.39994506668294322"/>
                </patternFill>
              </fill>
            </x14:dxf>
          </x14:cfRule>
          <x14:cfRule type="expression" priority="355" id="{194900B6-BEE4-4BD4-BAD9-A822768952BB}">
            <xm:f>ISNUMBER(SEARCH($D56,Dropdowns!$D$20))</xm:f>
            <x14:dxf>
              <fill>
                <patternFill>
                  <bgColor theme="6" tint="0.39994506668294322"/>
                </patternFill>
              </fill>
            </x14:dxf>
          </x14:cfRule>
          <x14:cfRule type="expression" priority="356" id="{5060AE06-4A9C-4708-9B21-00236252C6F7}">
            <xm:f>ISNUMBER(SEARCH($D56,Dropdowns!$D$21))</xm:f>
            <x14:dxf>
              <fill>
                <patternFill>
                  <bgColor rgb="FFFFFF00"/>
                </patternFill>
              </fill>
            </x14:dxf>
          </x14:cfRule>
          <x14:cfRule type="expression" priority="357" id="{8F65E6F2-A154-4CA4-B3DC-B4C120DB87E8}">
            <xm:f>ISNUMBER(SEARCH($D56,Dropdowns!$D$23))</xm:f>
            <x14:dxf>
              <fill>
                <patternFill>
                  <bgColor rgb="FFFFFF00"/>
                </patternFill>
              </fill>
            </x14:dxf>
          </x14:cfRule>
          <xm:sqref>D56:D60</xm:sqref>
        </x14:conditionalFormatting>
        <x14:conditionalFormatting xmlns:xm="http://schemas.microsoft.com/office/excel/2006/main">
          <x14:cfRule type="expression" priority="337" id="{2F9EB2E0-FE40-4B4E-8CDB-33C8338B1ECE}">
            <xm:f>ISNUMBER(SEARCH($D62,Dropdowns!$D$18))</xm:f>
            <x14:dxf>
              <fill>
                <patternFill>
                  <bgColor rgb="FFFFFF00"/>
                </patternFill>
              </fill>
            </x14:dxf>
          </x14:cfRule>
          <x14:cfRule type="expression" priority="338" id="{A3355188-FC34-4814-9F26-BE8BADB3C5AF}">
            <xm:f>ISNUMBER(SEARCH($D62,Dropdowns!$D$19))</xm:f>
            <x14:dxf>
              <fill>
                <patternFill>
                  <bgColor theme="6" tint="0.39994506668294322"/>
                </patternFill>
              </fill>
            </x14:dxf>
          </x14:cfRule>
          <x14:cfRule type="expression" priority="339" id="{5F11A20F-C714-473B-B039-6F9FC6D4D662}">
            <xm:f>ISNUMBER(SEARCH($D62,Dropdowns!$D$20))</xm:f>
            <x14:dxf>
              <fill>
                <patternFill>
                  <bgColor theme="6" tint="0.39994506668294322"/>
                </patternFill>
              </fill>
            </x14:dxf>
          </x14:cfRule>
          <x14:cfRule type="expression" priority="340" id="{A76C65E1-55A4-41AF-A3F3-D32629210199}">
            <xm:f>ISNUMBER(SEARCH($D62,Dropdowns!$D$21))</xm:f>
            <x14:dxf>
              <fill>
                <patternFill>
                  <bgColor rgb="FFFFFF00"/>
                </patternFill>
              </fill>
            </x14:dxf>
          </x14:cfRule>
          <x14:cfRule type="expression" priority="341" id="{EE3499AE-CFB7-4857-AF2B-9258AFC80F11}">
            <xm:f>ISNUMBER(SEARCH($D62,Dropdowns!$D$23))</xm:f>
            <x14:dxf>
              <fill>
                <patternFill>
                  <bgColor rgb="FFFFFF00"/>
                </patternFill>
              </fill>
            </x14:dxf>
          </x14:cfRule>
          <xm:sqref>D62:D73</xm:sqref>
        </x14:conditionalFormatting>
        <x14:conditionalFormatting xmlns:xm="http://schemas.microsoft.com/office/excel/2006/main">
          <x14:cfRule type="expression" priority="329" id="{46CCD7A7-F4B3-47D8-959D-928C8CA14078}">
            <xm:f>ISNUMBER(SEARCH($D78,Dropdowns!$D$18))</xm:f>
            <x14:dxf>
              <fill>
                <patternFill>
                  <bgColor rgb="FFFFFF00"/>
                </patternFill>
              </fill>
            </x14:dxf>
          </x14:cfRule>
          <x14:cfRule type="expression" priority="330" id="{5B3E4ED1-22DB-416E-9389-C200EE08638C}">
            <xm:f>ISNUMBER(SEARCH($D78,Dropdowns!$D$19))</xm:f>
            <x14:dxf>
              <fill>
                <patternFill>
                  <bgColor theme="6" tint="0.39994506668294322"/>
                </patternFill>
              </fill>
            </x14:dxf>
          </x14:cfRule>
          <x14:cfRule type="expression" priority="331" id="{7406BE9A-9AE6-40D3-98D7-6AC5F84D94EB}">
            <xm:f>ISNUMBER(SEARCH($D78,Dropdowns!$D$20))</xm:f>
            <x14:dxf>
              <fill>
                <patternFill>
                  <bgColor theme="6" tint="0.39994506668294322"/>
                </patternFill>
              </fill>
            </x14:dxf>
          </x14:cfRule>
          <x14:cfRule type="expression" priority="332" id="{A50126FA-7D02-4594-956C-5E5653C766D4}">
            <xm:f>ISNUMBER(SEARCH($D78,Dropdowns!$D$21))</xm:f>
            <x14:dxf>
              <fill>
                <patternFill>
                  <bgColor rgb="FFFFFF00"/>
                </patternFill>
              </fill>
            </x14:dxf>
          </x14:cfRule>
          <x14:cfRule type="expression" priority="333" id="{841EF43F-7A7F-4649-AA76-DFAAB4ABD9FC}">
            <xm:f>ISNUMBER(SEARCH($D78,Dropdowns!$D$23))</xm:f>
            <x14:dxf>
              <fill>
                <patternFill>
                  <bgColor rgb="FFFFFF00"/>
                </patternFill>
              </fill>
            </x14:dxf>
          </x14:cfRule>
          <xm:sqref>D78</xm:sqref>
        </x14:conditionalFormatting>
        <x14:conditionalFormatting xmlns:xm="http://schemas.microsoft.com/office/excel/2006/main">
          <x14:cfRule type="expression" priority="321" id="{26B0D2BD-D91D-45D2-B088-639E2D825295}">
            <xm:f>ISNUMBER(SEARCH($D80,Dropdowns!$D$18))</xm:f>
            <x14:dxf>
              <fill>
                <patternFill>
                  <bgColor rgb="FFFFFF00"/>
                </patternFill>
              </fill>
            </x14:dxf>
          </x14:cfRule>
          <x14:cfRule type="expression" priority="322" id="{9F3F3FD7-7444-4099-A1F0-91E9E5C7A829}">
            <xm:f>ISNUMBER(SEARCH($D80,Dropdowns!$D$19))</xm:f>
            <x14:dxf>
              <fill>
                <patternFill>
                  <bgColor theme="6" tint="0.39994506668294322"/>
                </patternFill>
              </fill>
            </x14:dxf>
          </x14:cfRule>
          <x14:cfRule type="expression" priority="323" id="{73FE4ED2-2AA8-4AEA-9FDD-19DCE3B8EB01}">
            <xm:f>ISNUMBER(SEARCH($D80,Dropdowns!$D$20))</xm:f>
            <x14:dxf>
              <fill>
                <patternFill>
                  <bgColor theme="6" tint="0.39994506668294322"/>
                </patternFill>
              </fill>
            </x14:dxf>
          </x14:cfRule>
          <x14:cfRule type="expression" priority="324" id="{455D027A-C759-4EE8-BD04-0A212423F5C8}">
            <xm:f>ISNUMBER(SEARCH($D80,Dropdowns!$D$21))</xm:f>
            <x14:dxf>
              <fill>
                <patternFill>
                  <bgColor rgb="FFFFFF00"/>
                </patternFill>
              </fill>
            </x14:dxf>
          </x14:cfRule>
          <x14:cfRule type="expression" priority="325" id="{F96903D8-0280-427D-A403-3373861FF9C5}">
            <xm:f>ISNUMBER(SEARCH($D80,Dropdowns!$D$23))</xm:f>
            <x14:dxf>
              <fill>
                <patternFill>
                  <bgColor rgb="FFFFFF00"/>
                </patternFill>
              </fill>
            </x14:dxf>
          </x14:cfRule>
          <xm:sqref>D80:D86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Dropdowns!$D$16:$D$23</xm:f>
          </x14:formula1>
          <xm:sqref>D16:D18 D80:D86 D29:D39 D54 D56:D60 D62:D73 D78 D24:D27 D41 D43:D49 Q54 Q48:Q49</xm:sqref>
        </x14:dataValidation>
        <x14:dataValidation type="list" allowBlank="1" showInputMessage="1" showErrorMessage="1">
          <x14:formula1>
            <xm:f>Dropdowns!$F$2:$F$8</xm:f>
          </x14:formula1>
          <xm:sqref>N60:N61 N15 N23 N78:N79 N72:N73 N54:N55 N38:N39 N41:N42 N48:N49 N26:N28</xm:sqref>
        </x14:dataValidation>
        <x14:dataValidation type="list" allowBlank="1" showInputMessage="1" showErrorMessage="1">
          <x14:formula1>
            <xm:f>Dropdowns!$G$11:$G$16</xm:f>
          </x14:formula1>
          <xm:sqref>V54:V55 V15 V23 V26:V28 V72:V73 V48:V49 V78:V79 V60:V61 V38:V39 V41:V42</xm:sqref>
        </x14:dataValidation>
        <x14:dataValidation type="list" allowBlank="1" showInputMessage="1" showErrorMessage="1">
          <x14:formula1>
            <xm:f>Dropdowns!$E$11:$E$15</xm:f>
          </x14:formula1>
          <xm:sqref>Q23:Q27 Q16:Q18 Q29:Q39 Q41 Q43:Q47 Q56:Q60 Q62:Q73 Q78 Q80:Q86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F226"/>
  <sheetViews>
    <sheetView zoomScale="75" zoomScaleNormal="75" workbookViewId="0">
      <pane xSplit="8" ySplit="5" topLeftCell="T6" activePane="bottomRight" state="frozen"/>
      <selection activeCell="T10" sqref="T10"/>
      <selection pane="topRight" activeCell="T10" sqref="T10"/>
      <selection pane="bottomLeft" activeCell="T10" sqref="T10"/>
      <selection pane="bottomRight" activeCell="T8" sqref="T8"/>
    </sheetView>
  </sheetViews>
  <sheetFormatPr defaultColWidth="9.296875" defaultRowHeight="13" x14ac:dyDescent="0.3"/>
  <cols>
    <col min="1" max="1" width="8.796875" style="1384" hidden="1" customWidth="1"/>
    <col min="2" max="2" width="43.3984375" style="1384" customWidth="1"/>
    <col min="3" max="3" width="60.296875" style="1384" customWidth="1"/>
    <col min="4" max="4" width="34.3984375" style="1384" customWidth="1"/>
    <col min="5" max="5" width="11.296875" style="1383" hidden="1" customWidth="1"/>
    <col min="6" max="6" width="11.796875" style="1383" hidden="1" customWidth="1"/>
    <col min="7" max="7" width="14.69921875" style="1383" hidden="1" customWidth="1"/>
    <col min="8" max="8" width="13.296875" style="1383" hidden="1" customWidth="1"/>
    <col min="9" max="9" width="72.796875" style="1384" customWidth="1"/>
    <col min="10" max="10" width="11" style="1385" hidden="1" customWidth="1"/>
    <col min="11" max="11" width="13.296875" style="1385" hidden="1" customWidth="1"/>
    <col min="12" max="13" width="44" style="1384" customWidth="1"/>
    <col min="14" max="14" width="33" style="1384" customWidth="1"/>
    <col min="15" max="15" width="12.796875" style="1384" hidden="1" customWidth="1"/>
    <col min="16" max="16" width="47.296875" style="1384" customWidth="1"/>
    <col min="17" max="17" width="38.69921875" style="1384" customWidth="1"/>
    <col min="18" max="18" width="9.69921875" style="1384" hidden="1" customWidth="1"/>
    <col min="19" max="19" width="70.19921875" style="1384" customWidth="1"/>
    <col min="20" max="20" width="40.3984375" style="1384" customWidth="1"/>
    <col min="21" max="21" width="50.69921875" style="1384" customWidth="1"/>
    <col min="22" max="22" width="35.19921875" style="1384" customWidth="1"/>
    <col min="23" max="23" width="15.296875" style="1384" hidden="1" customWidth="1"/>
    <col min="24" max="24" width="49.69921875" style="1384" customWidth="1"/>
    <col min="25" max="25" width="32.69921875" style="1384" customWidth="1"/>
    <col min="26" max="26" width="28.296875" style="1384" customWidth="1"/>
    <col min="27" max="16384" width="9.296875" style="1384"/>
  </cols>
  <sheetData>
    <row r="1" spans="1:28" ht="72.75" customHeight="1" x14ac:dyDescent="0.3">
      <c r="A1" s="1471"/>
      <c r="B1" s="1471"/>
      <c r="C1" s="1471"/>
      <c r="D1" s="1471"/>
    </row>
    <row r="2" spans="1:28" ht="75" customHeight="1" x14ac:dyDescent="0.3">
      <c r="A2"/>
      <c r="B2" s="4398" t="s">
        <v>2280</v>
      </c>
      <c r="C2" s="4494"/>
      <c r="D2" s="4494"/>
    </row>
    <row r="3" spans="1:28" x14ac:dyDescent="0.3">
      <c r="A3" s="1471"/>
      <c r="B3" s="1471"/>
      <c r="C3" s="1471"/>
      <c r="D3" s="1471"/>
    </row>
    <row r="4" spans="1:28" ht="45" customHeight="1" thickBot="1" x14ac:dyDescent="0.35">
      <c r="A4" s="4502" t="s">
        <v>1870</v>
      </c>
      <c r="B4" s="4502"/>
      <c r="C4" s="4502"/>
      <c r="D4" s="1472"/>
      <c r="E4" s="1267"/>
      <c r="F4" s="1386"/>
      <c r="G4" s="1386"/>
      <c r="H4" s="1386"/>
      <c r="I4" s="1387"/>
      <c r="J4" s="1388"/>
    </row>
    <row r="5" spans="1:28" s="1391" customFormat="1" ht="47.15" customHeight="1" thickTop="1" thickBot="1" x14ac:dyDescent="0.35">
      <c r="A5" s="1473" t="s">
        <v>989</v>
      </c>
      <c r="B5" s="1474" t="s">
        <v>1872</v>
      </c>
      <c r="C5" s="1475" t="s">
        <v>1873</v>
      </c>
      <c r="D5" s="1474" t="s">
        <v>1205</v>
      </c>
      <c r="E5" s="1389"/>
      <c r="F5" s="1390"/>
      <c r="G5" s="1390"/>
      <c r="H5" s="1390"/>
      <c r="I5" s="1105" t="s">
        <v>458</v>
      </c>
      <c r="J5" s="1476"/>
      <c r="K5" s="1476"/>
      <c r="L5" s="1105" t="s">
        <v>1187</v>
      </c>
      <c r="M5" s="1105" t="s">
        <v>466</v>
      </c>
      <c r="N5" s="1105" t="s">
        <v>465</v>
      </c>
      <c r="O5" s="1105"/>
      <c r="P5" s="1105" t="s">
        <v>1220</v>
      </c>
      <c r="Q5" s="1105" t="s">
        <v>1212</v>
      </c>
      <c r="R5" s="1105"/>
      <c r="S5" s="1105" t="s">
        <v>396</v>
      </c>
      <c r="T5" s="1105" t="s">
        <v>409</v>
      </c>
      <c r="U5" s="1105" t="s">
        <v>1211</v>
      </c>
      <c r="V5" s="1105" t="s">
        <v>1824</v>
      </c>
      <c r="W5" s="1105"/>
      <c r="X5" s="1105" t="s">
        <v>10</v>
      </c>
      <c r="Y5" s="1105" t="s">
        <v>11</v>
      </c>
      <c r="Z5" s="1477" t="s">
        <v>12</v>
      </c>
    </row>
    <row r="6" spans="1:28" ht="19" thickTop="1" x14ac:dyDescent="0.3">
      <c r="A6" s="4480" t="s">
        <v>1009</v>
      </c>
      <c r="B6" s="4481"/>
      <c r="C6" s="4481"/>
      <c r="D6" s="1488"/>
      <c r="E6" s="1392"/>
      <c r="F6" s="1392"/>
      <c r="G6" s="1392"/>
      <c r="H6" s="1392"/>
      <c r="I6" s="1478"/>
      <c r="J6" s="1479"/>
      <c r="K6" s="1479"/>
      <c r="L6" s="1480"/>
      <c r="M6" s="1481"/>
      <c r="N6" s="1481"/>
      <c r="O6" s="1481"/>
      <c r="P6" s="1482"/>
      <c r="Q6" s="1483"/>
      <c r="R6" s="1480"/>
      <c r="S6" s="1484"/>
      <c r="T6" s="1484"/>
      <c r="U6" s="1484"/>
      <c r="V6" s="1485"/>
      <c r="W6" s="1486"/>
      <c r="X6" s="1486"/>
      <c r="Y6" s="1487"/>
      <c r="Z6" s="1487"/>
    </row>
    <row r="7" spans="1:28" s="3640" customFormat="1" ht="21" customHeight="1" thickBot="1" x14ac:dyDescent="0.35">
      <c r="A7" s="3985"/>
      <c r="B7" s="3887"/>
      <c r="C7" s="3985"/>
      <c r="D7" s="3754"/>
      <c r="E7" s="3754"/>
      <c r="F7" s="3754"/>
      <c r="G7" s="3754"/>
      <c r="H7" s="3754"/>
      <c r="I7" s="3754"/>
      <c r="J7" s="3986"/>
      <c r="K7" s="3986"/>
      <c r="L7" s="3754"/>
      <c r="M7" s="3639"/>
      <c r="N7" s="3639"/>
      <c r="O7" s="3639"/>
      <c r="P7" s="3754"/>
      <c r="Q7" s="3770"/>
      <c r="R7" s="3722"/>
      <c r="S7" s="3722"/>
      <c r="T7" s="3723"/>
      <c r="U7" s="3724"/>
      <c r="V7" s="3753"/>
      <c r="W7" s="3753"/>
      <c r="X7" s="3987"/>
      <c r="Y7" s="3988"/>
      <c r="Z7" s="3989"/>
      <c r="AA7" s="3990"/>
    </row>
    <row r="8" spans="1:28" s="1394" customFormat="1" ht="44.5" thickTop="1" thickBot="1" x14ac:dyDescent="0.35">
      <c r="A8" s="57"/>
      <c r="B8" s="2443" t="s">
        <v>824</v>
      </c>
      <c r="C8" s="2102" t="s">
        <v>475</v>
      </c>
      <c r="D8" s="2444" t="s">
        <v>1233</v>
      </c>
      <c r="E8" s="974" t="b">
        <f>E15</f>
        <v>0</v>
      </c>
      <c r="F8" s="396"/>
      <c r="G8" s="396"/>
      <c r="H8" s="1448"/>
      <c r="I8" s="2129"/>
      <c r="J8" s="1573"/>
      <c r="K8" s="1573"/>
      <c r="L8" s="2129"/>
      <c r="M8" s="2428"/>
      <c r="N8" s="1499" t="s">
        <v>1233</v>
      </c>
      <c r="O8" s="331" t="b">
        <f>O16</f>
        <v>0</v>
      </c>
      <c r="P8" s="2445"/>
      <c r="Q8" s="1499" t="s">
        <v>1233</v>
      </c>
      <c r="R8" s="773" t="b">
        <f>R16</f>
        <v>0</v>
      </c>
      <c r="S8" s="406"/>
      <c r="T8" s="406"/>
      <c r="U8" s="1398"/>
      <c r="V8" s="1492" t="s">
        <v>1233</v>
      </c>
      <c r="W8" s="808" t="b">
        <f>W16</f>
        <v>0</v>
      </c>
      <c r="X8" s="1399"/>
      <c r="Y8" s="1400"/>
      <c r="Z8" s="1401"/>
      <c r="AA8" s="1402"/>
    </row>
    <row r="9" spans="1:28" s="1394" customFormat="1" ht="30" thickTop="1" thickBot="1" x14ac:dyDescent="0.35">
      <c r="A9" s="57"/>
      <c r="B9" s="2450" t="s">
        <v>825</v>
      </c>
      <c r="C9" s="2451" t="s">
        <v>474</v>
      </c>
      <c r="D9" s="2452" t="s">
        <v>1233</v>
      </c>
      <c r="E9" s="838" t="b">
        <f>E57</f>
        <v>0</v>
      </c>
      <c r="F9" s="390"/>
      <c r="G9" s="390"/>
      <c r="H9" s="1567"/>
      <c r="I9" s="2448"/>
      <c r="J9" s="2449"/>
      <c r="K9" s="2449"/>
      <c r="L9" s="2448"/>
      <c r="M9" s="2446"/>
      <c r="N9" s="1804" t="s">
        <v>1233</v>
      </c>
      <c r="O9" s="121" t="b">
        <f>O57</f>
        <v>0</v>
      </c>
      <c r="P9" s="2446"/>
      <c r="Q9" s="1804" t="s">
        <v>1233</v>
      </c>
      <c r="R9" s="732" t="b">
        <f>R57</f>
        <v>0</v>
      </c>
      <c r="S9" s="471"/>
      <c r="T9" s="471"/>
      <c r="U9" s="1406"/>
      <c r="V9" s="1493" t="s">
        <v>1233</v>
      </c>
      <c r="W9" s="162" t="b">
        <f>W57</f>
        <v>0</v>
      </c>
      <c r="X9" s="1407"/>
      <c r="Y9" s="1408"/>
      <c r="Z9" s="1409"/>
      <c r="AA9" s="1402"/>
    </row>
    <row r="10" spans="1:28" s="1394" customFormat="1" ht="44.5" thickTop="1" thickBot="1" x14ac:dyDescent="0.35">
      <c r="A10" s="57"/>
      <c r="B10" s="2443" t="s">
        <v>826</v>
      </c>
      <c r="C10" s="2102" t="s">
        <v>822</v>
      </c>
      <c r="D10" s="2444" t="s">
        <v>1233</v>
      </c>
      <c r="E10" s="594" t="b">
        <f>E67</f>
        <v>0</v>
      </c>
      <c r="F10" s="361"/>
      <c r="G10" s="361"/>
      <c r="H10" s="419"/>
      <c r="I10" s="395"/>
      <c r="J10" s="2433"/>
      <c r="K10" s="2433"/>
      <c r="L10" s="396"/>
      <c r="M10" s="1002"/>
      <c r="N10" s="1490" t="s">
        <v>1233</v>
      </c>
      <c r="O10" s="316" t="b">
        <f>O67</f>
        <v>0</v>
      </c>
      <c r="P10" s="2437"/>
      <c r="Q10" s="1490" t="s">
        <v>1233</v>
      </c>
      <c r="R10" s="732" t="b">
        <f>R67</f>
        <v>0</v>
      </c>
      <c r="S10" s="471"/>
      <c r="T10" s="471"/>
      <c r="U10" s="1406"/>
      <c r="V10" s="1493" t="s">
        <v>1233</v>
      </c>
      <c r="W10" s="162" t="b">
        <f>W67</f>
        <v>0</v>
      </c>
      <c r="X10" s="1407"/>
      <c r="Y10" s="1407"/>
      <c r="Z10" s="1410"/>
      <c r="AA10" s="1267"/>
    </row>
    <row r="11" spans="1:28" s="1394" customFormat="1" ht="30" thickTop="1" thickBot="1" x14ac:dyDescent="0.35">
      <c r="A11" s="57"/>
      <c r="B11" s="2453" t="s">
        <v>827</v>
      </c>
      <c r="C11" s="2454" t="s">
        <v>823</v>
      </c>
      <c r="D11" s="2455" t="s">
        <v>1233</v>
      </c>
      <c r="E11" s="595" t="b">
        <f>E84</f>
        <v>0</v>
      </c>
      <c r="F11" s="258"/>
      <c r="G11" s="258"/>
      <c r="H11" s="258"/>
      <c r="I11" s="408"/>
      <c r="J11" s="2430"/>
      <c r="K11" s="2430"/>
      <c r="L11" s="408"/>
      <c r="M11" s="2330"/>
      <c r="N11" s="1491" t="s">
        <v>1233</v>
      </c>
      <c r="O11" s="123" t="b">
        <f>O85</f>
        <v>0</v>
      </c>
      <c r="P11" s="2447"/>
      <c r="Q11" s="1491" t="s">
        <v>1233</v>
      </c>
      <c r="R11" s="812" t="b">
        <f>R84</f>
        <v>0</v>
      </c>
      <c r="S11" s="1224"/>
      <c r="T11" s="1224"/>
      <c r="U11" s="1411"/>
      <c r="V11" s="1494" t="s">
        <v>1233</v>
      </c>
      <c r="W11" s="518" t="b">
        <f>W84</f>
        <v>0</v>
      </c>
      <c r="X11" s="1412"/>
      <c r="Y11" s="1412"/>
      <c r="Z11" s="1413"/>
      <c r="AA11" s="1267"/>
    </row>
    <row r="12" spans="1:28" s="3640" customFormat="1" ht="18.649999999999999" customHeight="1" thickTop="1" x14ac:dyDescent="0.3">
      <c r="A12" s="3636"/>
      <c r="B12" s="3634"/>
      <c r="C12" s="3634"/>
      <c r="D12" s="3639"/>
      <c r="E12" s="3636"/>
      <c r="F12" s="3636"/>
      <c r="G12" s="3636"/>
      <c r="H12" s="3636"/>
      <c r="I12" s="3636"/>
      <c r="J12" s="3641"/>
      <c r="K12" s="3641"/>
      <c r="L12" s="3636"/>
      <c r="M12" s="3636"/>
      <c r="N12" s="3636"/>
      <c r="O12" s="3636"/>
      <c r="P12" s="3636"/>
      <c r="Q12" s="3639"/>
      <c r="R12" s="3639"/>
      <c r="S12" s="3639"/>
      <c r="T12" s="3639"/>
      <c r="U12" s="3639"/>
      <c r="V12" s="3639"/>
      <c r="W12" s="3639"/>
      <c r="X12" s="3639"/>
      <c r="Y12" s="3639"/>
      <c r="Z12" s="3639"/>
      <c r="AA12" s="3639"/>
    </row>
    <row r="13" spans="1:28" s="3640" customFormat="1" ht="18.649999999999999" customHeight="1" x14ac:dyDescent="0.3">
      <c r="A13" s="4482" t="s">
        <v>1135</v>
      </c>
      <c r="B13" s="4483"/>
      <c r="C13" s="4483"/>
      <c r="D13" s="4483"/>
      <c r="E13" s="4483"/>
      <c r="F13" s="4483"/>
      <c r="G13" s="4483"/>
      <c r="H13" s="4483"/>
      <c r="I13" s="4483"/>
      <c r="J13" s="4483"/>
      <c r="K13" s="4483"/>
      <c r="L13" s="4483"/>
      <c r="M13" s="4483"/>
      <c r="N13" s="4483"/>
      <c r="O13" s="3669"/>
      <c r="P13" s="3670"/>
      <c r="Q13" s="3670"/>
      <c r="R13" s="3670"/>
      <c r="S13" s="3671"/>
      <c r="T13" s="3672"/>
      <c r="U13" s="3672"/>
      <c r="V13" s="3673"/>
      <c r="W13" s="3673"/>
      <c r="X13" s="3674"/>
      <c r="Y13" s="3675"/>
      <c r="Z13" s="3676"/>
    </row>
    <row r="14" spans="1:28" s="3694" customFormat="1" ht="18.649999999999999" customHeight="1" thickBot="1" x14ac:dyDescent="0.35">
      <c r="C14" s="3745"/>
      <c r="E14" s="3663"/>
      <c r="F14" s="3663"/>
      <c r="G14" s="3663"/>
      <c r="H14" s="3663"/>
      <c r="J14" s="3662"/>
      <c r="K14" s="3662"/>
      <c r="N14" s="3734"/>
      <c r="Q14" s="3734"/>
      <c r="Y14" s="3734"/>
      <c r="Z14" s="3734"/>
    </row>
    <row r="15" spans="1:28" s="1418" customFormat="1" ht="61.5" customHeight="1" thickTop="1" thickBot="1" x14ac:dyDescent="0.35">
      <c r="A15" s="57">
        <v>12.1</v>
      </c>
      <c r="B15" s="1495" t="s">
        <v>1010</v>
      </c>
      <c r="C15" s="2102" t="s">
        <v>1825</v>
      </c>
      <c r="D15" s="1925" t="s">
        <v>565</v>
      </c>
      <c r="E15" s="1859" t="b">
        <f>IF(AND(E16=TRUE,E17=TRUE,E18=TRUE),TRUE,FALSE)</f>
        <v>0</v>
      </c>
      <c r="F15" s="817">
        <f>COUNTIFS(E16:E18,"TRUE")</f>
        <v>0</v>
      </c>
      <c r="G15" s="817">
        <f>COUNTIFS(E16:E17,TRUE,G16:G17,"Not Blank")+COUNTIFS(E19,TRUE,G19,"Not Blank")+COUNTIFS(E21:E27,TRUE,G21:G27,"Not Blank")</f>
        <v>0</v>
      </c>
      <c r="H15" s="817">
        <f>COUNTIFS(E16:E17,FALSE,G16:G17,"Not Blank")+COUNTIFS(E19,FALSE,G19,"Not Blank")+COUNTIFS(E21:E27,FALSE,G21:G27,"Not Blank")</f>
        <v>0</v>
      </c>
      <c r="I15" s="1497" t="str">
        <f xml:space="preserve">
IF(F15&gt;3,"Too Many Entries - Check Red Lines",
IF(G15&lt;F15,"Valid Entry required below - Check Amber Line/s",
IF(AND(E15=FALSE,G15=0,H15=0),"Nothing Entered below Yet",
IF(G15&lt;F15,"Valid Entry required below - Check Amber Line/s",
IF(AND(G15=0,H15&gt;0),"**Non-Valid Entry/ies below - Check Yellow Line/s",
IF(AND(G15&gt;0,H15&gt;0),"**Valid and Non-Valid Entries made below - Check Yellow Line/s",
IF(AND(E15=FALSE,F15&lt;3),"Not all requirements addressed below - Check Pink Line/s",
IF(AND(E15=FALSE,G15&lt;3,G15&gt;0,H15=0),"More entries to come",
IF(AND(E15,TRUE,G15=3,H15=0),"Valid Entries made below"
)))))))))</f>
        <v>Nothing Entered below Yet</v>
      </c>
      <c r="J15" s="1498">
        <f>COUNTIFS(E16:E17,TRUE,J16:J17,"Not Blank")+COUNTIFS(E19,TRUE,J19,"Not Blank")+COUNTIFS(E21:E27,TRUE,J21:J27,"Not Blank")</f>
        <v>0</v>
      </c>
      <c r="K15" s="1498">
        <f>COUNTIFS(E16:E17,FALSE,J16:J17,"Not Blank")+COUNTIFS(E19,FALSE,J19,"Not Blank")+COUNTIFS(E21:E27,FALSE,J21:J27,"Not Blank")</f>
        <v>0</v>
      </c>
      <c r="L15" s="1497" t="str">
        <f xml:space="preserve">
IF(J15&gt;3,"Too Many Entries - Check Red Lines",
IF(J15&lt;F15,"Valid Entry required below - Check Amber Line/s",
IF(AND(E15=FALSE,J15=0,K15=0),"Nothing Entered below Yet",
IF(AND(J15=0,K15&gt;0),"**Non-Valid Entry/ies below - Check Yellow Line/s",
IF(AND(J15&gt;0,K15&gt;0),"**Valid and Non-Valid Entries made below - Check Yellow Line/s",
IF(AND(E15=FALSE,J15&lt;3),"Not all requirements addressed below - Check Pink Line/s",
IF(AND(E15=FALSE,J15&lt;3,J15&gt;0,K15=0),"More entries to come",
IF(AND(E15,TRUE,J15=3,K15=0),"Valid Entries made below"
))))))))</f>
        <v>Nothing Entered below Yet</v>
      </c>
      <c r="M15" s="134"/>
      <c r="N15" s="1197" t="s">
        <v>565</v>
      </c>
      <c r="O15" s="816" t="b">
        <f>IF(AND(O16=TRUE,O18=TRUE),TRUE,FALSE)</f>
        <v>0</v>
      </c>
      <c r="P15" s="134"/>
      <c r="Q15" s="1499" t="s">
        <v>565</v>
      </c>
      <c r="R15" s="816" t="b">
        <f>IF(AND(R16=TRUE,R17=TRUE,R19=TRUE),TRUE,FALSE)</f>
        <v>0</v>
      </c>
      <c r="S15" s="133"/>
      <c r="T15" s="133"/>
      <c r="U15" s="134"/>
      <c r="V15" s="1195" t="s">
        <v>565</v>
      </c>
      <c r="W15" s="816" t="b">
        <f>IF(AND(W16=TRUE,W18=TRUE),TRUE,FALSE)</f>
        <v>0</v>
      </c>
      <c r="X15" s="1416"/>
      <c r="Y15" s="1416"/>
      <c r="Z15" s="1417"/>
      <c r="AA15" s="1394"/>
      <c r="AB15" s="1394"/>
    </row>
    <row r="16" spans="1:28" s="1418" customFormat="1" ht="110.15" customHeight="1" thickTop="1" x14ac:dyDescent="0.3">
      <c r="A16" s="1419" t="s">
        <v>366</v>
      </c>
      <c r="B16" s="1500"/>
      <c r="C16" s="2103" t="s">
        <v>1054</v>
      </c>
      <c r="D16" s="2096" t="s">
        <v>3</v>
      </c>
      <c r="E16" s="838" t="b">
        <f>IF(D16="Compliant",TRUE,FALSE)</f>
        <v>0</v>
      </c>
      <c r="F16" s="390"/>
      <c r="G16" s="1420" t="str">
        <f>IF(I16&lt;&gt;"", "Not Blank", "")</f>
        <v/>
      </c>
      <c r="H16" s="1420"/>
      <c r="I16" s="3431"/>
      <c r="J16" s="3429"/>
      <c r="K16" s="3429"/>
      <c r="L16" s="3429"/>
      <c r="M16" s="128"/>
      <c r="N16" s="4415" t="s">
        <v>3</v>
      </c>
      <c r="O16" s="4449" t="b">
        <f>IF(OR(N16="Compliant",N16="FE with work-a-round",N16="Functionally Equivalent"),TRUE,FALSE)</f>
        <v>0</v>
      </c>
      <c r="P16" s="128"/>
      <c r="Q16" s="1142" t="s">
        <v>3</v>
      </c>
      <c r="R16" s="1244" t="b">
        <f>IF(OR(Q16="Compliant",Q16="FE with work-a-round",Q16="Functionally Equivalent"),TRUE,FALSE)</f>
        <v>0</v>
      </c>
      <c r="S16" s="42"/>
      <c r="T16" s="42"/>
      <c r="U16" s="128"/>
      <c r="V16" s="4444" t="s">
        <v>3</v>
      </c>
      <c r="W16" s="4434" t="b">
        <f>IF(OR(V16="Compliant",V16="FE with work-a-round",V16="Functionally Equivalent",V16="Not Required/Applicable"),TRUE,FALSE)</f>
        <v>0</v>
      </c>
      <c r="X16" s="1421"/>
      <c r="Y16" s="1421"/>
      <c r="Z16" s="1422"/>
      <c r="AA16" s="1394"/>
      <c r="AB16" s="1394"/>
    </row>
    <row r="17" spans="1:28" s="1418" customFormat="1" ht="220.5" customHeight="1" thickBot="1" x14ac:dyDescent="0.35">
      <c r="A17" s="1419" t="s">
        <v>365</v>
      </c>
      <c r="B17" s="1501"/>
      <c r="C17" s="2101" t="s">
        <v>1786</v>
      </c>
      <c r="D17" s="700" t="s">
        <v>3</v>
      </c>
      <c r="E17" s="595" t="b">
        <f>IF(D17="Compliant",TRUE,FALSE)</f>
        <v>0</v>
      </c>
      <c r="F17" s="258"/>
      <c r="G17" s="1423" t="str">
        <f>IF(I17&lt;&gt;"", "Not Blank", "")</f>
        <v/>
      </c>
      <c r="H17" s="1423"/>
      <c r="I17" s="3431"/>
      <c r="J17" s="3430"/>
      <c r="K17" s="3430"/>
      <c r="L17" s="3429"/>
      <c r="M17" s="125"/>
      <c r="N17" s="4416"/>
      <c r="O17" s="4478"/>
      <c r="P17" s="1424"/>
      <c r="Q17" s="1380" t="s">
        <v>3</v>
      </c>
      <c r="R17" s="1248" t="b">
        <f>IF(OR(Q17="Compliant",Q17="FE with work-a-round",Q17="Functionally Equivalent"),TRUE,FALSE)</f>
        <v>0</v>
      </c>
      <c r="S17" s="1425"/>
      <c r="T17" s="1425"/>
      <c r="U17" s="1424"/>
      <c r="V17" s="4445"/>
      <c r="W17" s="4435"/>
      <c r="X17" s="1426"/>
      <c r="Y17" s="1426"/>
      <c r="Z17" s="1427"/>
      <c r="AA17" s="1394"/>
      <c r="AB17" s="1394"/>
    </row>
    <row r="18" spans="1:28" s="1430" customFormat="1" ht="36" customHeight="1" thickTop="1" thickBot="1" x14ac:dyDescent="0.35">
      <c r="A18" s="1428"/>
      <c r="B18" s="1502" t="s">
        <v>1206</v>
      </c>
      <c r="C18" s="2104" t="s">
        <v>1826</v>
      </c>
      <c r="D18" s="1947" t="s">
        <v>565</v>
      </c>
      <c r="E18" s="1379" t="b">
        <f>IF(OR(E19=TRUE,E20=TRUE,E27=TRUE),TRUE,FALSE)</f>
        <v>0</v>
      </c>
      <c r="F18" s="411">
        <f>COUNTIFS(E19:E20,"TRUE")+COUNTIFS(E27,"TRUE")</f>
        <v>0</v>
      </c>
      <c r="G18" s="411">
        <f>COUNTIFS(E19,TRUE,G19,"Not Blank")+COUNTIFS(E21:E27,TRUE,G21:G27,"Not Blank")</f>
        <v>0</v>
      </c>
      <c r="H18" s="411">
        <f>COUNTIFS(E19,FALSE,G19,"Not Blank")+COUNTIFS(E21:E27,FALSE,G21:G27,"Not Blank")</f>
        <v>0</v>
      </c>
      <c r="I18" s="1642" t="str">
        <f xml:space="preserve">
IF(F18&gt;1,"Too Many Entries - Check Red Lines",
IF(G18&lt;F18,"Valid Entry required below - Check Amber Line/s",
IF(AND(E18=FALSE,G18=0,H18=0),"Nothing Entered below Yet",
IF(G18&lt;F18,"Valid Entry required below - Check Amber Line/s",
IF(AND(G18=0,H18&gt;0),"**Non-Valid Entry/ies below - Check Yellow Line/s",
IF(AND(G18&gt;0,H18&gt;0),"**Valid and Non-Valid Entries made below - Check Yellow Line/s",
IF(AND(E18=FALSE,F18&lt;1),"Not all requirements addressed below - Check Pink Line/s",
IF(AND(E18=FALSE,G18&lt;1,G18&gt;0,H18=0),"More entries to come",
IF(AND(E18,TRUE,G18=1,H18=0),"Valid Entries made below"
)))))))))</f>
        <v>Nothing Entered below Yet</v>
      </c>
      <c r="J18" s="1643">
        <f>COUNTIFS(E19,TRUE,J19,"Not Blank")+COUNTIFS(E21:E27,TRUE,J21:J27,"Not Blank")</f>
        <v>0</v>
      </c>
      <c r="K18" s="1643">
        <f>COUNTIFS(E19,FALSE,J19,"Not Blank")+COUNTIFS(E21:E27,FALSE,J21:J27,"Not Blank")</f>
        <v>0</v>
      </c>
      <c r="L18" s="1642" t="str">
        <f xml:space="preserve">
IF(J18&gt;1,"Too Many Entries - Check Red Lines",
IF(J18&lt;F18,"Valid Entry required below - Check Amber Line/s",
IF(AND(E18=FALSE,J18=0,K18=0),"Nothing Entered below Yet",
IF(AND(J18=0,K18&gt;0),"**Non-Valid Entry/ies below - Check Yellow Line/s",
IF(AND(J18&gt;0,K18&gt;0),"**Valid and Non-Valid Entries made below - Check Yellow Line/s",
IF(AND(E18=FALSE,J18&lt;1),"Not all requirements addressed below - Check Pink Line/s",
IF(AND(E18=FALSE,J18&lt;1,J18&gt;0,K18=0),"More entries to come",
IF(AND(E18,TRUE,J18=1,K18=0),"Valid Entries made below"
))))))))</f>
        <v>Nothing Entered below Yet</v>
      </c>
      <c r="M18" s="809"/>
      <c r="N18" s="4414" t="s">
        <v>3</v>
      </c>
      <c r="O18" s="4477" t="b">
        <f>IF(OR(N18="Compliant",N18="FE with work-a-round",N18="Functionally Equivalent"),TRUE,FALSE)</f>
        <v>0</v>
      </c>
      <c r="P18" s="134"/>
      <c r="Q18" s="1499" t="s">
        <v>565</v>
      </c>
      <c r="R18" s="816" t="b">
        <f>IF(OR(R19=TRUE,R20=TRUE,R27=TRUE),TRUE,FALSE)</f>
        <v>0</v>
      </c>
      <c r="S18" s="133"/>
      <c r="T18" s="133"/>
      <c r="U18" s="134"/>
      <c r="V18" s="4443" t="s">
        <v>3</v>
      </c>
      <c r="W18" s="4435" t="b">
        <f>IF(OR(V18="Compliant",V18="FE with work-a-round",V18="Functionally Equivalent",V18="Not Required/Applicable"),TRUE,FALSE)</f>
        <v>0</v>
      </c>
      <c r="X18" s="336"/>
      <c r="Y18" s="336"/>
      <c r="Z18" s="337"/>
      <c r="AA18" s="1429"/>
      <c r="AB18" s="1429"/>
    </row>
    <row r="19" spans="1:28" s="1394" customFormat="1" ht="67.5" customHeight="1" thickTop="1" thickBot="1" x14ac:dyDescent="0.35">
      <c r="A19" s="1419" t="s">
        <v>367</v>
      </c>
      <c r="B19" s="1503" t="s">
        <v>1190</v>
      </c>
      <c r="C19" s="2110" t="s">
        <v>1016</v>
      </c>
      <c r="D19" s="876" t="s">
        <v>3</v>
      </c>
      <c r="E19" s="974" t="b">
        <f>IF(D19="Compliant",TRUE,FALSE)</f>
        <v>0</v>
      </c>
      <c r="F19" s="396"/>
      <c r="G19" s="396" t="str">
        <f>IF(I19&lt;&gt;"", "Not Blank", "")</f>
        <v/>
      </c>
      <c r="H19" s="396"/>
      <c r="I19" s="3581"/>
      <c r="J19" s="3440"/>
      <c r="K19" s="3440"/>
      <c r="L19" s="3440"/>
      <c r="M19" s="134"/>
      <c r="N19" s="4415"/>
      <c r="O19" s="4450"/>
      <c r="P19" s="134"/>
      <c r="Q19" s="1142" t="s">
        <v>3</v>
      </c>
      <c r="R19" s="1244" t="b">
        <f>IF(OR(Q19="Compliant",Q19="FE with work-a-round",Q19="Functionally Equivalent"),TRUE,FALSE)</f>
        <v>0</v>
      </c>
      <c r="S19" s="42"/>
      <c r="T19" s="42"/>
      <c r="U19" s="128"/>
      <c r="V19" s="4444"/>
      <c r="W19" s="4435"/>
      <c r="X19" s="1421"/>
      <c r="Y19" s="1421"/>
      <c r="Z19" s="1422"/>
    </row>
    <row r="20" spans="1:28" s="1394" customFormat="1" ht="80.5" customHeight="1" thickTop="1" x14ac:dyDescent="0.3">
      <c r="A20" s="1419" t="s">
        <v>368</v>
      </c>
      <c r="B20" s="1504" t="s">
        <v>1191</v>
      </c>
      <c r="C20" s="2457" t="s">
        <v>1017</v>
      </c>
      <c r="D20" s="2149" t="s">
        <v>1192</v>
      </c>
      <c r="E20" s="1691" t="b">
        <f>IF(OR(E21=TRUE,E22=TRUE,E23=TRUE,E24=TRUE,E25=TRUE,E26=TRUE),TRUE,FALSE)</f>
        <v>0</v>
      </c>
      <c r="F20" s="398">
        <f>COUNTIFS(E21:E26,"TRUE")</f>
        <v>0</v>
      </c>
      <c r="G20" s="398">
        <f>COUNTIFS(E21:E26,TRUE,G21:G26,"Not Blank")</f>
        <v>0</v>
      </c>
      <c r="H20" s="398">
        <f>COUNTIFS(E21:E26,FALSE,G21:G26,"Not Blank")</f>
        <v>0</v>
      </c>
      <c r="I20" s="1648" t="str">
        <f xml:space="preserve">
IF(F20&gt;1,"Too Many Entries - Check Red Lines",
IF(AND(E20=FALSE,G20=0,H20=0,E18=TRUE),"Nothing Required Below",
IF(G20&lt;F20,"Valid Entry required below - Check Amber Line/s",
IF(AND(E20=FALSE,G20=0,H20=0),"Nothing Entered below Yet",
IF(G20&lt;F20,"Valid Entry required below - Check Amber Line/s",
IF(AND(G20=0,H20&gt;0),"**Non-Valid Entry/ies below - Check Yellow Line/s",
IF(AND(G20&gt;0,H20&gt;0),"**Valid and Non-Valid Entries made below - Check Yellow Line/s",
IF(AND(E20=FALSE,F20&lt;1),"Not all requirements addressed below - Check Pink Line/s",
IF(AND(E20=FALSE,G20&lt;1,G20&gt;0,H20=0),"More entries to come",
IF(AND(E20,TRUE,G20=1,H20=0),"Valid Entries made below"
))))))))))</f>
        <v>Nothing Entered below Yet</v>
      </c>
      <c r="J20" s="1692">
        <f>COUNTIFS(E21:E26,TRUE,J21:J26,"Not Blank")</f>
        <v>0</v>
      </c>
      <c r="K20" s="1692">
        <f>COUNTIFS(E21:E26,FALSE,J21:J26,"Not Blank")</f>
        <v>0</v>
      </c>
      <c r="L20" s="1648" t="str">
        <f xml:space="preserve">
IF(J20&gt;1,"Too Many Entries - Check Red Lines",
IF(AND(E20=FALSE,J20=0,K20=0,E18=TRUE),"Nothing Required Below",
IF(AND(E20=TRUE,J20&gt;1,K20=0),"**Too many Options used - check Red Boxes",
IF(J20&lt;F20,"Valid Entry required below - Check Amber Line/s",
IF(AND(E20=FALSE,J20=0,K20=0),"Nothing Entered below Yet",
IF(AND(J20=0,K20&gt;0),"**Non-Valid Entry/ies below - Check Yellow Line/s",
IF(AND(J20&gt;0,K20&gt;0),"**Valid and Non-Valid Entries made below - Check Yellow Line/s",
IF(AND(E20=FALSE,J20&lt;1),"Not all requirements addressed below - Check Pink Line/s",
IF(AND(E20=FALSE,J20&lt;1,J20&gt;0,K20=0),"More entries to come",
IF(AND(E20,TRUE,J20=1,K20=0),"Valid Entry made below"
))))))))))</f>
        <v>Nothing Entered below Yet</v>
      </c>
      <c r="M20" s="2263"/>
      <c r="N20" s="4415"/>
      <c r="O20" s="4450"/>
      <c r="P20" s="1628"/>
      <c r="Q20" s="1192" t="s">
        <v>565</v>
      </c>
      <c r="R20" s="732" t="b">
        <f>IF(OR(R21=TRUE,R22=TRUE,R23=TRUE,R24=TRUE,R25=TRUE,R26=TRUE),TRUE,FALSE)</f>
        <v>0</v>
      </c>
      <c r="S20" s="471"/>
      <c r="T20" s="471"/>
      <c r="U20" s="1406"/>
      <c r="V20" s="4444"/>
      <c r="W20" s="4435"/>
      <c r="X20" s="1431"/>
      <c r="Y20" s="1431"/>
      <c r="Z20" s="1432"/>
    </row>
    <row r="21" spans="1:28" s="1394" customFormat="1" ht="285.64999999999998" customHeight="1" thickBot="1" x14ac:dyDescent="0.35">
      <c r="A21" s="1419" t="s">
        <v>369</v>
      </c>
      <c r="B21" s="1500"/>
      <c r="C21" s="2456" t="s">
        <v>1011</v>
      </c>
      <c r="D21" s="2096" t="s">
        <v>3</v>
      </c>
      <c r="E21" s="594" t="b">
        <f t="shared" ref="E21:E30" si="0">IF(D21="Compliant",TRUE,FALSE)</f>
        <v>0</v>
      </c>
      <c r="F21" s="361"/>
      <c r="G21" s="361" t="str">
        <f>IF(I21&lt;&gt;"", "Not Blank", "")</f>
        <v/>
      </c>
      <c r="H21" s="361"/>
      <c r="I21" s="2314"/>
      <c r="J21" s="216" t="str">
        <f t="shared" ref="J21:J27" si="1">IF(L21&lt;&gt;"", "Not Blank", "")</f>
        <v/>
      </c>
      <c r="K21" s="216"/>
      <c r="L21" s="2164"/>
      <c r="M21" s="128"/>
      <c r="N21" s="4415"/>
      <c r="O21" s="4450"/>
      <c r="P21" s="2389"/>
      <c r="Q21" s="2391" t="s">
        <v>3</v>
      </c>
      <c r="R21" s="732" t="b">
        <f>IF(OR(Q21="Compliant",Q21="FE with work-a-round",Q21="Functionally Equivalent"),TRUE,FALSE)</f>
        <v>0</v>
      </c>
      <c r="S21" s="471"/>
      <c r="T21" s="471"/>
      <c r="U21" s="1406"/>
      <c r="V21" s="4444"/>
      <c r="W21" s="4435"/>
      <c r="X21" s="1431"/>
      <c r="Y21" s="1431"/>
      <c r="Z21" s="1432"/>
    </row>
    <row r="22" spans="1:28" s="1394" customFormat="1" ht="241" customHeight="1" thickTop="1" x14ac:dyDescent="0.3">
      <c r="A22" s="1419" t="s">
        <v>370</v>
      </c>
      <c r="B22" s="1500"/>
      <c r="C22" s="2106" t="s">
        <v>1012</v>
      </c>
      <c r="D22" s="699" t="s">
        <v>3</v>
      </c>
      <c r="E22" s="594" t="b">
        <f t="shared" si="0"/>
        <v>0</v>
      </c>
      <c r="F22" s="361"/>
      <c r="G22" s="361" t="str">
        <f t="shared" ref="G22:G27" si="2">IF(I22&lt;&gt;"", "Not Blank", "")</f>
        <v/>
      </c>
      <c r="H22" s="361"/>
      <c r="I22" s="42"/>
      <c r="J22" s="216" t="str">
        <f t="shared" si="1"/>
        <v/>
      </c>
      <c r="K22" s="216"/>
      <c r="L22" s="44"/>
      <c r="M22" s="122"/>
      <c r="N22" s="4415"/>
      <c r="O22" s="4450"/>
      <c r="P22" s="1406"/>
      <c r="Q22" s="847" t="s">
        <v>3</v>
      </c>
      <c r="R22" s="732" t="b">
        <f t="shared" ref="R22:R27" si="3">IF(OR(Q22="Compliant",Q22="FE with work-a-round",Q22="Functionally Equivalent"),TRUE,FALSE)</f>
        <v>0</v>
      </c>
      <c r="S22" s="471"/>
      <c r="T22" s="471"/>
      <c r="U22" s="1406"/>
      <c r="V22" s="4444"/>
      <c r="W22" s="4435"/>
      <c r="X22" s="1431"/>
      <c r="Y22" s="1431"/>
      <c r="Z22" s="1432"/>
    </row>
    <row r="23" spans="1:28" s="1394" customFormat="1" ht="203.15" customHeight="1" x14ac:dyDescent="0.3">
      <c r="A23" s="1419" t="s">
        <v>371</v>
      </c>
      <c r="B23" s="1500"/>
      <c r="C23" s="2106" t="s">
        <v>1013</v>
      </c>
      <c r="D23" s="699" t="s">
        <v>3</v>
      </c>
      <c r="E23" s="594" t="b">
        <f t="shared" si="0"/>
        <v>0</v>
      </c>
      <c r="F23" s="361"/>
      <c r="G23" s="361" t="str">
        <f t="shared" si="2"/>
        <v/>
      </c>
      <c r="H23" s="361"/>
      <c r="I23" s="44"/>
      <c r="J23" s="216" t="str">
        <f t="shared" si="1"/>
        <v/>
      </c>
      <c r="K23" s="216"/>
      <c r="L23" s="44"/>
      <c r="M23" s="122"/>
      <c r="N23" s="4415"/>
      <c r="O23" s="4450"/>
      <c r="P23" s="1406"/>
      <c r="Q23" s="847" t="s">
        <v>3</v>
      </c>
      <c r="R23" s="732" t="b">
        <f t="shared" si="3"/>
        <v>0</v>
      </c>
      <c r="S23" s="471"/>
      <c r="T23" s="471"/>
      <c r="U23" s="1406"/>
      <c r="V23" s="4444"/>
      <c r="W23" s="4435"/>
      <c r="X23" s="1431"/>
      <c r="Y23" s="1431"/>
      <c r="Z23" s="1432"/>
    </row>
    <row r="24" spans="1:28" s="1394" customFormat="1" ht="242.15" customHeight="1" x14ac:dyDescent="0.3">
      <c r="A24" s="1419" t="s">
        <v>372</v>
      </c>
      <c r="B24" s="1500"/>
      <c r="C24" s="2106" t="s">
        <v>1958</v>
      </c>
      <c r="D24" s="699" t="s">
        <v>3</v>
      </c>
      <c r="E24" s="594" t="b">
        <f t="shared" si="0"/>
        <v>0</v>
      </c>
      <c r="F24" s="361"/>
      <c r="G24" s="361" t="str">
        <f t="shared" si="2"/>
        <v/>
      </c>
      <c r="H24" s="361"/>
      <c r="I24" s="44"/>
      <c r="J24" s="216" t="str">
        <f t="shared" si="1"/>
        <v/>
      </c>
      <c r="K24" s="216"/>
      <c r="L24" s="44"/>
      <c r="M24" s="122"/>
      <c r="N24" s="4415"/>
      <c r="O24" s="4450"/>
      <c r="P24" s="1406"/>
      <c r="Q24" s="847" t="s">
        <v>3</v>
      </c>
      <c r="R24" s="732" t="b">
        <f t="shared" si="3"/>
        <v>0</v>
      </c>
      <c r="S24" s="471"/>
      <c r="T24" s="471"/>
      <c r="U24" s="1406"/>
      <c r="V24" s="4444"/>
      <c r="W24" s="4435"/>
      <c r="X24" s="1431"/>
      <c r="Y24" s="1431"/>
      <c r="Z24" s="1432"/>
    </row>
    <row r="25" spans="1:28" s="1394" customFormat="1" ht="310" customHeight="1" x14ac:dyDescent="0.3">
      <c r="A25" s="1419" t="s">
        <v>373</v>
      </c>
      <c r="B25" s="1500"/>
      <c r="C25" s="2106" t="s">
        <v>1014</v>
      </c>
      <c r="D25" s="699" t="s">
        <v>3</v>
      </c>
      <c r="E25" s="594" t="b">
        <f t="shared" si="0"/>
        <v>0</v>
      </c>
      <c r="F25" s="361"/>
      <c r="G25" s="361" t="str">
        <f t="shared" si="2"/>
        <v/>
      </c>
      <c r="H25" s="361"/>
      <c r="I25" s="44"/>
      <c r="J25" s="216" t="str">
        <f t="shared" si="1"/>
        <v/>
      </c>
      <c r="K25" s="216"/>
      <c r="L25" s="44"/>
      <c r="M25" s="122"/>
      <c r="N25" s="4415"/>
      <c r="O25" s="4450"/>
      <c r="P25" s="1406"/>
      <c r="Q25" s="847" t="s">
        <v>3</v>
      </c>
      <c r="R25" s="732" t="b">
        <f t="shared" si="3"/>
        <v>0</v>
      </c>
      <c r="S25" s="471"/>
      <c r="T25" s="471"/>
      <c r="U25" s="1406"/>
      <c r="V25" s="4444"/>
      <c r="W25" s="4435"/>
      <c r="X25" s="1431"/>
      <c r="Y25" s="1431"/>
      <c r="Z25" s="1432"/>
    </row>
    <row r="26" spans="1:28" s="1394" customFormat="1" ht="139.5" customHeight="1" thickBot="1" x14ac:dyDescent="0.35">
      <c r="A26" s="1419" t="s">
        <v>374</v>
      </c>
      <c r="B26" s="1500"/>
      <c r="C26" s="2108" t="s">
        <v>1015</v>
      </c>
      <c r="D26" s="700" t="s">
        <v>3</v>
      </c>
      <c r="E26" s="595" t="b">
        <f t="shared" si="0"/>
        <v>0</v>
      </c>
      <c r="F26" s="258"/>
      <c r="G26" s="258" t="str">
        <f t="shared" si="2"/>
        <v/>
      </c>
      <c r="H26" s="258"/>
      <c r="I26" s="124"/>
      <c r="J26" s="216" t="str">
        <f t="shared" si="1"/>
        <v/>
      </c>
      <c r="K26" s="216"/>
      <c r="L26" s="79"/>
      <c r="M26" s="125"/>
      <c r="N26" s="4415"/>
      <c r="O26" s="4450"/>
      <c r="P26" s="1424"/>
      <c r="Q26" s="848" t="s">
        <v>3</v>
      </c>
      <c r="R26" s="732" t="b">
        <f t="shared" si="3"/>
        <v>0</v>
      </c>
      <c r="S26" s="471"/>
      <c r="T26" s="471"/>
      <c r="U26" s="1406"/>
      <c r="V26" s="4444"/>
      <c r="W26" s="4435"/>
      <c r="X26" s="1431"/>
      <c r="Y26" s="1431"/>
      <c r="Z26" s="1432"/>
    </row>
    <row r="27" spans="1:28" s="1394" customFormat="1" ht="178" customHeight="1" thickTop="1" thickBot="1" x14ac:dyDescent="0.35">
      <c r="A27" s="1419"/>
      <c r="B27" s="1500" t="s">
        <v>1207</v>
      </c>
      <c r="C27" s="2456" t="s">
        <v>1050</v>
      </c>
      <c r="D27" s="875" t="s">
        <v>3</v>
      </c>
      <c r="E27" s="1625" t="b">
        <f t="shared" si="0"/>
        <v>0</v>
      </c>
      <c r="F27" s="1626"/>
      <c r="G27" s="1626" t="str">
        <f t="shared" si="2"/>
        <v/>
      </c>
      <c r="H27" s="1626"/>
      <c r="I27" s="705"/>
      <c r="J27" s="403" t="str">
        <f t="shared" si="1"/>
        <v/>
      </c>
      <c r="K27" s="403"/>
      <c r="L27" s="133"/>
      <c r="M27" s="136"/>
      <c r="N27" s="4415"/>
      <c r="O27" s="4450"/>
      <c r="P27" s="1553"/>
      <c r="Q27" s="925" t="s">
        <v>3</v>
      </c>
      <c r="R27" s="812" t="b">
        <f t="shared" si="3"/>
        <v>0</v>
      </c>
      <c r="S27" s="1224"/>
      <c r="T27" s="1224"/>
      <c r="U27" s="1411"/>
      <c r="V27" s="4444"/>
      <c r="W27" s="4435"/>
      <c r="X27" s="1426"/>
      <c r="Y27" s="1426"/>
      <c r="Z27" s="1427"/>
    </row>
    <row r="28" spans="1:28" s="1394" customFormat="1" ht="31" customHeight="1" thickTop="1" x14ac:dyDescent="0.3">
      <c r="B28" s="1500" t="s">
        <v>1631</v>
      </c>
      <c r="C28" s="2459" t="s">
        <v>1827</v>
      </c>
      <c r="D28" s="2250" t="s">
        <v>565</v>
      </c>
      <c r="E28" s="2460" t="b">
        <f>IF(OR(E29=TRUE,E30=TRUE),TRUE,FALSE)</f>
        <v>0</v>
      </c>
      <c r="F28" s="2461">
        <f>COUNTIFS(E29:E30,"TRUE")</f>
        <v>0</v>
      </c>
      <c r="G28" s="2461">
        <f>COUNTIFS(E29:E30,TRUE,G29:G30,"Not Blank")</f>
        <v>0</v>
      </c>
      <c r="H28" s="2461">
        <f>COUNTIFS(E29:E30,FALSE,G29:G30,"Not Blank")</f>
        <v>0</v>
      </c>
      <c r="I28" s="2342" t="str">
        <f xml:space="preserve">
IF(G28&lt;F28,"Valid Entry required below - Check Amber Line/s",
IF(AND(E28=FALSE,G28=0,H28=0),"Nothing Entered below Yet",
IF(G28&lt;F28,"Valid Entry required below - Check Amber Line/s",
IF(AND(G28=0,H28&gt;0),"**Non-Valid Entry/ies below - Check Yellow Line/s",
IF(AND(G28&gt;0,H28&gt;0),"**Valid and Non-Valid Entries made below - Check Yellow Line/s",
IF(AND(E28=FALSE,F28&lt;1),"Not all requirements addressed below - Check Pink Line/s",
IF(AND(E28=FALSE,G28&lt;1,G28&gt;0,H28=0),"More entries to come",
IF(AND(E28,TRUE,G28=1,H28=0),"Valid Entries made below"
))))))))</f>
        <v>Nothing Entered below Yet</v>
      </c>
      <c r="J28" s="619">
        <f>COUNTIFS(E29:E30,TRUE,J29:J30,"Not Blank")</f>
        <v>0</v>
      </c>
      <c r="K28" s="619">
        <f>COUNTIFS(E29:E30,FALSE,J29:J30,"Not Blank")</f>
        <v>0</v>
      </c>
      <c r="L28" s="2342" t="str">
        <f xml:space="preserve">
IF(AND(E28=TRUE,J28&gt;1,K28=0),"**Too many Options used - check Red Boxes",
IF(J28&lt;F28,"Valid Entry required below - Check Amber Line/s",
IF(AND(E28=FALSE,J28=0,K28=0),"Nothing Entered below Yet",
IF(AND(J28=0,K28&gt;0),"**Non-Valid Entry/ies below - Check Yellow Line/s",
IF(AND(J28&gt;0,K28&gt;0),"**Valid and Non-Valid Entries made below - Check Yellow Line/s",
IF(AND(E28=FALSE,J28&lt;1),"Not all requirements addressed below - Check Pink Line/s",
IF(AND(E28=FALSE,J28&lt;1,J28&gt;0,K28=0),"More entries to come",
IF(AND(E28,TRUE,J28=1,K28=0),"Valid Entries made below"
))))))))</f>
        <v>Nothing Entered below Yet</v>
      </c>
      <c r="M28" s="807"/>
      <c r="N28" s="4415"/>
      <c r="O28" s="4450"/>
      <c r="P28" s="2176"/>
      <c r="Q28" s="1192" t="s">
        <v>565</v>
      </c>
      <c r="R28" s="773" t="b">
        <f>IF(AND(R29=TRUE,R30=TRUE),TRUE,FALSE)</f>
        <v>0</v>
      </c>
      <c r="S28" s="111"/>
      <c r="T28" s="111"/>
      <c r="U28" s="120"/>
      <c r="V28" s="4444"/>
      <c r="W28" s="4435"/>
      <c r="X28" s="1433"/>
      <c r="Y28" s="1433"/>
      <c r="Z28" s="1434"/>
    </row>
    <row r="29" spans="1:28" s="1394" customFormat="1" ht="90.65" customHeight="1" x14ac:dyDescent="0.3">
      <c r="B29" s="1500"/>
      <c r="C29" s="2458" t="s">
        <v>1185</v>
      </c>
      <c r="D29" s="2096" t="s">
        <v>3</v>
      </c>
      <c r="E29" s="838" t="b">
        <f t="shared" si="0"/>
        <v>0</v>
      </c>
      <c r="F29" s="390"/>
      <c r="G29" s="390" t="str">
        <f>IF(I29&lt;&gt;"", "Not Blank", "")</f>
        <v/>
      </c>
      <c r="H29" s="390"/>
      <c r="I29" s="42"/>
      <c r="J29" s="216" t="str">
        <f>IF(L29&lt;&gt;"", "Not Blank", "")</f>
        <v/>
      </c>
      <c r="K29" s="216"/>
      <c r="L29" s="42"/>
      <c r="M29" s="2177"/>
      <c r="N29" s="4415"/>
      <c r="O29" s="4450"/>
      <c r="P29" s="128"/>
      <c r="Q29" s="2391" t="s">
        <v>3</v>
      </c>
      <c r="R29" s="732" t="b">
        <f>IF(OR(Q29="Compliant",Q29="FE with work-a-round",Q29="Functionally Equivalent"),TRUE,FALSE)</f>
        <v>0</v>
      </c>
      <c r="S29" s="44"/>
      <c r="T29" s="44"/>
      <c r="U29" s="122"/>
      <c r="V29" s="4444"/>
      <c r="W29" s="4435"/>
      <c r="X29" s="1431"/>
      <c r="Y29" s="1431"/>
      <c r="Z29" s="1432"/>
    </row>
    <row r="30" spans="1:28" s="1394" customFormat="1" ht="94" customHeight="1" thickBot="1" x14ac:dyDescent="0.35">
      <c r="A30" s="1419"/>
      <c r="B30" s="1505"/>
      <c r="C30" s="2101" t="s">
        <v>1032</v>
      </c>
      <c r="D30" s="700" t="s">
        <v>3</v>
      </c>
      <c r="E30" s="595" t="b">
        <f t="shared" si="0"/>
        <v>0</v>
      </c>
      <c r="F30" s="258"/>
      <c r="G30" s="258" t="str">
        <f>IF(I30&lt;&gt;"", "Not Blank", "")</f>
        <v/>
      </c>
      <c r="H30" s="258"/>
      <c r="I30" s="124"/>
      <c r="J30" s="218" t="str">
        <f>IF(L30&lt;&gt;"", "Not Blank", "")</f>
        <v/>
      </c>
      <c r="K30" s="218"/>
      <c r="L30" s="124"/>
      <c r="M30" s="125"/>
      <c r="N30" s="4416"/>
      <c r="O30" s="4478"/>
      <c r="P30" s="1411"/>
      <c r="Q30" s="848" t="s">
        <v>3</v>
      </c>
      <c r="R30" s="812" t="b">
        <f>IF(OR(Q30="Compliant",Q30="FE with work-a-round",Q30="Functionally Equivalent"),TRUE,FALSE)</f>
        <v>0</v>
      </c>
      <c r="S30" s="1224"/>
      <c r="T30" s="1224"/>
      <c r="U30" s="1411"/>
      <c r="V30" s="4445"/>
      <c r="W30" s="4470"/>
      <c r="X30" s="1435"/>
      <c r="Y30" s="1435"/>
      <c r="Z30" s="1436"/>
    </row>
    <row r="31" spans="1:28" s="1394" customFormat="1" ht="30.65" customHeight="1" thickTop="1" thickBot="1" x14ac:dyDescent="0.35">
      <c r="A31" s="1419"/>
      <c r="B31" s="36"/>
      <c r="C31" s="28"/>
      <c r="D31" s="1023"/>
      <c r="E31" s="400"/>
      <c r="F31" s="57"/>
      <c r="G31" s="57"/>
      <c r="H31" s="57"/>
      <c r="I31" s="28"/>
      <c r="J31" s="217"/>
      <c r="K31" s="217"/>
      <c r="L31" s="28"/>
      <c r="M31" s="28"/>
      <c r="N31" s="57"/>
      <c r="O31" s="245"/>
      <c r="P31" s="1437"/>
      <c r="Q31" s="1267"/>
      <c r="R31" s="1437"/>
      <c r="S31" s="1437"/>
      <c r="T31" s="1437"/>
      <c r="U31" s="1267"/>
      <c r="V31" s="1438"/>
      <c r="W31" s="1438"/>
      <c r="X31" s="1438"/>
      <c r="Y31" s="1438"/>
      <c r="Z31" s="1438"/>
    </row>
    <row r="32" spans="1:28" s="1394" customFormat="1" ht="30.65" customHeight="1" thickTop="1" thickBot="1" x14ac:dyDescent="0.35">
      <c r="A32" s="1419"/>
      <c r="B32" s="1506" t="s">
        <v>1828</v>
      </c>
      <c r="C32" s="1507" t="s">
        <v>1193</v>
      </c>
      <c r="D32" s="693"/>
      <c r="E32" s="974" t="b">
        <f>IF(D32="Yes",TRUE,FALSE)</f>
        <v>0</v>
      </c>
      <c r="F32" s="400"/>
      <c r="G32" s="400"/>
      <c r="H32" s="400"/>
      <c r="I32" s="35"/>
      <c r="J32" s="401"/>
      <c r="K32" s="401"/>
      <c r="L32" s="35"/>
      <c r="M32" s="35"/>
      <c r="N32" s="693"/>
      <c r="O32" s="245" t="b">
        <f>IF(N32="Yes",TRUE,FALSE)</f>
        <v>0</v>
      </c>
      <c r="P32" s="1437"/>
      <c r="Q32" s="693"/>
      <c r="R32" s="1437" t="b">
        <f>IF(Q32="Yes",TRUE,FALSE)</f>
        <v>0</v>
      </c>
      <c r="S32" s="1437"/>
      <c r="T32" s="1437"/>
      <c r="U32" s="1033"/>
      <c r="V32" s="693"/>
      <c r="W32" s="1439" t="b">
        <f>IF(V32="Yes",TRUE,FALSE)</f>
        <v>0</v>
      </c>
      <c r="X32" s="1439"/>
      <c r="Y32" s="1439"/>
      <c r="Z32" s="1440"/>
    </row>
    <row r="33" spans="1:84" s="1394" customFormat="1" ht="30.65" customHeight="1" thickTop="1" thickBot="1" x14ac:dyDescent="0.35">
      <c r="A33" s="1419"/>
      <c r="B33" s="1419"/>
      <c r="C33" s="28"/>
      <c r="D33" s="28"/>
      <c r="E33" s="57"/>
      <c r="F33" s="57"/>
      <c r="G33" s="57"/>
      <c r="H33" s="57"/>
      <c r="I33" s="28"/>
      <c r="J33" s="217"/>
      <c r="K33" s="217"/>
      <c r="L33" s="28"/>
      <c r="M33" s="28"/>
      <c r="N33" s="245"/>
      <c r="O33" s="245"/>
      <c r="P33" s="1437"/>
      <c r="Q33" s="1437"/>
      <c r="R33" s="1437"/>
      <c r="S33" s="1437"/>
      <c r="T33" s="1437"/>
      <c r="U33" s="1437"/>
      <c r="V33" s="1438"/>
      <c r="W33" s="1438"/>
      <c r="X33" s="1438"/>
      <c r="Y33" s="1438"/>
      <c r="Z33" s="1438"/>
    </row>
    <row r="34" spans="1:84" s="27" customFormat="1" ht="30" thickTop="1" thickBot="1" x14ac:dyDescent="0.35">
      <c r="A34" s="28">
        <v>12.5</v>
      </c>
      <c r="B34" s="1495" t="s">
        <v>1018</v>
      </c>
      <c r="C34" s="2464" t="s">
        <v>1630</v>
      </c>
      <c r="D34" s="2149" t="s">
        <v>565</v>
      </c>
      <c r="E34" s="2460" t="b">
        <f>IF(AND(E35,TRUE,E36,TRUE,IF(OR(E45="NA",E45=TRUE),TRUE,FALSE),IF(OR(E49="NA",E49=TRUE),TRUE,FALSE)),TRUE,FALSE)</f>
        <v>0</v>
      </c>
      <c r="F34" s="2461">
        <f>COUNTIF(E35,TRUE)+COUNTIF(E36,TRUE)+COUNTIF(E41,TRUE)</f>
        <v>0</v>
      </c>
      <c r="G34" s="2461">
        <f>COUNTIFS(E35:E53,TRUE,G35:G53,"Not Blank")</f>
        <v>0</v>
      </c>
      <c r="H34" s="2461">
        <f>COUNTIFS(E35:E53,FALSE,G35:G53,"Not Blank")</f>
        <v>0</v>
      </c>
      <c r="I34" s="2155" t="str">
        <f xml:space="preserve">
IF(G34&lt;F34,"Valid Entry required below - Check Amber Line/s",
IF(AND(E34=FALSE,G34=0,H34=0),"Nothing Entered below Yet",
IF(G34&lt;F34,"Valid Entry required below - Check Amber Line/s",
IF(AND(G34=0,H34&gt;0),"**Non-Valid Entry/ies below - Check Yellow Line/s",
IF(AND(G34&gt;0,H34&gt;0),"**Valid and Non-Valid Entries made below - Check Yellow Line/s",
IF(AND(E34=FALSE,F34&lt;15),"Not all requirements addressed below - Check Pink Line/s",
IF(AND(E34=FALSE,G34&lt;15,G34&gt;0,H34=0),"More entries to come",
IF(AND(E34,TRUE,G34=15,H34=0),"Valid Entries made below"
))))))))</f>
        <v>Nothing Entered below Yet</v>
      </c>
      <c r="J34" s="2248">
        <f>COUNTIFS(E35:E53,TRUE,J35:J53,"Not Blank")</f>
        <v>0</v>
      </c>
      <c r="K34" s="2248">
        <f>COUNTIFS(E35:E53,FALSE,J35:J53,"Not Blank")</f>
        <v>0</v>
      </c>
      <c r="L34" s="2155" t="str">
        <f xml:space="preserve">
IF(AND(E34=TRUE,J34&gt;15,K34=0),"**Too many Options used - check Red Boxes",
IF(J34&lt;F34,"Valid Entry required below - Check Amber Line/s",
IF(AND(E34=FALSE,J34=0,K34=0),"Nothing Entered below Yet",
IF(AND(J34=0,K34&gt;0),"**Non-Valid Entry/ies below - Check Yellow Line/s",
IF(AND(J34&gt;0,K34&gt;0),"**Valid and Non-Valid Entries made below - Check Yellow Line/s",
IF(AND(E34=FALSE,J34&lt;15),"Not all requirements addressed below - Check Pink Line/s",
IF(AND(E34=FALSE,J34&lt;15,J34&gt;0,K34=0),"More entries to come",
IF(AND(E34,TRUE,J34=15,K34=0),"Valid Entries made below"
))))))))</f>
        <v>Nothing Entered below Yet</v>
      </c>
      <c r="M34" s="807"/>
      <c r="N34" s="698" t="s">
        <v>565</v>
      </c>
      <c r="O34" s="816" t="b">
        <f>IF(AND(O35=TRUE,O36=TRUE,O49=TRUE,O41=TRUE,O45=TRUE),TRUE,FALSE)</f>
        <v>0</v>
      </c>
      <c r="P34" s="2243"/>
      <c r="Q34" s="1192" t="s">
        <v>565</v>
      </c>
      <c r="R34" s="1373" t="b">
        <f>IF(AND(R35=TRUE,R36=TRUE,R37=TRUE),TRUE,FALSE)</f>
        <v>0</v>
      </c>
      <c r="S34" s="842"/>
      <c r="T34" s="842"/>
      <c r="U34" s="807"/>
      <c r="V34" s="1197" t="s">
        <v>565</v>
      </c>
      <c r="W34" s="816" t="b">
        <f>IF(AND(W35=TRUE,W36=TRUE,W49=TRUE,W41=TRUE,W45=TRUE),TRUE,FALSE)</f>
        <v>0</v>
      </c>
      <c r="X34" s="133"/>
      <c r="Y34" s="133"/>
      <c r="Z34" s="134"/>
      <c r="AA34" s="65"/>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40"/>
    </row>
    <row r="35" spans="1:84" s="27" customFormat="1" ht="205" customHeight="1" thickTop="1" thickBot="1" x14ac:dyDescent="0.35">
      <c r="A35" s="1419" t="s">
        <v>360</v>
      </c>
      <c r="B35" s="1508" t="s">
        <v>1208</v>
      </c>
      <c r="C35" s="2462" t="s">
        <v>1056</v>
      </c>
      <c r="D35" s="875" t="s">
        <v>3</v>
      </c>
      <c r="E35" s="1625" t="b">
        <f>IF(D35="Compliant",TRUE,FALSE)</f>
        <v>0</v>
      </c>
      <c r="F35" s="1626"/>
      <c r="G35" s="2463" t="str">
        <f>IF(I35&lt;&gt;"", "Not Blank", "")</f>
        <v/>
      </c>
      <c r="H35" s="2463"/>
      <c r="I35" s="3431"/>
      <c r="J35" s="3429" t="str">
        <f>IF(L35&lt;&gt;"", "Not Blank", "")</f>
        <v/>
      </c>
      <c r="K35" s="3429"/>
      <c r="L35" s="3429"/>
      <c r="M35" s="2312"/>
      <c r="N35" s="2465" t="s">
        <v>3</v>
      </c>
      <c r="O35" s="1018" t="b">
        <f>IF(OR(N35="Compliant",N35="FE with work-a-round",N35="Functionally Equivalent"),TRUE,FALSE)</f>
        <v>0</v>
      </c>
      <c r="P35" s="1081"/>
      <c r="Q35" s="2466" t="s">
        <v>3</v>
      </c>
      <c r="R35" s="464" t="b">
        <f>IF(OR(Q35="Compliant",Q35="FE with work-a-round",Q35="Functionally Equivalent"),TRUE,FALSE)</f>
        <v>0</v>
      </c>
      <c r="S35" s="336"/>
      <c r="T35" s="336"/>
      <c r="U35" s="337"/>
      <c r="V35" s="1136" t="s">
        <v>3</v>
      </c>
      <c r="W35" s="307" t="b">
        <f>IF(OR(V35="Compliant",V35="FE with work-a-round",V35="Functionally Equivalent",V35="Not Required/Applicable"),TRUE,FALSE)</f>
        <v>0</v>
      </c>
      <c r="X35" s="842"/>
      <c r="Y35" s="842"/>
      <c r="Z35" s="807"/>
      <c r="AA35" s="65"/>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40"/>
    </row>
    <row r="36" spans="1:84" s="27" customFormat="1" ht="64" customHeight="1" thickTop="1" x14ac:dyDescent="0.3">
      <c r="A36" s="28">
        <v>12.5</v>
      </c>
      <c r="B36" s="1495" t="s">
        <v>1209</v>
      </c>
      <c r="C36" s="2457" t="s">
        <v>1057</v>
      </c>
      <c r="D36" s="2149" t="s">
        <v>565</v>
      </c>
      <c r="E36" s="2460" t="b">
        <f>IF(OR(E37=TRUE,E38=TRUE,E39=TRUE,E40=TRUE),TRUE,FALSE)</f>
        <v>0</v>
      </c>
      <c r="F36" s="2461">
        <f>COUNTIF(E37:E40,TRUE)</f>
        <v>0</v>
      </c>
      <c r="G36" s="2461">
        <f>COUNTIFS(E37:E40,TRUE,G37:G40,"Not Blank")</f>
        <v>0</v>
      </c>
      <c r="H36" s="2461">
        <f>COUNTIFS(E37:E40,FALSE,G37:G40,"Not Blank")</f>
        <v>0</v>
      </c>
      <c r="I36" s="2155" t="str">
        <f xml:space="preserve">
IF(G36&lt;F36,"Valid Entry required below - Check Amber Line/s",
IF(AND(E36=FALSE,G36=0,H36=0),"Nothing Entered below Yet",
IF(G36&lt;F36,"Valid Entry required below - Check Amber Line/s",
IF(AND(G36=0,H36&gt;0),"**Non-Valid Entry/ies below - Check Yellow Line/s",
IF(AND(G36&gt;0,H36&gt;0),"**Valid and Non-Valid Entries made below - Check Yellow Line/s",
IF(AND(E36=FALSE,F36&lt;1),"Not all requirements addressed below - Check Pink Line/s",
IF(AND(E36=FALSE,G36&lt;1,G36&gt;0,H36=0),"More entries to come",
IF(AND(E36,TRUE,G36=1,H36=0),"Valid Entries made below",
IF(AND(E36=FALSE,G36=1,H36=0),"Valid Entries need to be made below"
)))))))))</f>
        <v>Nothing Entered below Yet</v>
      </c>
      <c r="J36" s="2248">
        <f>COUNTIFS(E37:E40,TRUE,J37:J40,"Not Blank")</f>
        <v>0</v>
      </c>
      <c r="K36" s="2248">
        <f>COUNTIFS(E37:E40,FALSE,J37:J40,"Not Blank")</f>
        <v>0</v>
      </c>
      <c r="L36" s="2155" t="str">
        <f xml:space="preserve">
IF(AND(E36=TRUE,J36&gt;1,K36=0),"**Too many Options used - check Red Boxes",
IF(J36&lt;F36,"Valid Entry required below - Check Amber Line/s",
IF(AND(E36=FALSE,J36=0,K36=0),"Nothing Entered below Yet",
IF(AND(J36=0,K36&gt;0),"**Non-Valid Entry/ies below - Check Yellow Line/s",
IF(AND(J36&gt;0,K36&gt;0),"**Valid and Non-Valid Entries made below - Check Yellow Line/s",
IF(AND(E36=FALSE,J36&lt;1),"Not all requirements addressed below - Check Pink Line/s",
IF(AND(E36=FALSE,J36&lt;1,J36&gt;0,K36=0),"More entries to come",
IF(AND(E36,TRUE,J36=1,K36=0),"Valid Entries made below"
))))))))</f>
        <v>Nothing Entered below Yet</v>
      </c>
      <c r="M36" s="2176"/>
      <c r="N36" s="4457" t="s">
        <v>3</v>
      </c>
      <c r="O36" s="4491" t="b">
        <f>IF(OR(N36="Compliant",N36="FE with work-a-round",N36="Functionally Equivalent"),TRUE,FALSE)</f>
        <v>0</v>
      </c>
      <c r="P36" s="2176"/>
      <c r="Q36" s="1192" t="s">
        <v>565</v>
      </c>
      <c r="R36" s="814" t="b">
        <f>IF(AND(R37=TRUE,R38=TRUE,R39=TRUE,R40=TRUE),TRUE,FALSE)</f>
        <v>0</v>
      </c>
      <c r="S36" s="111"/>
      <c r="T36" s="111"/>
      <c r="U36" s="120"/>
      <c r="V36" s="4414" t="s">
        <v>3</v>
      </c>
      <c r="W36" s="4468" t="b">
        <f>IF(OR(V36="Compliant",V36="FE with work-a-round",V36="Functionally Equivalent",V36="Not Required/Applicable"),TRUE,FALSE)</f>
        <v>0</v>
      </c>
      <c r="X36" s="111"/>
      <c r="Y36" s="111"/>
      <c r="Z36" s="120"/>
      <c r="AA36" s="65"/>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40"/>
    </row>
    <row r="37" spans="1:84" s="27" customFormat="1" ht="63.65" customHeight="1" x14ac:dyDescent="0.3">
      <c r="A37" s="1419"/>
      <c r="B37" s="1504"/>
      <c r="C37" s="2456" t="s">
        <v>1055</v>
      </c>
      <c r="D37" s="2096" t="s">
        <v>3</v>
      </c>
      <c r="E37" s="838" t="b">
        <f>IF(D37="Compliant",TRUE,FALSE)</f>
        <v>0</v>
      </c>
      <c r="F37" s="390"/>
      <c r="G37" s="1567" t="str">
        <f>IF(I37&lt;&gt;"", "Not Blank", "")</f>
        <v/>
      </c>
      <c r="H37" s="1567"/>
      <c r="I37" s="3431"/>
      <c r="J37" s="3429" t="str">
        <f>IF(L37&lt;&gt;"", "Not Blank", "")</f>
        <v/>
      </c>
      <c r="K37" s="3429"/>
      <c r="L37" s="3429"/>
      <c r="M37" s="128"/>
      <c r="N37" s="4415"/>
      <c r="O37" s="4492"/>
      <c r="P37" s="128"/>
      <c r="Q37" s="2391" t="s">
        <v>3</v>
      </c>
      <c r="R37" s="1444" t="b">
        <f>IF(OR(Q37="Compliant",Q37="FE with work-a-round",Q37="Functionally Equivalent"),TRUE,FALSE)</f>
        <v>0</v>
      </c>
      <c r="S37" s="42"/>
      <c r="T37" s="42"/>
      <c r="U37" s="128"/>
      <c r="V37" s="4444"/>
      <c r="W37" s="4468"/>
      <c r="X37" s="44"/>
      <c r="Y37" s="44"/>
      <c r="Z37" s="122"/>
      <c r="AA37" s="65"/>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40"/>
    </row>
    <row r="38" spans="1:84" s="27" customFormat="1" ht="139.5" x14ac:dyDescent="0.3">
      <c r="A38" s="1419"/>
      <c r="B38" s="1504"/>
      <c r="C38" s="2106" t="s">
        <v>1959</v>
      </c>
      <c r="D38" s="699" t="s">
        <v>3</v>
      </c>
      <c r="E38" s="594" t="b">
        <f>IF(D38="Compliant",TRUE,FALSE)</f>
        <v>0</v>
      </c>
      <c r="F38" s="361"/>
      <c r="G38" s="1403" t="str">
        <f>IF(I38&lt;&gt;"", "Not Blank", "")</f>
        <v/>
      </c>
      <c r="H38" s="1403"/>
      <c r="I38" s="1443"/>
      <c r="J38" s="216" t="str">
        <f>IF(L38&lt;&gt;"", "Not Blank", "")</f>
        <v/>
      </c>
      <c r="K38" s="216"/>
      <c r="L38" s="44"/>
      <c r="M38" s="122"/>
      <c r="N38" s="4415"/>
      <c r="O38" s="4492"/>
      <c r="P38" s="122"/>
      <c r="Q38" s="847" t="s">
        <v>3</v>
      </c>
      <c r="R38" s="737" t="b">
        <f>IF(OR(Q38="Compliant",Q38="FE with work-a-round",Q38="Functionally Equivalent"),TRUE,FALSE)</f>
        <v>0</v>
      </c>
      <c r="S38" s="44"/>
      <c r="T38" s="44"/>
      <c r="U38" s="122"/>
      <c r="V38" s="4444"/>
      <c r="W38" s="4468"/>
      <c r="X38" s="44"/>
      <c r="Y38" s="44"/>
      <c r="Z38" s="122"/>
      <c r="AA38" s="65"/>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40"/>
    </row>
    <row r="39" spans="1:84" s="27" customFormat="1" ht="186" x14ac:dyDescent="0.3">
      <c r="A39" s="1419"/>
      <c r="B39" s="1504"/>
      <c r="C39" s="2106" t="s">
        <v>1019</v>
      </c>
      <c r="D39" s="699" t="s">
        <v>3</v>
      </c>
      <c r="E39" s="594" t="b">
        <f>IF(D39="Compliant",TRUE,FALSE)</f>
        <v>0</v>
      </c>
      <c r="F39" s="361"/>
      <c r="G39" s="1403" t="str">
        <f>IF(I39&lt;&gt;"", "Not Blank", "")</f>
        <v/>
      </c>
      <c r="H39" s="1403"/>
      <c r="I39" s="1443"/>
      <c r="J39" s="216" t="str">
        <f>IF(L39&lt;&gt;"", "Not Blank", "")</f>
        <v/>
      </c>
      <c r="K39" s="216"/>
      <c r="L39" s="44"/>
      <c r="M39" s="122"/>
      <c r="N39" s="4415"/>
      <c r="O39" s="4492"/>
      <c r="P39" s="122"/>
      <c r="Q39" s="847" t="s">
        <v>3</v>
      </c>
      <c r="R39" s="737" t="b">
        <f>IF(OR(Q39="Compliant",Q39="FE with work-a-round",Q39="Functionally Equivalent"),TRUE,FALSE)</f>
        <v>0</v>
      </c>
      <c r="S39" s="44"/>
      <c r="T39" s="44"/>
      <c r="U39" s="122"/>
      <c r="V39" s="4444"/>
      <c r="W39" s="4468"/>
      <c r="X39" s="44"/>
      <c r="Y39" s="44"/>
      <c r="Z39" s="122"/>
      <c r="AA39" s="65"/>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40"/>
    </row>
    <row r="40" spans="1:84" s="27" customFormat="1" ht="78" thickBot="1" x14ac:dyDescent="0.35">
      <c r="A40" s="1419"/>
      <c r="B40" s="1508"/>
      <c r="C40" s="2107" t="s">
        <v>1020</v>
      </c>
      <c r="D40" s="1038" t="s">
        <v>3</v>
      </c>
      <c r="E40" s="208" t="b">
        <f>IF(D40="Compliant",TRUE,FALSE)</f>
        <v>0</v>
      </c>
      <c r="F40" s="387"/>
      <c r="G40" s="1441" t="str">
        <f>IF(I40&lt;&gt;"", "Not Blank", "")</f>
        <v/>
      </c>
      <c r="H40" s="1441"/>
      <c r="I40" s="1442"/>
      <c r="J40" s="403" t="str">
        <f>IF(L40&lt;&gt;"", "Not Blank", "")</f>
        <v/>
      </c>
      <c r="K40" s="403"/>
      <c r="L40" s="79"/>
      <c r="M40" s="127"/>
      <c r="N40" s="4490"/>
      <c r="O40" s="4493"/>
      <c r="P40" s="127"/>
      <c r="Q40" s="848" t="s">
        <v>3</v>
      </c>
      <c r="R40" s="738" t="b">
        <f>IF(OR(Q40="Compliant",Q40="FE with work-a-round",Q40="Functionally Equivalent"),TRUE,FALSE)</f>
        <v>0</v>
      </c>
      <c r="S40" s="124"/>
      <c r="T40" s="124"/>
      <c r="U40" s="125"/>
      <c r="V40" s="4445"/>
      <c r="W40" s="4468"/>
      <c r="X40" s="79"/>
      <c r="Y40" s="79"/>
      <c r="Z40" s="127"/>
      <c r="AA40" s="65"/>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40"/>
    </row>
    <row r="41" spans="1:84" s="27" customFormat="1" ht="58.5" thickTop="1" x14ac:dyDescent="0.3">
      <c r="A41" s="1419" t="s">
        <v>375</v>
      </c>
      <c r="B41" s="1495" t="s">
        <v>1023</v>
      </c>
      <c r="C41" s="2457" t="s">
        <v>1021</v>
      </c>
      <c r="D41" s="2149" t="s">
        <v>565</v>
      </c>
      <c r="E41" s="2460" t="b">
        <f>IF(OR(E42=TRUE,E43=TRUE,E44=TRUE),TRUE,FALSE)</f>
        <v>0</v>
      </c>
      <c r="F41" s="2461">
        <f>COUNTIF(E42:E44,TRUE)</f>
        <v>0</v>
      </c>
      <c r="G41" s="2461">
        <f>COUNTIFS(E42:E44,TRUE,G42:G44,"Not Blank")</f>
        <v>0</v>
      </c>
      <c r="H41" s="2461">
        <f>COUNTIFS(E42:E44,FALSE,G42:G44,"Not Blank")</f>
        <v>0</v>
      </c>
      <c r="I41" s="2467" t="str">
        <f xml:space="preserve">
IF(G41&lt;F41,"Valid Entry required below - Check Amber Line/s",
IF(AND(E41=FALSE,G41=0,H41=0),"Nothing Entered below Yet",
IF(G41&lt;F41,"Valid Entry required below - Check Amber Line/s",
IF(AND(G41=0,H41&gt;0),"**Non-Valid Entry/ies below - Check Yellow Line/s",
IF(AND(G41&gt;0,H41&gt;0),"**Valid and Non-Valid Entries made below - Check Yellow Line/s",
IF(AND(E41=FALSE,F41&lt;3),"Not all requirements addressed below - Check Pink Line/s",
IF(AND(E41=FALSE,G41&lt;3,G41&gt;0,H41=0),"More entries to come",
IF(AND(E41,TRUE,G41=3,H41=0),"Valid Entries made below",
IF(AND(E41=FALSE,G41=3,H41=0),"Valid Entries need to be made below"
)))))))))</f>
        <v>Nothing Entered below Yet</v>
      </c>
      <c r="J41" s="2468">
        <f>COUNTIFS(E42:E44,TRUE,J42:J44,"Not Blank")</f>
        <v>0</v>
      </c>
      <c r="K41" s="2468">
        <f>COUNTIFS(E42:E44,FALSE,J42:J44,"Not Blank")</f>
        <v>0</v>
      </c>
      <c r="L41" s="2467" t="str">
        <f xml:space="preserve">
IF(AND(E41=TRUE,J41&gt;9,K41=0),"**Too many Options used - check Red Boxes",
IF(J41&lt;F41,"Valid Entry required below - Check Amber Line/s",
IF(AND(E41=FALSE,J41=0,K41=0),"Nothing Entered below Yet",
IF(AND(J41=0,K41&gt;0),"**Non-Valid Entry/ies below - Check Yellow Line/s",
IF(AND(J41&gt;0,K41&gt;0),"**Valid and Non-Valid Entries made below - Check Yellow Line/s",
IF(AND(E41=FALSE,J41&lt;3),"Not all requirements addressed below - Check Pink Line/s",
IF(AND(E41=FALSE,J41&lt;3,J41&gt;0,K41=0),"More entries to come",
IF(AND(E41,TRUE,J41=3,K41=0),"Valid Entries made below"
))))))))</f>
        <v>Nothing Entered below Yet</v>
      </c>
      <c r="M41" s="807"/>
      <c r="N41" s="4457" t="s">
        <v>3</v>
      </c>
      <c r="O41" s="4491" t="b">
        <f>IF(OR(N41="Compliant",N41="FE with work-a-round",N41="Functionally Equivalent"),TRUE,FALSE)</f>
        <v>0</v>
      </c>
      <c r="P41" s="120"/>
      <c r="Q41" s="2343" t="s">
        <v>565</v>
      </c>
      <c r="R41" s="814" t="b">
        <f>IF(AND(R42=TRUE,R43=TRUE,R44=TRUE),TRUE,FALSE)</f>
        <v>0</v>
      </c>
      <c r="S41" s="111"/>
      <c r="T41" s="111"/>
      <c r="U41" s="120"/>
      <c r="V41" s="4479" t="s">
        <v>3</v>
      </c>
      <c r="W41" s="4435" t="b">
        <f>IF(OR(V41="Compliant",V41="FE with work-a-round",V41="Functionally Equivalent",V41="Not Required/Applicable"),TRUE,FALSE)</f>
        <v>0</v>
      </c>
      <c r="X41" s="111"/>
      <c r="Y41" s="111"/>
      <c r="Z41" s="120"/>
      <c r="AA41" s="65"/>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40"/>
    </row>
    <row r="42" spans="1:84" s="27" customFormat="1" ht="67.5" customHeight="1" x14ac:dyDescent="0.3">
      <c r="A42" s="1419"/>
      <c r="B42" s="1504"/>
      <c r="C42" s="2456" t="s">
        <v>1213</v>
      </c>
      <c r="D42" s="2096"/>
      <c r="E42" s="838" t="b">
        <f>IF(D42="Yes",TRUE,FALSE)</f>
        <v>0</v>
      </c>
      <c r="F42" s="390"/>
      <c r="G42" s="1567" t="str">
        <f>IF(I42&lt;&gt;"", "Not Blank", "")</f>
        <v/>
      </c>
      <c r="H42" s="1567"/>
      <c r="I42" s="1420"/>
      <c r="J42" s="391" t="str">
        <f>IF(L42&lt;&gt;"", "Not Blank", "")</f>
        <v/>
      </c>
      <c r="K42" s="391"/>
      <c r="L42" s="42"/>
      <c r="M42" s="2177"/>
      <c r="N42" s="4415"/>
      <c r="O42" s="4492"/>
      <c r="P42" s="122"/>
      <c r="Q42" s="1142" t="s">
        <v>3</v>
      </c>
      <c r="R42" s="737" t="b">
        <f>IF(OR(Q42="Compliant",Q42="FE with work-a-round",Q42="Functionally Equivalent"),TRUE,FALSE)</f>
        <v>0</v>
      </c>
      <c r="S42" s="44"/>
      <c r="T42" s="44"/>
      <c r="U42" s="122"/>
      <c r="V42" s="4475"/>
      <c r="W42" s="4435"/>
      <c r="X42" s="44"/>
      <c r="Y42" s="44"/>
      <c r="Z42" s="122"/>
      <c r="AA42" s="65"/>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40"/>
    </row>
    <row r="43" spans="1:84" s="27" customFormat="1" ht="31" x14ac:dyDescent="0.3">
      <c r="A43" s="1419"/>
      <c r="B43" s="1504"/>
      <c r="C43" s="2106" t="s">
        <v>1022</v>
      </c>
      <c r="D43" s="699"/>
      <c r="E43" s="594" t="b">
        <f>IF(D43="Yes",TRUE,FALSE)</f>
        <v>0</v>
      </c>
      <c r="F43" s="361"/>
      <c r="G43" s="1403" t="str">
        <f>IF(I43&lt;&gt;"", "Not Blank", "")</f>
        <v/>
      </c>
      <c r="H43" s="1403"/>
      <c r="I43" s="1443"/>
      <c r="J43" s="216" t="str">
        <f>IF(L43&lt;&gt;"", "Not Blank", "")</f>
        <v/>
      </c>
      <c r="K43" s="216"/>
      <c r="L43" s="44"/>
      <c r="M43" s="122"/>
      <c r="N43" s="4415"/>
      <c r="O43" s="4492"/>
      <c r="P43" s="122"/>
      <c r="Q43" s="847" t="s">
        <v>3</v>
      </c>
      <c r="R43" s="737" t="b">
        <f>IF(OR(Q43="Compliant",Q43="FE with work-a-round",Q43="Functionally Equivalent"),TRUE,FALSE)</f>
        <v>0</v>
      </c>
      <c r="S43" s="44"/>
      <c r="T43" s="44"/>
      <c r="U43" s="122"/>
      <c r="V43" s="4475"/>
      <c r="W43" s="4435"/>
      <c r="X43" s="44"/>
      <c r="Y43" s="44"/>
      <c r="Z43" s="122"/>
      <c r="AA43" s="65"/>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40"/>
    </row>
    <row r="44" spans="1:84" s="27" customFormat="1" ht="47" thickBot="1" x14ac:dyDescent="0.35">
      <c r="A44" s="28"/>
      <c r="B44" s="1508"/>
      <c r="C44" s="2106" t="s">
        <v>1058</v>
      </c>
      <c r="D44" s="699"/>
      <c r="E44" s="208" t="b">
        <f>IF(D44="Yes",TRUE,FALSE)</f>
        <v>0</v>
      </c>
      <c r="F44" s="387"/>
      <c r="G44" s="1441" t="str">
        <f>IF(I44&lt;&gt;"", "Not Blank", "")</f>
        <v/>
      </c>
      <c r="H44" s="1441"/>
      <c r="I44" s="1442"/>
      <c r="J44" s="403" t="str">
        <f>IF(L44&lt;&gt;"", "Not Blank", "")</f>
        <v/>
      </c>
      <c r="K44" s="403"/>
      <c r="L44" s="79"/>
      <c r="M44" s="127"/>
      <c r="N44" s="4490"/>
      <c r="O44" s="4493"/>
      <c r="P44" s="127"/>
      <c r="Q44" s="848" t="s">
        <v>3</v>
      </c>
      <c r="R44" s="738" t="b">
        <f>IF(OR(Q44="Compliant",Q44="FE with work-a-round",Q44="Functionally Equivalent"),TRUE,FALSE)</f>
        <v>0</v>
      </c>
      <c r="S44" s="124"/>
      <c r="T44" s="124"/>
      <c r="U44" s="125"/>
      <c r="V44" s="4476"/>
      <c r="W44" s="4435"/>
      <c r="X44" s="79"/>
      <c r="Y44" s="79"/>
      <c r="Z44" s="127"/>
      <c r="AA44" s="65"/>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40"/>
    </row>
    <row r="45" spans="1:84" s="27" customFormat="1" ht="44" thickTop="1" x14ac:dyDescent="0.3">
      <c r="A45" s="1419" t="s">
        <v>376</v>
      </c>
      <c r="B45" s="1495" t="s">
        <v>1034</v>
      </c>
      <c r="C45" s="2457" t="s">
        <v>1960</v>
      </c>
      <c r="D45" s="2149" t="s">
        <v>565</v>
      </c>
      <c r="E45" s="2460" t="str">
        <f>IF(AND(E42=FALSE, E43=FALSE),"NA",IF(AND(E46=TRUE,E47=TRUE,E48=TRUE),TRUE,FALSE))</f>
        <v>NA</v>
      </c>
      <c r="F45" s="2461">
        <f>COUNTIF(E46:E48,TRUE)</f>
        <v>0</v>
      </c>
      <c r="G45" s="2461">
        <f>COUNTIFS(E46:E48,TRUE,G46:G48,"Not Blank")</f>
        <v>0</v>
      </c>
      <c r="H45" s="2461">
        <f>COUNTIFS(E46:E48,FALSE,G46:G48,"Not Blank")</f>
        <v>0</v>
      </c>
      <c r="I45" s="2467" t="str">
        <f xml:space="preserve">
IF(G45&lt;F45,"Valid Entry required below - Check Amber Line/s",
IF(AND(E45=FALSE,G45=0,H45=0),"Nothing Entered below Yet",
IF(AND(E45="NA",G45=0,H45=0),"Nothing Required below",
IF(G45&lt;F45,"Valid Entry required below - Check Amber Line/s",
IF(AND(G45=0,H45&gt;0),"**Non-Valid Entry/ies below - Check Yellow Line/s",
IF(AND(G45&gt;0,H45&gt;0),"**Valid and Non-Valid Entries made below - Check Yellow Line/s",
IF(AND(E45=FALSE,F45&lt;3),"Not all requirements addressed below - Check Pink Line/s",
IF(AND(E45=FALSE,G45&lt;3,G45&gt;0,H45=0),"More entries to come",
IF(AND(E45,TRUE,G45=3,H45=0),"Valid Entries made below",
IF(AND(E45=FALSE,G45=3,H45=0),"Valid Entries need to be made below"
))))))))))</f>
        <v>Nothing Required below</v>
      </c>
      <c r="J45" s="2468">
        <f>COUNTIFS(E46:E48,TRUE,J46:J48,"Not Blank")</f>
        <v>0</v>
      </c>
      <c r="K45" s="2468">
        <f>COUNTIFS(E46:E48,FALSE,J46:J48,"Not Blank")</f>
        <v>0</v>
      </c>
      <c r="L45" s="2467" t="str">
        <f xml:space="preserve">
IF(AND(E45=TRUE,J45&gt;9,K45=0),"**Too many Options used - check Red Boxes",
IF(J45&lt;F45,"Valid Entry required below - Check Amber Line/s",
IF(AND(E45=FALSE,J45=0,K45=0),"Nothing Entered below Yet",
IF(AND(E45="NA",J45=0,K45=0),"Nothing Required below",
IF(AND(J45=0,K45&gt;0),"**Non-Valid Entry/ies below - Check Yellow Line/s",
IF(AND(J45&gt;0,K45&gt;0),"**Valid and Non-Valid Entries made below - Check Yellow Line/s",
IF(AND(E45=FALSE,J45&lt;3),"Not all requirements addressed below - Check Pink Line/s",
IF(AND(E45=FALSE,J45&lt;3,J45&gt;0,K45=0),"More entries to come",
IF(AND(E45,TRUE,J45=3,K45=0),"Valid Entries made below"
)))))))))</f>
        <v>Nothing Required below</v>
      </c>
      <c r="M45" s="2176"/>
      <c r="N45" s="4457" t="s">
        <v>3</v>
      </c>
      <c r="O45" s="4491" t="b">
        <f>IF(OR(N45="Compliant",N45="FE with work-a-round",N45="Functionally Equivalent"),TRUE,FALSE)</f>
        <v>0</v>
      </c>
      <c r="P45" s="2176"/>
      <c r="Q45" s="2343" t="s">
        <v>565</v>
      </c>
      <c r="R45" s="814" t="b">
        <f>IF(AND(R46=TRUE,R47=TRUE,R48=TRUE),TRUE,FALSE)</f>
        <v>0</v>
      </c>
      <c r="S45" s="111"/>
      <c r="T45" s="111"/>
      <c r="U45" s="120"/>
      <c r="V45" s="4474" t="s">
        <v>3</v>
      </c>
      <c r="W45" s="4435" t="b">
        <f>IF(OR(V45="Compliant",V45="FE with work-a-round",V45="Functionally Equivalent",V45="Not Required/Applicable"),TRUE,FALSE)</f>
        <v>0</v>
      </c>
      <c r="X45" s="111"/>
      <c r="Y45" s="111"/>
      <c r="Z45" s="120"/>
      <c r="AA45" s="65"/>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40"/>
    </row>
    <row r="46" spans="1:84" s="27" customFormat="1" ht="31" x14ac:dyDescent="0.3">
      <c r="A46" s="37"/>
      <c r="B46" s="1504"/>
      <c r="C46" s="2456" t="s">
        <v>1026</v>
      </c>
      <c r="D46" s="2096" t="s">
        <v>3</v>
      </c>
      <c r="E46" s="838" t="b">
        <f>IF(D46="Compliant",TRUE,FALSE)</f>
        <v>0</v>
      </c>
      <c r="F46" s="390"/>
      <c r="G46" s="1567" t="str">
        <f>IF(I46&lt;&gt;"", "Not Blank", "")</f>
        <v/>
      </c>
      <c r="H46" s="1567"/>
      <c r="I46" s="1420"/>
      <c r="J46" s="391" t="str">
        <f>IF(L46&lt;&gt;"", "Not Blank", "")</f>
        <v/>
      </c>
      <c r="K46" s="391"/>
      <c r="L46" s="42"/>
      <c r="M46" s="128"/>
      <c r="N46" s="4415"/>
      <c r="O46" s="4492"/>
      <c r="P46" s="128"/>
      <c r="Q46" s="1142" t="s">
        <v>3</v>
      </c>
      <c r="R46" s="1444" t="b">
        <f>IF(OR(Q46="Compliant",Q46="FE with work-a-round",Q46="Functionally Equivalent"),TRUE,FALSE)</f>
        <v>0</v>
      </c>
      <c r="S46" s="42"/>
      <c r="T46" s="42"/>
      <c r="U46" s="128"/>
      <c r="V46" s="4475"/>
      <c r="W46" s="4435"/>
      <c r="X46" s="44"/>
      <c r="Y46" s="44"/>
      <c r="Z46" s="122"/>
      <c r="AA46" s="65"/>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40"/>
    </row>
    <row r="47" spans="1:84" s="27" customFormat="1" ht="46.5" x14ac:dyDescent="0.3">
      <c r="A47" s="37"/>
      <c r="B47" s="1504"/>
      <c r="C47" s="2106" t="s">
        <v>1025</v>
      </c>
      <c r="D47" s="699" t="s">
        <v>3</v>
      </c>
      <c r="E47" s="594" t="b">
        <f>IF(D47="Compliant",TRUE,FALSE)</f>
        <v>0</v>
      </c>
      <c r="F47" s="361"/>
      <c r="G47" s="1403" t="str">
        <f>IF(I47&lt;&gt;"", "Not Blank", "")</f>
        <v/>
      </c>
      <c r="H47" s="1403"/>
      <c r="I47" s="1443"/>
      <c r="J47" s="216" t="str">
        <f>IF(L47&lt;&gt;"", "Not Blank", "")</f>
        <v/>
      </c>
      <c r="K47" s="216"/>
      <c r="L47" s="44"/>
      <c r="M47" s="122"/>
      <c r="N47" s="4415"/>
      <c r="O47" s="4492"/>
      <c r="P47" s="122"/>
      <c r="Q47" s="847" t="s">
        <v>3</v>
      </c>
      <c r="R47" s="737" t="b">
        <f>IF(OR(Q47="Compliant",Q47="FE with work-a-round",Q47="Functionally Equivalent"),TRUE,FALSE)</f>
        <v>0</v>
      </c>
      <c r="S47" s="44"/>
      <c r="T47" s="44"/>
      <c r="U47" s="122"/>
      <c r="V47" s="4475"/>
      <c r="W47" s="4435"/>
      <c r="X47" s="44"/>
      <c r="Y47" s="44"/>
      <c r="Z47" s="122"/>
      <c r="AA47" s="65"/>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40"/>
    </row>
    <row r="48" spans="1:84" s="27" customFormat="1" ht="93.5" thickBot="1" x14ac:dyDescent="0.35">
      <c r="A48" s="39"/>
      <c r="B48" s="1508"/>
      <c r="C48" s="2107" t="s">
        <v>1024</v>
      </c>
      <c r="D48" s="1038" t="s">
        <v>3</v>
      </c>
      <c r="E48" s="208" t="b">
        <f>IF(D48="Compliant",TRUE,FALSE)</f>
        <v>0</v>
      </c>
      <c r="F48" s="387"/>
      <c r="G48" s="1441" t="str">
        <f>IF(I48&lt;&gt;"", "Not Blank", "")</f>
        <v/>
      </c>
      <c r="H48" s="1441"/>
      <c r="I48" s="1442"/>
      <c r="J48" s="403" t="str">
        <f>IF(L48&lt;&gt;"", "Not Blank", "")</f>
        <v/>
      </c>
      <c r="K48" s="403"/>
      <c r="L48" s="79"/>
      <c r="M48" s="127"/>
      <c r="N48" s="4490"/>
      <c r="O48" s="4493"/>
      <c r="P48" s="127"/>
      <c r="Q48" s="848" t="s">
        <v>3</v>
      </c>
      <c r="R48" s="738" t="b">
        <f>IF(OR(Q48="Compliant",Q48="FE with work-a-round",Q48="Functionally Equivalent"),TRUE,FALSE)</f>
        <v>0</v>
      </c>
      <c r="S48" s="124"/>
      <c r="T48" s="124"/>
      <c r="U48" s="125"/>
      <c r="V48" s="4476"/>
      <c r="W48" s="4435"/>
      <c r="X48" s="79"/>
      <c r="Y48" s="79"/>
      <c r="Z48" s="127"/>
      <c r="AA48" s="65"/>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40"/>
    </row>
    <row r="49" spans="1:84" s="27" customFormat="1" ht="58.5" thickTop="1" x14ac:dyDescent="0.3">
      <c r="A49" s="1445" t="s">
        <v>377</v>
      </c>
      <c r="B49" s="1495" t="s">
        <v>1031</v>
      </c>
      <c r="C49" s="2457" t="s">
        <v>1027</v>
      </c>
      <c r="D49" s="2149" t="s">
        <v>565</v>
      </c>
      <c r="E49" s="2460" t="str">
        <f>IF(E44=FALSE,"NA",IF(AND(E50=TRUE,E51=TRUE,E52=TRUE,E53=TRUE),TRUE,FALSE))</f>
        <v>NA</v>
      </c>
      <c r="F49" s="2461">
        <f>COUNTIF(E50:E53,TRUE)</f>
        <v>0</v>
      </c>
      <c r="G49" s="2461">
        <f>COUNTIFS(E50:E53,TRUE,G50:G53,"Not Blank")</f>
        <v>0</v>
      </c>
      <c r="H49" s="2461">
        <f>COUNTIFS(E50:E53,FALSE,G50:G53,"Not Blank")</f>
        <v>0</v>
      </c>
      <c r="I49" s="2467" t="str">
        <f xml:space="preserve">
IF(G49&lt;F49,"Valid Entry required below - Check Amber Line/s",
IF(AND(E49=FALSE,G49=0,H49=0),"Nothing Entered below Yet",
IF(AND(E49="NA",G49=0,H49=0),"Nothing Required below",
IF(G49&lt;F49,"Valid Entry required below - Check Amber Line/s",
IF(AND(G49=0,H49&gt;0),"**Non-Valid Entry/ies below - Check Yellow Line/s",
IF(AND(G49&gt;0,H49&gt;0),"**Valid and Non-Valid Entries made below - Check Yellow Line/s",
IF(AND(E49=FALSE,F49&lt;4),"Not all requirements addressed below - Check Pink Line/s",
IF(AND(E49=FALSE,G49&lt;4,G49&gt;0,H49=0),"More entries to come",
IF(AND(E49,TRUE,G49=4,H49=0),"Valid Entries made below",
IF(AND(E49=FALSE,G49=4,H49=0),"Valid Entries need to be made below"
))))))))))</f>
        <v>Nothing Required below</v>
      </c>
      <c r="J49" s="2468">
        <f>COUNTIFS(E50:E53,TRUE,J50:J53,"Not Blank")</f>
        <v>0</v>
      </c>
      <c r="K49" s="2468">
        <f>COUNTIFS(E50:E53,FALSE,J50:J53,"Not Blank")</f>
        <v>0</v>
      </c>
      <c r="L49" s="2467" t="str">
        <f xml:space="preserve">
IF(AND(E49=TRUE,J49&gt;9,K49=0),"**Too many Options used - check Red Boxes",
IF(J49&lt;F49,"Valid Entry required below - Check Amber Line/s",
IF(AND(E49=FALSE,J49=0,K49=0),"Nothing Entered below Yet",
IF(AND(E49="NA",J49=0,K49=0),"Nothing Required below",
IF(AND(J49=0,K49&gt;0),"**Non-Valid Entry/ies below - Check Yellow Line/s",
IF(AND(J49&gt;0,K49&gt;0),"**Valid and Non-Valid Entries made below - Check Yellow Line/s",
IF(AND(E49=FALSE,J49&lt;4),"Not all requirements addressed below - Check Pink Line/s",
IF(AND(E49=FALSE,J49&lt;4,J49&gt;0,K49=0),"More entries to come",
IF(AND(E49,TRUE,J49=4,K49=0),"Valid Entries made below"
)))))))))</f>
        <v>Nothing Required below</v>
      </c>
      <c r="M49" s="120"/>
      <c r="N49" s="4457" t="s">
        <v>3</v>
      </c>
      <c r="O49" s="4491" t="b">
        <f>IF(OR(N49="Compliant",N49="FE with work-a-round",N49="Functionally Equivalent"),TRUE,FALSE)</f>
        <v>0</v>
      </c>
      <c r="P49" s="2176"/>
      <c r="Q49" s="2343" t="s">
        <v>565</v>
      </c>
      <c r="R49" s="814" t="b">
        <f>IF(AND(R50=TRUE,R51=TRUE,R52=TRUE,R53=TRUE),TRUE,FALSE)</f>
        <v>0</v>
      </c>
      <c r="S49" s="111"/>
      <c r="T49" s="111"/>
      <c r="U49" s="120"/>
      <c r="V49" s="4474" t="s">
        <v>3</v>
      </c>
      <c r="W49" s="4435" t="b">
        <f>IF(OR(V49="Compliant",V49="FE with work-a-round",V49="Functionally Equivalent",V49="Not Required/Applicable"),TRUE,FALSE)</f>
        <v>0</v>
      </c>
      <c r="X49" s="111"/>
      <c r="Y49" s="111"/>
      <c r="Z49" s="120"/>
      <c r="AA49" s="65"/>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40"/>
    </row>
    <row r="50" spans="1:84" s="27" customFormat="1" ht="93" x14ac:dyDescent="0.3">
      <c r="A50" s="37"/>
      <c r="B50" s="1504"/>
      <c r="C50" s="2456" t="s">
        <v>1033</v>
      </c>
      <c r="D50" s="2096" t="s">
        <v>3</v>
      </c>
      <c r="E50" s="838" t="b">
        <f>IF(D50="Compliant",TRUE,FALSE)</f>
        <v>0</v>
      </c>
      <c r="F50" s="390"/>
      <c r="G50" s="1567" t="str">
        <f>IF(I50&lt;&gt;"", "Not Blank", "")</f>
        <v/>
      </c>
      <c r="H50" s="1567"/>
      <c r="I50" s="1420"/>
      <c r="J50" s="391" t="str">
        <f>IF(L50&lt;&gt;"", "Not Blank", "")</f>
        <v/>
      </c>
      <c r="K50" s="391"/>
      <c r="L50" s="42"/>
      <c r="M50" s="122"/>
      <c r="N50" s="4415"/>
      <c r="O50" s="4492"/>
      <c r="P50" s="128"/>
      <c r="Q50" s="1142" t="s">
        <v>3</v>
      </c>
      <c r="R50" s="1444" t="b">
        <f>IF(OR(Q50="Compliant",Q50="FE with work-a-round",Q50="Functionally Equivalent"),TRUE,FALSE)</f>
        <v>0</v>
      </c>
      <c r="S50" s="42"/>
      <c r="T50" s="42"/>
      <c r="U50" s="128"/>
      <c r="V50" s="4475"/>
      <c r="W50" s="4435"/>
      <c r="X50" s="44"/>
      <c r="Y50" s="44"/>
      <c r="Z50" s="122"/>
      <c r="AA50" s="65"/>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40"/>
    </row>
    <row r="51" spans="1:84" s="27" customFormat="1" ht="46.5" x14ac:dyDescent="0.3">
      <c r="A51" s="37"/>
      <c r="B51" s="1504"/>
      <c r="C51" s="2106" t="s">
        <v>1028</v>
      </c>
      <c r="D51" s="699" t="s">
        <v>3</v>
      </c>
      <c r="E51" s="594" t="b">
        <f>IF(D51="Compliant",TRUE,FALSE)</f>
        <v>0</v>
      </c>
      <c r="F51" s="361"/>
      <c r="G51" s="1403" t="str">
        <f>IF(I51&lt;&gt;"", "Not Blank", "")</f>
        <v/>
      </c>
      <c r="H51" s="1403"/>
      <c r="I51" s="1443"/>
      <c r="J51" s="216" t="str">
        <f>IF(L51&lt;&gt;"", "Not Blank", "")</f>
        <v/>
      </c>
      <c r="K51" s="216"/>
      <c r="L51" s="44"/>
      <c r="M51" s="122"/>
      <c r="N51" s="4415"/>
      <c r="O51" s="4492"/>
      <c r="P51" s="122"/>
      <c r="Q51" s="847" t="s">
        <v>3</v>
      </c>
      <c r="R51" s="737" t="b">
        <f>IF(OR(Q51="Compliant",Q51="FE with work-a-round",Q51="Functionally Equivalent"),TRUE,FALSE)</f>
        <v>0</v>
      </c>
      <c r="S51" s="44"/>
      <c r="T51" s="44"/>
      <c r="U51" s="122"/>
      <c r="V51" s="4475"/>
      <c r="W51" s="4435"/>
      <c r="X51" s="44"/>
      <c r="Y51" s="44"/>
      <c r="Z51" s="122"/>
      <c r="AA51" s="65"/>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40"/>
    </row>
    <row r="52" spans="1:84" s="27" customFormat="1" ht="108.5" x14ac:dyDescent="0.3">
      <c r="A52" s="37"/>
      <c r="B52" s="1504"/>
      <c r="C52" s="2106" t="s">
        <v>1029</v>
      </c>
      <c r="D52" s="699" t="s">
        <v>3</v>
      </c>
      <c r="E52" s="594" t="b">
        <f>IF(D52="Compliant",TRUE,FALSE)</f>
        <v>0</v>
      </c>
      <c r="F52" s="361"/>
      <c r="G52" s="1403" t="str">
        <f>IF(I52&lt;&gt;"", "Not Blank", "")</f>
        <v/>
      </c>
      <c r="H52" s="1403"/>
      <c r="I52" s="1443"/>
      <c r="J52" s="216" t="str">
        <f>IF(L52&lt;&gt;"", "Not Blank", "")</f>
        <v/>
      </c>
      <c r="K52" s="216"/>
      <c r="L52" s="44"/>
      <c r="M52" s="122"/>
      <c r="N52" s="4415"/>
      <c r="O52" s="4492"/>
      <c r="P52" s="122"/>
      <c r="Q52" s="847" t="s">
        <v>3</v>
      </c>
      <c r="R52" s="737" t="b">
        <f>IF(OR(Q52="Compliant",Q52="FE with work-a-round",Q52="Functionally Equivalent"),TRUE,FALSE)</f>
        <v>0</v>
      </c>
      <c r="S52" s="44"/>
      <c r="T52" s="44"/>
      <c r="U52" s="122"/>
      <c r="V52" s="4475"/>
      <c r="W52" s="4435"/>
      <c r="X52" s="44"/>
      <c r="Y52" s="44"/>
      <c r="Z52" s="122"/>
      <c r="AA52" s="65"/>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40"/>
    </row>
    <row r="53" spans="1:84" s="27" customFormat="1" ht="31.5" thickBot="1" x14ac:dyDescent="0.35">
      <c r="A53" s="37"/>
      <c r="B53" s="1505"/>
      <c r="C53" s="2108" t="s">
        <v>1030</v>
      </c>
      <c r="D53" s="700" t="s">
        <v>3</v>
      </c>
      <c r="E53" s="595" t="b">
        <f>IF(D53="Compliant",TRUE,FALSE)</f>
        <v>0</v>
      </c>
      <c r="F53" s="258"/>
      <c r="G53" s="1446" t="str">
        <f>IF(I53&lt;&gt;"", "Not Blank", "")</f>
        <v/>
      </c>
      <c r="H53" s="1446"/>
      <c r="I53" s="1423"/>
      <c r="J53" s="218" t="str">
        <f>IF(L53&lt;&gt;"", "Not Blank", "")</f>
        <v/>
      </c>
      <c r="K53" s="218"/>
      <c r="L53" s="124"/>
      <c r="M53" s="125"/>
      <c r="N53" s="4416"/>
      <c r="O53" s="4493"/>
      <c r="P53" s="125"/>
      <c r="Q53" s="848" t="s">
        <v>3</v>
      </c>
      <c r="R53" s="738" t="b">
        <f>IF(OR(Q53="Compliant",Q53="FE with work-a-round",Q53="Functionally Equivalent"),TRUE,FALSE)</f>
        <v>0</v>
      </c>
      <c r="S53" s="124"/>
      <c r="T53" s="124"/>
      <c r="U53" s="125"/>
      <c r="V53" s="4476"/>
      <c r="W53" s="4470"/>
      <c r="X53" s="124"/>
      <c r="Y53" s="124"/>
      <c r="Z53" s="125"/>
      <c r="AA53" s="65"/>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40"/>
    </row>
    <row r="54" spans="1:84" s="3634" customFormat="1" ht="15" thickTop="1" x14ac:dyDescent="0.3">
      <c r="E54" s="3636"/>
      <c r="F54" s="3636"/>
      <c r="G54" s="3663"/>
      <c r="H54" s="3663"/>
      <c r="I54" s="3694"/>
      <c r="J54" s="3643"/>
      <c r="K54" s="3643"/>
      <c r="N54" s="3636"/>
      <c r="O54" s="3636"/>
      <c r="V54" s="3639"/>
      <c r="W54" s="3639"/>
    </row>
    <row r="55" spans="1:84" s="3640" customFormat="1" ht="18.5" x14ac:dyDescent="0.3">
      <c r="A55" s="4482" t="s">
        <v>1137</v>
      </c>
      <c r="B55" s="4483"/>
      <c r="C55" s="4483"/>
      <c r="D55" s="4483"/>
      <c r="E55" s="4483"/>
      <c r="F55" s="4483"/>
      <c r="G55" s="4483"/>
      <c r="H55" s="4483"/>
      <c r="I55" s="4483"/>
      <c r="J55" s="4483"/>
      <c r="K55" s="4483"/>
      <c r="L55" s="4483"/>
      <c r="M55" s="4483"/>
      <c r="N55" s="4483"/>
      <c r="O55" s="3669"/>
      <c r="P55" s="3670"/>
      <c r="Q55" s="3670"/>
      <c r="R55" s="3670"/>
      <c r="S55" s="3671"/>
      <c r="T55" s="3672"/>
      <c r="U55" s="3672"/>
      <c r="V55" s="3673"/>
      <c r="W55" s="3673"/>
      <c r="X55" s="3674"/>
      <c r="Y55" s="3675"/>
      <c r="Z55" s="3676"/>
    </row>
    <row r="56" spans="1:84" s="3640" customFormat="1" ht="15" thickBot="1" x14ac:dyDescent="0.35">
      <c r="A56" s="3636"/>
      <c r="B56" s="3637"/>
      <c r="C56" s="3634"/>
      <c r="D56" s="3634"/>
      <c r="E56" s="3636"/>
      <c r="F56" s="3636"/>
      <c r="G56" s="3636"/>
      <c r="H56" s="3636"/>
      <c r="I56" s="3634"/>
      <c r="J56" s="3643"/>
      <c r="K56" s="3643"/>
      <c r="L56" s="3634"/>
      <c r="M56" s="3634"/>
      <c r="N56" s="3637"/>
      <c r="O56" s="3637"/>
      <c r="P56" s="3642"/>
      <c r="Q56" s="3642"/>
      <c r="R56" s="3642"/>
      <c r="S56" s="3642"/>
      <c r="T56" s="3642"/>
      <c r="U56" s="3642"/>
      <c r="V56" s="3660"/>
      <c r="W56" s="3660"/>
      <c r="X56" s="3660"/>
      <c r="Y56" s="3660"/>
      <c r="Z56" s="3660"/>
    </row>
    <row r="57" spans="1:84" s="310" customFormat="1" ht="32.15" customHeight="1" thickTop="1" thickBot="1" x14ac:dyDescent="0.35">
      <c r="A57" s="204">
        <v>11</v>
      </c>
      <c r="B57" s="1509" t="s">
        <v>474</v>
      </c>
      <c r="C57" s="2464" t="s">
        <v>670</v>
      </c>
      <c r="D57" s="2207" t="s">
        <v>1588</v>
      </c>
      <c r="E57" s="2469" t="b">
        <f>IF(AND(E58=TRUE,E59=TRUE,E63=TRUE),TRUE,FALSE)</f>
        <v>0</v>
      </c>
      <c r="F57" s="2282">
        <f>COUNTIF(E58:E60,TRUE)+COUNTIF(E62:E63,TRUE)</f>
        <v>0</v>
      </c>
      <c r="G57" s="2282">
        <f>COUNTIFS(E58:E60,TRUE,G58:G60,"Not Blank")+COUNTIFS(E62:E63,TRUE,G62:G63,"Not Blank")</f>
        <v>0</v>
      </c>
      <c r="H57" s="2282">
        <f>COUNTIFS(E58:E63,FALSE,G58:G63,"Not Blank")</f>
        <v>0</v>
      </c>
      <c r="I57" s="2470" t="str">
        <f xml:space="preserve">
IF(G57&lt;F57,"Valid Entry required below - Check Amber Line/s",
IF(AND(E57=FALSE,G57=0,H57=0),"Nothing Entered below Yet",
IF(G57&lt;F57,"Valid Entry required below - Check Amber Line/s",
IF(AND(G57=0,H57&gt;0),"**Non-Valid Entry/ies below - Check Yellow Line/s",
IF(AND(G57&gt;0,H57&gt;0),"**Valid and Non-Valid Entries made below - Check Yellow Line/s",
IF(AND(E57=FALSE,F57&lt;5),"Not all requirements addressed below - Check Pink Line/s",
IF(AND(E57=FALSE,G57&lt;5,G57&gt;0,H57=0),"More entries to come",
IF(AND(E57,TRUE,G57=5,H57=0),"Valid Entries made below",
IF(AND(E57=FALSE,G57=5,H57=0),"Valid Entries need to be made below"
)))))))))</f>
        <v>Nothing Entered below Yet</v>
      </c>
      <c r="J57" s="2471">
        <f>COUNTIFS(E58:E63,TRUE,J58:J63,"Not Blank")</f>
        <v>0</v>
      </c>
      <c r="K57" s="2471">
        <f>COUNTIFS(E58:E63,FALSE,J58:J63,"Not Blank")</f>
        <v>0</v>
      </c>
      <c r="L57" s="2470" t="str">
        <f xml:space="preserve">
IF(AND(E57=TRUE,J57&gt;5,K57=0),"**Too many Options used - check Red Boxes",
IF(J57&lt;F57,"Valid Entry required below - Check Amber Line/s",
IF(AND(E57=FALSE,J57=0,K57=0),"Nothing Entered below Yet",
IF(AND(J57=0,K57&gt;0),"**Non-Valid Entry/ies below - Check Yellow Line/s",
IF(AND(J57&gt;0,K57&gt;0),"**Valid and Non-Valid Entries made below - Check Yellow Line/s",
IF(AND(E57=FALSE,J57&lt;5),"Not all requirements addressed below - Check Pink Line/s",
IF(AND(E57=FALSE,J57&lt;5,J57&gt;0,K57=0),"More entries to come",
IF(AND(E57,TRUE,J57=5,K57=0),"Valid Entries made below"
))))))))</f>
        <v>Nothing Entered below Yet</v>
      </c>
      <c r="M57" s="2472"/>
      <c r="N57" s="4414" t="s">
        <v>3</v>
      </c>
      <c r="O57" s="4487" t="b">
        <f>IF(OR(N57="Compliant",N57="FE with work-a-round",N57="Functionally Equivalent"),TRUE,FALSE)</f>
        <v>0</v>
      </c>
      <c r="P57" s="2176"/>
      <c r="Q57" s="2473" t="s">
        <v>565</v>
      </c>
      <c r="R57" s="810" t="b">
        <f>IF(AND(R58=TRUE,R59=TRUE,R60=TRUE),TRUE,FALSE)</f>
        <v>0</v>
      </c>
      <c r="S57" s="842"/>
      <c r="T57" s="842"/>
      <c r="U57" s="807"/>
      <c r="V57" s="4414" t="s">
        <v>3</v>
      </c>
      <c r="W57" s="4469" t="b">
        <f>IF(OR(V57="Compliant",V57="FE with work-a-round",V57="Functionally Equivalent",V57="Not Required/Applicable"),TRUE,FALSE)</f>
        <v>0</v>
      </c>
      <c r="X57" s="418"/>
      <c r="Y57" s="418"/>
      <c r="Z57" s="809"/>
      <c r="AA57" s="308"/>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309"/>
    </row>
    <row r="58" spans="1:84" s="27" customFormat="1" ht="59.5" thickTop="1" x14ac:dyDescent="0.3">
      <c r="A58" s="28" t="s">
        <v>363</v>
      </c>
      <c r="B58" s="1504"/>
      <c r="C58" s="2456" t="s">
        <v>1049</v>
      </c>
      <c r="D58" s="2096" t="s">
        <v>3</v>
      </c>
      <c r="E58" s="838" t="b">
        <f t="shared" ref="E58:E63" si="4">IF(D58="Compliant",TRUE,FALSE)</f>
        <v>0</v>
      </c>
      <c r="F58" s="390"/>
      <c r="G58" s="1567" t="str">
        <f>IF(I58&lt;&gt;"", "Not Blank", "")</f>
        <v/>
      </c>
      <c r="H58" s="1567"/>
      <c r="I58" s="1420"/>
      <c r="J58" s="391" t="str">
        <f>IF(L58&lt;&gt;"", "Not Blank", "")</f>
        <v/>
      </c>
      <c r="K58" s="391"/>
      <c r="L58" s="42"/>
      <c r="M58" s="128"/>
      <c r="N58" s="4415"/>
      <c r="O58" s="4488"/>
      <c r="P58" s="128"/>
      <c r="Q58" s="771" t="s">
        <v>3</v>
      </c>
      <c r="R58" s="773" t="b">
        <f>IF(OR(Q58="Compliant",Q58="FE with work-a-round",Q58="Functionally Equivalent"),TRUE,FALSE)</f>
        <v>0</v>
      </c>
      <c r="S58" s="111"/>
      <c r="T58" s="111"/>
      <c r="U58" s="120"/>
      <c r="V58" s="4444"/>
      <c r="W58" s="4435"/>
      <c r="X58" s="111"/>
      <c r="Y58" s="111"/>
      <c r="Z58" s="120"/>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27" customFormat="1" ht="124" x14ac:dyDescent="0.3">
      <c r="A59" s="28">
        <v>14</v>
      </c>
      <c r="B59" s="1504"/>
      <c r="C59" s="2106" t="s">
        <v>1048</v>
      </c>
      <c r="D59" s="699" t="s">
        <v>3</v>
      </c>
      <c r="E59" s="594" t="b">
        <f t="shared" si="4"/>
        <v>0</v>
      </c>
      <c r="F59" s="361"/>
      <c r="G59" s="1403" t="str">
        <f>IF(I59&lt;&gt;"", "Not Blank", "")</f>
        <v/>
      </c>
      <c r="H59" s="1403"/>
      <c r="I59" s="1443"/>
      <c r="J59" s="216" t="str">
        <f>IF(L59&lt;&gt;"", "Not Blank", "")</f>
        <v/>
      </c>
      <c r="K59" s="216"/>
      <c r="L59" s="44"/>
      <c r="M59" s="122"/>
      <c r="N59" s="4415"/>
      <c r="O59" s="4488"/>
      <c r="P59" s="122"/>
      <c r="Q59" s="768" t="s">
        <v>3</v>
      </c>
      <c r="R59" s="732" t="b">
        <f>IF(OR(Q59="Compliant",Q59="FE with work-a-round",Q59="Functionally Equivalent"),TRUE,FALSE)</f>
        <v>0</v>
      </c>
      <c r="S59" s="44"/>
      <c r="T59" s="44"/>
      <c r="U59" s="122"/>
      <c r="V59" s="4444"/>
      <c r="W59" s="4435"/>
      <c r="X59" s="44"/>
      <c r="Y59" s="44"/>
      <c r="Z59" s="122"/>
      <c r="AA59" s="65"/>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40"/>
    </row>
    <row r="60" spans="1:84" s="27" customFormat="1" ht="73" thickBot="1" x14ac:dyDescent="0.35">
      <c r="A60" s="1419" t="s">
        <v>1053</v>
      </c>
      <c r="B60" s="1505"/>
      <c r="C60" s="2108" t="s">
        <v>1052</v>
      </c>
      <c r="D60" s="700" t="s">
        <v>3</v>
      </c>
      <c r="E60" s="595" t="b">
        <f t="shared" si="4"/>
        <v>0</v>
      </c>
      <c r="F60" s="258"/>
      <c r="G60" s="1446" t="str">
        <f>IF(I60&lt;&gt;"", "Not Blank", "")</f>
        <v/>
      </c>
      <c r="H60" s="1446"/>
      <c r="I60" s="1423"/>
      <c r="J60" s="218" t="str">
        <f>IF(L60&lt;&gt;"", "Not Blank", "")</f>
        <v/>
      </c>
      <c r="K60" s="218"/>
      <c r="L60" s="124"/>
      <c r="M60" s="125"/>
      <c r="N60" s="4415"/>
      <c r="O60" s="4488"/>
      <c r="P60" s="125"/>
      <c r="Q60" s="769" t="s">
        <v>3</v>
      </c>
      <c r="R60" s="1248" t="b">
        <f>IF(OR(Q60="Compliant",Q60="FE with work-a-round",Q60="Functionally Equivalent"),TRUE,FALSE)</f>
        <v>0</v>
      </c>
      <c r="S60" s="79"/>
      <c r="T60" s="79"/>
      <c r="U60" s="127"/>
      <c r="V60" s="4444"/>
      <c r="W60" s="4435"/>
      <c r="X60" s="79"/>
      <c r="Y60" s="79"/>
      <c r="Z60" s="127"/>
      <c r="AA60" s="65"/>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40"/>
    </row>
    <row r="61" spans="1:84" s="27" customFormat="1" ht="29.5" thickTop="1" x14ac:dyDescent="0.3">
      <c r="A61" s="1419" t="s">
        <v>1053</v>
      </c>
      <c r="B61" s="1495" t="s">
        <v>1744</v>
      </c>
      <c r="C61" s="2464" t="s">
        <v>1215</v>
      </c>
      <c r="D61" s="2149" t="s">
        <v>565</v>
      </c>
      <c r="E61" s="2460" t="b">
        <f>IF(AND(E62=TRUE,E63=TRUE),TRUE,FALSE)</f>
        <v>0</v>
      </c>
      <c r="F61" s="2461">
        <f>COUNTIF(E62:E63,TRUE)</f>
        <v>0</v>
      </c>
      <c r="G61" s="2461">
        <f>COUNTIFS(E62:E63,TRUE,G62:G63,"Not Blank")</f>
        <v>0</v>
      </c>
      <c r="H61" s="2461">
        <f>COUNTIFS(E62:E63,FALSE,G62:G63,"Not Blank")</f>
        <v>0</v>
      </c>
      <c r="I61" s="2467" t="str">
        <f xml:space="preserve">
IF(G61&lt;F61,"Valid Entry required below - Check Amber Line/s",
IF(AND(E61=FALSE,G61=0,H61=0),"Nothing Entered below Yet",
IF(G61&lt;F61,"Valid Entry required below - Check Amber Line/s",
IF(AND(G61=0,H61&gt;0),"**Non-Valid Entry/ies below - Check Yellow Line/s",
IF(AND(G61&gt;0,H61&gt;0),"**Valid and Non-Valid Entries made below - Check Yellow Line/s",
IF(AND(E61=FALSE,F61&lt;2),"Not all requirements addressed below - Check Pink Line/s",
IF(AND(E61=FALSE,G61&lt;2,G61&gt;0,H61=0),"More entries to come",
IF(AND(E61,TRUE,G61=2,H61=0),"Valid Entries made below",
IF(AND(E61=FALSE,G61=2,H61=0),"Valid Entries need to be made below"
)))))))))</f>
        <v>Nothing Entered below Yet</v>
      </c>
      <c r="J61" s="2468">
        <f>COUNTIFS(E62:E63,TRUE,J62:J63,"Not Blank")</f>
        <v>0</v>
      </c>
      <c r="K61" s="2468">
        <f>COUNTIFS(E62:E63,FALSE,J62:J63,"Not Blank")</f>
        <v>0</v>
      </c>
      <c r="L61" s="2467" t="str">
        <f xml:space="preserve">
IF(AND(E61=TRUE,J61&gt;2,K61=0),"**Too many Options used - check Red Boxes",
IF(J61&lt;F61,"Valid Entry required below - Check Amber Line/s",
IF(AND(E61=FALSE,J61=0,K61=0),"Nothing Entered below Yet",
IF(AND(J61=0,K61&gt;0),"**Non-Valid Entry/ies below - Check Yellow Line/s",
IF(AND(J61&gt;0,K61&gt;0),"**Valid and Non-Valid Entries made below - Check Yellow Line/s",
IF(AND(E61=FALSE,J61&lt;2),"Not all requirements addressed below - Check Pink Line/s",
IF(AND(E61=FALSE,J61&lt;2,J61&gt;0,K61=0),"More entries to come",
IF(AND(E61,TRUE,J61=2,K61=0),"Valid Entries made below"
))))))))</f>
        <v>Nothing Entered below Yet</v>
      </c>
      <c r="M61" s="2176"/>
      <c r="N61" s="4415"/>
      <c r="O61" s="4488"/>
      <c r="P61" s="2176"/>
      <c r="Q61" s="2343" t="s">
        <v>565</v>
      </c>
      <c r="R61" s="138" t="b">
        <f>IF(AND(R62=TRUE,R63=TRUE,R9=TRUE),TRUE,FALSE)</f>
        <v>0</v>
      </c>
      <c r="S61" s="111"/>
      <c r="T61" s="111"/>
      <c r="U61" s="120"/>
      <c r="V61" s="4415"/>
      <c r="W61" s="4435"/>
      <c r="X61" s="111"/>
      <c r="Y61" s="111"/>
      <c r="Z61" s="120"/>
      <c r="AA61" s="65"/>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40"/>
    </row>
    <row r="62" spans="1:84" s="27" customFormat="1" ht="124" x14ac:dyDescent="0.3">
      <c r="A62" s="1419"/>
      <c r="B62" s="1504"/>
      <c r="C62" s="2456" t="s">
        <v>1829</v>
      </c>
      <c r="D62" s="2096" t="s">
        <v>3</v>
      </c>
      <c r="E62" s="838" t="b">
        <f t="shared" si="4"/>
        <v>0</v>
      </c>
      <c r="F62" s="390"/>
      <c r="G62" s="1567" t="str">
        <f>IF(I62&lt;&gt;"", "Not Blank", "")</f>
        <v/>
      </c>
      <c r="H62" s="1567"/>
      <c r="I62" s="1420"/>
      <c r="J62" s="391" t="str">
        <f>IF(L62&lt;&gt;"", "Not Blank", "")</f>
        <v/>
      </c>
      <c r="K62" s="391"/>
      <c r="L62" s="42"/>
      <c r="M62" s="128"/>
      <c r="N62" s="4415"/>
      <c r="O62" s="4488"/>
      <c r="P62" s="128"/>
      <c r="Q62" s="1142" t="s">
        <v>3</v>
      </c>
      <c r="R62" s="1444" t="b">
        <f>IF(OR(Q62="Compliant",Q62="FE with work-a-round",Q62="Functionally Equivalent"),TRUE,FALSE)</f>
        <v>0</v>
      </c>
      <c r="S62" s="42"/>
      <c r="T62" s="42"/>
      <c r="U62" s="128"/>
      <c r="V62" s="4444"/>
      <c r="W62" s="4435"/>
      <c r="X62" s="44"/>
      <c r="Y62" s="44"/>
      <c r="Z62" s="122"/>
      <c r="AA62" s="65"/>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40"/>
    </row>
    <row r="63" spans="1:84" s="27" customFormat="1" ht="47" thickBot="1" x14ac:dyDescent="0.35">
      <c r="A63" s="1419" t="s">
        <v>1053</v>
      </c>
      <c r="B63" s="1505"/>
      <c r="C63" s="2108" t="s">
        <v>1787</v>
      </c>
      <c r="D63" s="700" t="s">
        <v>3</v>
      </c>
      <c r="E63" s="595" t="b">
        <f t="shared" si="4"/>
        <v>0</v>
      </c>
      <c r="F63" s="258"/>
      <c r="G63" s="1446" t="str">
        <f>IF(I63&lt;&gt;"", "Not Blank", "")</f>
        <v/>
      </c>
      <c r="H63" s="1446"/>
      <c r="I63" s="1423"/>
      <c r="J63" s="409" t="str">
        <f>IF(L63&lt;&gt;"", "Not Blank", "")</f>
        <v/>
      </c>
      <c r="K63" s="409"/>
      <c r="L63" s="160"/>
      <c r="M63" s="135"/>
      <c r="N63" s="4416"/>
      <c r="O63" s="4489"/>
      <c r="P63" s="125"/>
      <c r="Q63" s="848" t="s">
        <v>3</v>
      </c>
      <c r="R63" s="738" t="b">
        <f>IF(OR(Q63="Compliant",Q63="FE with work-a-round",Q63="Functionally Equivalent"),TRUE,FALSE)</f>
        <v>0</v>
      </c>
      <c r="S63" s="124"/>
      <c r="T63" s="124"/>
      <c r="U63" s="125"/>
      <c r="V63" s="4445"/>
      <c r="W63" s="4470"/>
      <c r="X63" s="124"/>
      <c r="Y63" s="124"/>
      <c r="Z63" s="125"/>
      <c r="AA63" s="65"/>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40"/>
    </row>
    <row r="64" spans="1:84" s="3716" customFormat="1" ht="15" thickTop="1" x14ac:dyDescent="0.3">
      <c r="A64" s="3651"/>
      <c r="B64" s="3634"/>
      <c r="C64" s="3661"/>
      <c r="D64" s="3634"/>
      <c r="E64" s="3636"/>
      <c r="F64" s="3636"/>
      <c r="G64" s="3663"/>
      <c r="H64" s="3663"/>
      <c r="I64" s="3694"/>
      <c r="J64" s="3643"/>
      <c r="K64" s="3643"/>
      <c r="L64" s="3634"/>
      <c r="M64" s="3634"/>
      <c r="N64" s="3634"/>
      <c r="O64" s="3634"/>
      <c r="P64" s="3634"/>
      <c r="Q64" s="3634"/>
      <c r="R64" s="3634"/>
      <c r="S64" s="3634"/>
      <c r="T64" s="3634"/>
      <c r="U64" s="3634"/>
      <c r="V64" s="3639"/>
      <c r="W64" s="3639"/>
      <c r="X64" s="3634"/>
      <c r="Y64" s="3634"/>
      <c r="Z64" s="3634"/>
      <c r="AA64" s="3634"/>
      <c r="AB64" s="3634"/>
      <c r="AC64" s="3634"/>
      <c r="AD64" s="3634"/>
      <c r="AE64" s="3634"/>
      <c r="AF64" s="3634"/>
      <c r="AG64" s="3634"/>
      <c r="AH64" s="3634"/>
      <c r="AI64" s="3634"/>
      <c r="AJ64" s="3634"/>
      <c r="AK64" s="3634"/>
      <c r="AL64" s="3634"/>
      <c r="AM64" s="3634"/>
      <c r="AN64" s="3634"/>
      <c r="AO64" s="3634"/>
      <c r="AP64" s="3634"/>
      <c r="AQ64" s="3634"/>
      <c r="AR64" s="3634"/>
      <c r="AS64" s="3634"/>
      <c r="AT64" s="3634"/>
      <c r="AU64" s="3634"/>
      <c r="AV64" s="3634"/>
      <c r="AW64" s="3634"/>
      <c r="AX64" s="3634"/>
      <c r="AY64" s="3634"/>
      <c r="AZ64" s="3634"/>
      <c r="BA64" s="3634"/>
      <c r="BB64" s="3634"/>
      <c r="BC64" s="3634"/>
      <c r="BD64" s="3634"/>
      <c r="BE64" s="3634"/>
      <c r="BF64" s="3634"/>
      <c r="BG64" s="3634"/>
      <c r="BH64" s="3634"/>
      <c r="BI64" s="3634"/>
      <c r="BJ64" s="3634"/>
      <c r="BK64" s="3634"/>
      <c r="BL64" s="3634"/>
      <c r="BM64" s="3634"/>
      <c r="BN64" s="3634"/>
      <c r="BO64" s="3634"/>
      <c r="BP64" s="3634"/>
      <c r="BQ64" s="3634"/>
      <c r="BR64" s="3634"/>
      <c r="BS64" s="3634"/>
      <c r="BT64" s="3634"/>
      <c r="BU64" s="3634"/>
      <c r="BV64" s="3634"/>
      <c r="BW64" s="3634"/>
      <c r="BX64" s="3634"/>
      <c r="BY64" s="3634"/>
      <c r="BZ64" s="3634"/>
      <c r="CA64" s="3634"/>
      <c r="CB64" s="3634"/>
      <c r="CC64" s="3634"/>
      <c r="CD64" s="3634"/>
      <c r="CE64" s="3634"/>
      <c r="CF64" s="3785"/>
    </row>
    <row r="65" spans="1:84" s="3640" customFormat="1" ht="18.5" x14ac:dyDescent="0.3">
      <c r="A65" s="4482" t="s">
        <v>1138</v>
      </c>
      <c r="B65" s="4483"/>
      <c r="C65" s="4483"/>
      <c r="D65" s="4483"/>
      <c r="E65" s="4483"/>
      <c r="F65" s="4483"/>
      <c r="G65" s="4483"/>
      <c r="H65" s="4483"/>
      <c r="I65" s="4483"/>
      <c r="J65" s="4483"/>
      <c r="K65" s="4483"/>
      <c r="L65" s="4483"/>
      <c r="M65" s="4483"/>
      <c r="N65" s="4483"/>
      <c r="O65" s="3669"/>
      <c r="P65" s="3670"/>
      <c r="Q65" s="3670"/>
      <c r="R65" s="3670"/>
      <c r="S65" s="3671"/>
      <c r="T65" s="3672"/>
      <c r="U65" s="3672"/>
      <c r="V65" s="3673"/>
      <c r="W65" s="3673"/>
      <c r="X65" s="3674"/>
      <c r="Y65" s="3675"/>
      <c r="Z65" s="3676"/>
    </row>
    <row r="66" spans="1:84" s="3991" customFormat="1" ht="15" thickBot="1" x14ac:dyDescent="0.35">
      <c r="A66" s="3634"/>
      <c r="B66" s="3638"/>
      <c r="C66" s="3980"/>
      <c r="D66" s="3638"/>
      <c r="E66" s="3637"/>
      <c r="F66" s="3637"/>
      <c r="G66" s="3737"/>
      <c r="H66" s="3737"/>
      <c r="I66" s="3638"/>
      <c r="J66" s="3738"/>
      <c r="K66" s="3738"/>
      <c r="L66" s="3638"/>
      <c r="M66" s="3638"/>
      <c r="N66" s="3637"/>
      <c r="O66" s="3636"/>
      <c r="P66" s="3634"/>
      <c r="Q66" s="3638"/>
      <c r="R66" s="3638"/>
      <c r="S66" s="3638"/>
      <c r="T66" s="3638"/>
      <c r="U66" s="3638"/>
      <c r="V66" s="3642"/>
      <c r="W66" s="3642"/>
      <c r="X66" s="3638"/>
      <c r="Y66" s="3638"/>
      <c r="Z66" s="3638"/>
      <c r="AA66" s="3634"/>
      <c r="AB66" s="3634"/>
      <c r="AC66" s="3634"/>
      <c r="AD66" s="3634"/>
      <c r="AE66" s="3634"/>
      <c r="AF66" s="3634"/>
      <c r="AG66" s="3634"/>
      <c r="AH66" s="3634"/>
      <c r="AI66" s="3634"/>
      <c r="AJ66" s="3634"/>
      <c r="AK66" s="3634"/>
      <c r="AL66" s="3634"/>
      <c r="AM66" s="3634"/>
      <c r="AN66" s="3634"/>
      <c r="AO66" s="3634"/>
      <c r="AP66" s="3634"/>
      <c r="AQ66" s="3634"/>
      <c r="AR66" s="3634"/>
      <c r="AS66" s="3634"/>
      <c r="AT66" s="3634"/>
      <c r="AU66" s="3634"/>
      <c r="AV66" s="3634"/>
      <c r="AW66" s="3634"/>
      <c r="AX66" s="3634"/>
      <c r="AY66" s="3634"/>
      <c r="AZ66" s="3634"/>
      <c r="BA66" s="3634"/>
      <c r="BB66" s="3634"/>
      <c r="BC66" s="3634"/>
      <c r="BD66" s="3634"/>
      <c r="BE66" s="3634"/>
      <c r="BF66" s="3634"/>
      <c r="BG66" s="3634"/>
      <c r="BH66" s="3634"/>
      <c r="BI66" s="3634"/>
      <c r="BJ66" s="3634"/>
      <c r="BK66" s="3634"/>
      <c r="BL66" s="3634"/>
      <c r="BM66" s="3634"/>
      <c r="BN66" s="3634"/>
      <c r="BO66" s="3634"/>
      <c r="BP66" s="3634"/>
      <c r="BQ66" s="3634"/>
      <c r="BR66" s="3634"/>
      <c r="BS66" s="3634"/>
      <c r="BT66" s="3634"/>
      <c r="BU66" s="3634"/>
      <c r="BV66" s="3634"/>
      <c r="BW66" s="3634"/>
      <c r="BX66" s="3634"/>
      <c r="BY66" s="3634"/>
      <c r="BZ66" s="3634"/>
      <c r="CA66" s="3634"/>
      <c r="CB66" s="3634"/>
      <c r="CC66" s="3634"/>
      <c r="CD66" s="3634"/>
      <c r="CE66" s="3634"/>
      <c r="CF66" s="3785"/>
    </row>
    <row r="67" spans="1:84" s="310" customFormat="1" ht="30" thickTop="1" thickBot="1" x14ac:dyDescent="0.35">
      <c r="A67" s="204" t="s">
        <v>1039</v>
      </c>
      <c r="B67" s="1510" t="s">
        <v>1240</v>
      </c>
      <c r="C67" s="2109" t="s">
        <v>670</v>
      </c>
      <c r="D67" s="1947" t="s">
        <v>565</v>
      </c>
      <c r="E67" s="1377" t="b">
        <f>IF(AND(E68=TRUE,E71=TRUE,E75=TRUE,E80=TRUE),TRUE,FALSE)</f>
        <v>0</v>
      </c>
      <c r="F67" s="858">
        <f>COUNTIF(E68,TRUE)+COUNTIF(E71,TRUE)+COUNTIF(E75,TRUE)</f>
        <v>0</v>
      </c>
      <c r="G67" s="410">
        <f>COUNTIFS(E71,TRUE,G71,"3")+COUNTIFS(E75,TRUE,G75,"5")+COUNTIFS(E68,TRUE,G68,"2")</f>
        <v>0</v>
      </c>
      <c r="H67" s="410">
        <f>COUNTIFS(E71,FALSE,G71,"Not Blank")+COUNTIFS(E75,FALSE,G75,"Not Blank")+COUNTIFS(E68,FALSE,G68,"Not Blank")</f>
        <v>0</v>
      </c>
      <c r="I67" s="1511" t="str">
        <f xml:space="preserve">
IF(G67&lt;F67,"Valid Entry required below - Check Amber Line/s",
IF(AND(E67=FALSE,G67=0,H67=0),"Nothing Entered below Yet",
IF(G67&lt;F67,"Valid Entry required below - Check Amber Line/s",
IF(AND(G67=0,H67&gt;0),"**Non-Valid Entry/ies below - Check Yellow Line/s",
IF(AND(G67&gt;0,H67&gt;0),"**Valid and Non-Valid Entries made below - Check Yellow Line/s",
IF(AND(E67=FALSE,F67&lt;3),"Not all requirements addressed below - Check Pink Line/s",
IF(AND(E67=FALSE,G67&lt;3,G67&gt;0,H67=0),"More entries to come",
IF(AND(E67,TRUE,G67=3,H67=0),"Valid Entries made below",
IF(AND(E67=FALSE,G67=3,H67=0),"Valid Entries need to be made below"
)))))))))</f>
        <v>Nothing Entered below Yet</v>
      </c>
      <c r="J67" s="1512">
        <f>COUNTIFS(E68,TRUE,J68,"2")+COUNTIFS(E71,TRUE,J71,"3")+COUNTIFS(E75,TRUE,J75,"5")</f>
        <v>0</v>
      </c>
      <c r="K67" s="1512">
        <f>COUNTIFS(E68,FALSE,J68,"2")+COUNTIFS(E69,FALSE,J69,"3")+COUNTIFS(E78,FALSE,J75,"5")</f>
        <v>0</v>
      </c>
      <c r="L67" s="1511" t="str">
        <f xml:space="preserve">
IF(AND(E67=TRUE,J67&gt;3,K67=0),"**Too many Options used - check Red Boxes",
IF(J67&lt;F67,"Valid Entry required below - Check Amber Line/s",
IF(AND(E67=FALSE,J67=0,K67=0),"Nothing Entered below Yet",
IF(AND(J67=0,K67&gt;0),"**Non-Valid Entry/ies below - Check Yellow Line/s",
IF(AND(J67&gt;0,K67&gt;0),"**Valid and Non-Valid Entries made below - Check Yellow Line/s",
IF(AND(E67=FALSE,J67&lt;3),"Not all requirements addressed below - Check Pink Line/s",
IF(AND(E67=FALSE,J67&lt;3,J67&gt;0,K67=0),"More entries to come",
IF(AND(E67,TRUE,J67=3,K67=0),"Valid Entries made below"
))))))))</f>
        <v>Nothing Entered below Yet</v>
      </c>
      <c r="M67" s="809"/>
      <c r="N67" s="698" t="s">
        <v>565</v>
      </c>
      <c r="O67" s="132" t="b">
        <f>IF(AND(O68=TRUE,O71=TRUE,O75=TRUE,O80=TRUE),TRUE,FALSE)</f>
        <v>0</v>
      </c>
      <c r="P67" s="337"/>
      <c r="Q67" s="698" t="s">
        <v>565</v>
      </c>
      <c r="R67" s="1373" t="b">
        <f>IF(AND(R68=TRUE,R71=TRUE,R75=TRUE,R80=TRUE),TRUE,FALSE)</f>
        <v>0</v>
      </c>
      <c r="S67" s="418"/>
      <c r="T67" s="418"/>
      <c r="U67" s="1009"/>
      <c r="V67" s="698" t="s">
        <v>565</v>
      </c>
      <c r="W67" s="473" t="b">
        <f>IF(AND(W68=TRUE,W71=TRUE,W75=TRUE,W80=TRUE),TRUE,FALSE)</f>
        <v>0</v>
      </c>
      <c r="X67" s="418"/>
      <c r="Y67" s="418"/>
      <c r="Z67" s="809"/>
      <c r="AA67" s="308"/>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309"/>
    </row>
    <row r="68" spans="1:84" s="27" customFormat="1" ht="29.5" thickTop="1" x14ac:dyDescent="0.3">
      <c r="A68" s="28"/>
      <c r="B68" s="1495"/>
      <c r="C68" s="2457" t="s">
        <v>991</v>
      </c>
      <c r="D68" s="2149" t="s">
        <v>1588</v>
      </c>
      <c r="E68" s="2460" t="b">
        <f>IF(AND(E69=TRUE,E70=TRUE),TRUE,FALSE)</f>
        <v>0</v>
      </c>
      <c r="F68" s="2461">
        <f>COUNTIF(E69:E70,TRUE)</f>
        <v>0</v>
      </c>
      <c r="G68" s="2474">
        <f>COUNTIFS(E69:E70,TRUE,G69:G70,"Not Blank")</f>
        <v>0</v>
      </c>
      <c r="H68" s="2474">
        <f>COUNTIFS(E71,FALSE,G71,"Not Blank")+COUNTIFS(E75,FALSE,G75,"Not Blank")+COUNTIFS(E80,FALSE,G80,"Not Blank")+COUNTIFS(E68,FALSE,G68,"Not Blank")</f>
        <v>0</v>
      </c>
      <c r="I68" s="2467" t="str">
        <f xml:space="preserve">
IF(G68&lt;F68,"Valid Entry required below - Check Amber Line/s",
IF(AND(E68=FALSE,G68=0,H68=0),"Nothing Entered below Yet",
IF(G68&lt;F68,"Valid Entry required below - Check Amber Line/s",
IF(AND(G68=0,H68&gt;0),"**Non-Valid Entry/ies below - Check Yellow Line/s",
IF(AND(G68&gt;0,H68&gt;0),"**Valid and Non-Valid Entries made below - Check Yellow Line/s",
IF(AND(E68=FALSE,F68&lt;2),"Not all requirements addressed below - Check Pink Line/s",
IF(AND(E68=FALSE,G68&lt;2,G68&gt;0,H68=0),"More entries to come",
IF(AND(E68,TRUE,G68=2,H68=0),"Valid Entries made below"
))))))))</f>
        <v>Nothing Entered below Yet</v>
      </c>
      <c r="J68" s="2468">
        <f>COUNTIFS(E69:E70,TRUE,J69:J70,"Not Blank")</f>
        <v>0</v>
      </c>
      <c r="K68" s="2468">
        <f>COUNTIFS(E69:E70,FALSE,J69:J70,"Not Blank")</f>
        <v>0</v>
      </c>
      <c r="L68" s="2467" t="str">
        <f xml:space="preserve">
IF(AND(E68=TRUE,J68&gt;9,K68=0),"**Too many Options used - check Red Boxes",
IF(J68&lt;F68,"Valid Entry required below - Check Amber Line/s",
IF(AND(E68=FALSE,J68=0,K68=0),"Nothing Entered below Yet",
IF(AND(J68=0,K68&gt;0),"**Non-Valid Entry/ies below - Check Yellow Line/s",
IF(AND(J68&gt;0,K68&gt;0),"**Valid and Non-Valid Entries made below - Check Yellow Line/s",
IF(AND(E68=FALSE,J68&lt;2),"Not all requirements addressed below - Check Pink Line/s",
IF(AND(E68=FALSE,J68&lt;2,J68&gt;0,K68=0),"More entries to come",
IF(AND(E68,TRUE,J68=2,K68=0),"Valid Entries made below"
))))))))</f>
        <v>Nothing Entered below Yet</v>
      </c>
      <c r="M68" s="2176"/>
      <c r="N68" s="4414" t="s">
        <v>3</v>
      </c>
      <c r="O68" s="4495" t="b">
        <f>IF(OR(N68="Compliant",N68="FE with work-a-round",N68="Functionally Equivalent"),TRUE,FALSE)</f>
        <v>0</v>
      </c>
      <c r="P68" s="2176"/>
      <c r="Q68" s="2178" t="s">
        <v>565</v>
      </c>
      <c r="R68" s="773" t="b">
        <f>IF(AND(R69=TRUE,R70=TRUE),TRUE,FALSE)</f>
        <v>0</v>
      </c>
      <c r="S68" s="111"/>
      <c r="T68" s="111"/>
      <c r="U68" s="120"/>
      <c r="V68" s="4443" t="s">
        <v>3</v>
      </c>
      <c r="W68" s="4469" t="b">
        <f>IF(OR(V68="Compliant",V68="FE with work-a-round",V68="Functionally Equivalent",V68="Not Required/Applicable"),TRUE,FALSE)</f>
        <v>0</v>
      </c>
      <c r="X68" s="111"/>
      <c r="Y68" s="111"/>
      <c r="Z68" s="120"/>
      <c r="AA68" s="65"/>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84" s="27" customFormat="1" ht="101.5" x14ac:dyDescent="0.3">
      <c r="A69" s="28"/>
      <c r="B69" s="1504"/>
      <c r="C69" s="2456" t="s">
        <v>1046</v>
      </c>
      <c r="D69" s="2096" t="s">
        <v>3</v>
      </c>
      <c r="E69" s="838" t="b">
        <f>IF(D69="Compliant",TRUE,FALSE)</f>
        <v>0</v>
      </c>
      <c r="F69" s="390"/>
      <c r="G69" s="1567" t="str">
        <f>IF(I69&lt;&gt;"", "Not Blank", "")</f>
        <v/>
      </c>
      <c r="H69" s="1567"/>
      <c r="I69" s="3435"/>
      <c r="J69" s="3432"/>
      <c r="K69" s="3432"/>
      <c r="L69" s="3432"/>
      <c r="M69" s="128"/>
      <c r="N69" s="4415"/>
      <c r="O69" s="4496"/>
      <c r="P69" s="128"/>
      <c r="Q69" s="1142" t="s">
        <v>3</v>
      </c>
      <c r="R69" s="732" t="b">
        <f>IF(OR(Q69="Compliant",Q69="FE with work-a-round",Q69="Functionally Equivalent"),TRUE,FALSE)</f>
        <v>0</v>
      </c>
      <c r="S69" s="44"/>
      <c r="T69" s="44"/>
      <c r="U69" s="122"/>
      <c r="V69" s="4444"/>
      <c r="W69" s="4435"/>
      <c r="X69" s="44"/>
      <c r="Y69" s="44"/>
      <c r="Z69" s="122"/>
      <c r="AA69" s="65"/>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84" s="27" customFormat="1" ht="189" thickBot="1" x14ac:dyDescent="0.35">
      <c r="A70" s="1419" t="s">
        <v>362</v>
      </c>
      <c r="B70" s="1508"/>
      <c r="C70" s="2107" t="s">
        <v>1035</v>
      </c>
      <c r="D70" s="1038" t="s">
        <v>3</v>
      </c>
      <c r="E70" s="208" t="b">
        <f>IF(D70="Compliant",TRUE,FALSE)</f>
        <v>0</v>
      </c>
      <c r="F70" s="387"/>
      <c r="G70" s="1441" t="str">
        <f>IF(I70&lt;&gt;"", "Not Blank", "")</f>
        <v/>
      </c>
      <c r="H70" s="1441"/>
      <c r="I70" s="3436"/>
      <c r="J70" s="3434"/>
      <c r="K70" s="3434"/>
      <c r="L70" s="3434"/>
      <c r="M70" s="127"/>
      <c r="N70" s="4416"/>
      <c r="O70" s="4497"/>
      <c r="P70" s="125"/>
      <c r="Q70" s="848" t="s">
        <v>3</v>
      </c>
      <c r="R70" s="812" t="b">
        <f>IF(OR(Q70="Compliant",Q70="FE with work-a-round",Q70="Functionally Equivalent"),TRUE,FALSE)</f>
        <v>0</v>
      </c>
      <c r="S70" s="124"/>
      <c r="T70" s="124"/>
      <c r="U70" s="125"/>
      <c r="V70" s="4445"/>
      <c r="W70" s="4470"/>
      <c r="X70" s="124"/>
      <c r="Y70" s="124"/>
      <c r="Z70" s="125"/>
      <c r="AA70" s="65"/>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40"/>
    </row>
    <row r="71" spans="1:84" s="27" customFormat="1" ht="44.5" thickTop="1" thickBot="1" x14ac:dyDescent="0.35">
      <c r="A71" s="28">
        <v>3</v>
      </c>
      <c r="B71" s="1495" t="s">
        <v>1632</v>
      </c>
      <c r="C71" s="2457" t="s">
        <v>1210</v>
      </c>
      <c r="D71" s="2149" t="s">
        <v>565</v>
      </c>
      <c r="E71" s="2460" t="b">
        <f>IF(AND(E72=TRUE,E73=TRUE,E74=TRUE),TRUE,FALSE)</f>
        <v>0</v>
      </c>
      <c r="F71" s="2461">
        <f>COUNTIF(E72:E74,TRUE)</f>
        <v>0</v>
      </c>
      <c r="G71" s="2474">
        <f>COUNTIFS(E72:E74,TRUE,G72:G74,"Not Blank")</f>
        <v>0</v>
      </c>
      <c r="H71" s="2474">
        <f>COUNTIFS(E72:E74,FALSE,G72:G74,"Not Blank")</f>
        <v>0</v>
      </c>
      <c r="I71" s="2155" t="str">
        <f xml:space="preserve">
IF(G71&lt;F71,"Valid Entry required below - Check Amber Line/s",
IF(AND(E71=FALSE,G71=0,H71=0),"Nothing Entered below Yet",
IF(G71&lt;F71,"Valid Entry required below - Check Amber Line/s",
IF(AND(G71=0,H71&gt;0),"**Non-Valid Entry/ies below - Check Yellow Line/s",
IF(AND(G71&gt;0,H71&gt;0),"**Valid and Non-Valid Entries made below - Check Yellow Line/s",
IF(AND(E71=FALSE,F71&lt;3),"Not all requirements addressed below - Check Pink Line/s",
IF(AND(E71=FALSE,G71&lt;3,G71&gt;0,H71=0),"More entries to come",
IF(AND(E71,TRUE,G71=3,H71=0),"Valid Entries made below"
))))))))</f>
        <v>Nothing Entered below Yet</v>
      </c>
      <c r="J71" s="2248">
        <f>COUNTIFS(E72:E74,TRUE,J72:J74,"Not Blank")</f>
        <v>0</v>
      </c>
      <c r="K71" s="2248">
        <f>COUNTIFS(E72:E74,FALSE,J72:J74,"Not Blank")</f>
        <v>0</v>
      </c>
      <c r="L71" s="2155" t="str">
        <f xml:space="preserve">
IF(AND(E71=TRUE,J71&gt;3,K71=0),"**Too many Options used - check Red Boxes",
IF(J71&lt;F71,"Valid Entry required below - Check Amber Line/s",
IF(AND(E71=FALSE,J71=0,K71=0),"Nothing Entered below Yet",
IF(AND(J71=0,K71&gt;0),"**Non-Valid Entry/ies below - Check Yellow Line/s",
IF(AND(J71&gt;0,K71&gt;0),"**Valid and Non-Valid Entries made below - Check Yellow Line/s",
IF(AND(E71=FALSE,J71&lt;3),"Not all requirements addressed below - Check Pink Line/s",
IF(AND(E71=FALSE,J71&lt;3,J71&gt;0,K71=0),"More entries to come",
IF(AND(E71,TRUE,J71=3,K71=0),"Valid Entries made below"
))))))))</f>
        <v>Nothing Entered below Yet</v>
      </c>
      <c r="M71" s="2176"/>
      <c r="N71" s="4484" t="s">
        <v>3</v>
      </c>
      <c r="O71" s="4495" t="b">
        <f>IF(OR(N71="Compliant",N71="FE with work-a-round",N71="Functionally Equivalent"),TRUE,FALSE)</f>
        <v>0</v>
      </c>
      <c r="P71" s="2176"/>
      <c r="Q71" s="2178" t="s">
        <v>565</v>
      </c>
      <c r="R71" s="816" t="b">
        <f>IF(AND(R72=TRUE,R73=TRUE,R74=TRUE),TRUE,FALSE)</f>
        <v>0</v>
      </c>
      <c r="S71" s="133"/>
      <c r="T71" s="133"/>
      <c r="U71" s="134"/>
      <c r="V71" s="4414" t="s">
        <v>3</v>
      </c>
      <c r="W71" s="4469" t="b">
        <f>IF(OR(V71="Compliant",V71="FE with work-a-round",V71="Functionally Equivalent",V71="Not Required/Applicable"),TRUE,FALSE)</f>
        <v>0</v>
      </c>
      <c r="X71" s="111"/>
      <c r="Y71" s="111"/>
      <c r="Z71" s="120"/>
      <c r="AA71" s="65"/>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40"/>
    </row>
    <row r="72" spans="1:84" s="27" customFormat="1" ht="62.5" thickTop="1" x14ac:dyDescent="0.3">
      <c r="A72" s="28"/>
      <c r="B72" s="1504"/>
      <c r="C72" s="2456" t="s">
        <v>1036</v>
      </c>
      <c r="D72" s="2096" t="s">
        <v>3</v>
      </c>
      <c r="E72" s="838" t="b">
        <f>IF(D72="Compliant",TRUE,FALSE)</f>
        <v>0</v>
      </c>
      <c r="F72" s="390"/>
      <c r="G72" s="1567" t="str">
        <f>IF(I72&lt;&gt;"", "Not Blank", "")</f>
        <v/>
      </c>
      <c r="H72" s="1567"/>
      <c r="I72" s="3435"/>
      <c r="J72" s="3432" t="str">
        <f>IF(L72&lt;&gt;"", "Not Blank", "")</f>
        <v/>
      </c>
      <c r="K72" s="3432"/>
      <c r="L72" s="3432"/>
      <c r="M72" s="3438"/>
      <c r="N72" s="4485"/>
      <c r="O72" s="4496"/>
      <c r="P72" s="128"/>
      <c r="Q72" s="1142" t="s">
        <v>3</v>
      </c>
      <c r="R72" s="773" t="b">
        <f>IF(OR(Q72="Compliant",Q72="FE with work-a-round",Q72="Functionally Equivalent"),TRUE,FALSE)</f>
        <v>0</v>
      </c>
      <c r="S72" s="111"/>
      <c r="T72" s="111"/>
      <c r="U72" s="120"/>
      <c r="V72" s="4444"/>
      <c r="W72" s="4435"/>
      <c r="X72" s="44"/>
      <c r="Y72" s="44"/>
      <c r="Z72" s="122"/>
      <c r="AA72" s="65"/>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40"/>
    </row>
    <row r="73" spans="1:84" s="27" customFormat="1" ht="108.5" x14ac:dyDescent="0.3">
      <c r="A73" s="28"/>
      <c r="B73" s="1504"/>
      <c r="C73" s="2106" t="s">
        <v>1037</v>
      </c>
      <c r="D73" s="699" t="s">
        <v>3</v>
      </c>
      <c r="E73" s="594" t="b">
        <f>IF(D73="Compliant",TRUE,FALSE)</f>
        <v>0</v>
      </c>
      <c r="F73" s="361"/>
      <c r="G73" s="1403" t="str">
        <f>IF(I73&lt;&gt;"", "Not Blank", "")</f>
        <v/>
      </c>
      <c r="H73" s="1403"/>
      <c r="I73" s="3435"/>
      <c r="J73" s="3432" t="str">
        <f>IF(L73&lt;&gt;"", "Not Blank", "")</f>
        <v/>
      </c>
      <c r="K73" s="3432"/>
      <c r="L73" s="3432"/>
      <c r="M73" s="3438"/>
      <c r="N73" s="4485"/>
      <c r="O73" s="4496"/>
      <c r="P73" s="122"/>
      <c r="Q73" s="847" t="s">
        <v>3</v>
      </c>
      <c r="R73" s="732" t="b">
        <f>IF(OR(Q73="Compliant",Q73="FE with work-a-round",Q73="Functionally Equivalent"),TRUE,FALSE)</f>
        <v>0</v>
      </c>
      <c r="S73" s="44"/>
      <c r="T73" s="44"/>
      <c r="U73" s="122"/>
      <c r="V73" s="4444"/>
      <c r="W73" s="4435"/>
      <c r="X73" s="44"/>
      <c r="Y73" s="44"/>
      <c r="Z73" s="122"/>
      <c r="AA73" s="65"/>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93.5" thickBot="1" x14ac:dyDescent="0.35">
      <c r="A74" s="28"/>
      <c r="B74" s="1508"/>
      <c r="C74" s="2107" t="s">
        <v>1038</v>
      </c>
      <c r="D74" s="1038" t="s">
        <v>3</v>
      </c>
      <c r="E74" s="208" t="b">
        <f>IF(D74="Compliant",TRUE,FALSE)</f>
        <v>0</v>
      </c>
      <c r="F74" s="387"/>
      <c r="G74" s="1441" t="str">
        <f>IF(I74&lt;&gt;"", "Not Blank", "")</f>
        <v/>
      </c>
      <c r="H74" s="1441"/>
      <c r="I74" s="3436"/>
      <c r="J74" s="3434" t="str">
        <f>IF(L74&lt;&gt;"", "Not Blank", "")</f>
        <v/>
      </c>
      <c r="K74" s="3434"/>
      <c r="L74" s="3434"/>
      <c r="M74" s="3439"/>
      <c r="N74" s="4486"/>
      <c r="O74" s="4497"/>
      <c r="P74" s="125"/>
      <c r="Q74" s="848" t="s">
        <v>3</v>
      </c>
      <c r="R74" s="812" t="b">
        <f>IF(OR(Q74="Compliant",Q74="FE with work-a-round",Q74="Functionally Equivalent"),TRUE,FALSE)</f>
        <v>0</v>
      </c>
      <c r="S74" s="124"/>
      <c r="T74" s="124"/>
      <c r="U74" s="125"/>
      <c r="V74" s="4445"/>
      <c r="W74" s="4470"/>
      <c r="X74" s="124"/>
      <c r="Y74" s="124"/>
      <c r="Z74" s="125"/>
      <c r="AA74" s="65"/>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27" customFormat="1" ht="29.5" thickTop="1" x14ac:dyDescent="0.3">
      <c r="A75" s="28">
        <v>5.0999999999999996</v>
      </c>
      <c r="B75" s="1495" t="s">
        <v>1633</v>
      </c>
      <c r="C75" s="2475" t="s">
        <v>1040</v>
      </c>
      <c r="D75" s="2149" t="s">
        <v>565</v>
      </c>
      <c r="E75" s="2460" t="b">
        <f>IF(AND(E76=TRUE,E77=TRUE,E78=TRUE,E79=TRUE,E80=TRUE),TRUE,FALSE)</f>
        <v>0</v>
      </c>
      <c r="F75" s="2461">
        <f>COUNTIF(E76:E80,TRUE)</f>
        <v>0</v>
      </c>
      <c r="G75" s="2474">
        <f>COUNTIFS(E76:E80,TRUE,G76:G80,"Not Blank")</f>
        <v>0</v>
      </c>
      <c r="H75" s="2474">
        <f>COUNTIFS(E76:E80,FALSE,G76:G80,"Not Blank")</f>
        <v>0</v>
      </c>
      <c r="I75" s="2467" t="str">
        <f xml:space="preserve">
IF(G75&lt;F75,"Valid Entry required below - Check Amber Line/s",
IF(AND(E75=FALSE,G75=0,H75=0),"Nothing Entered below Yet",
IF(G75&lt;F75,"Valid Entry required below - Check Amber Line/s",
IF(AND(G75=0,H75&gt;0),"**Non-Valid Entry/ies below - Check Yellow Line/s",
IF(AND(G75&gt;0,H75&gt;0),"**Valid and Non-Valid Entries made below - Check Yellow Line/s",
IF(AND(E75=FALSE,F75&lt;5),"Not all requirements addressed below - Check Pink Line/s",
IF(AND(E75=FALSE,G75&lt;5,G75&gt;0,H75=0),"More entries to come",
IF(AND(E75,TRUE,G75=5,H75=0),"Valid Entries made below"
))))))))</f>
        <v>Nothing Entered below Yet</v>
      </c>
      <c r="J75" s="2468">
        <f>COUNTIFS(E76:E80,TRUE,J76:J80,"Not Blank")</f>
        <v>0</v>
      </c>
      <c r="K75" s="2468">
        <f>COUNTIFS(E76:E80,FALSE,J76:J80,"Not Blank")</f>
        <v>0</v>
      </c>
      <c r="L75" s="2467" t="str">
        <f xml:space="preserve">
IF(AND(E75=TRUE,J75&gt;5,K75=0),"**Too many Options used - check Red Boxes",
IF(J75&lt;F75,"Valid Entry required below - Check Amber Line/s",
IF(AND(E75=FALSE,J75=0,K75=0),"Nothing Entered below Yet",
IF(AND(J75=0,K75&gt;0),"**Non-Valid Entry/ies below - Check Yellow Line/s",
IF(AND(J75&gt;0,K75&gt;0),"**Valid and Non-Valid Entries made below - Check Yellow Line/s",
IF(AND(E75=FALSE,J75&lt;5),"Not all requirements addressed below - Check Pink Line/s",
IF(AND(E75=FALSE,J75&lt;5,J75&gt;0,K75=0),"More entries to come",
IF(AND(E75,TRUE,J75=5,K75=0),"Valid Entries made below"
))))))))</f>
        <v>Nothing Entered below Yet</v>
      </c>
      <c r="M75" s="2176"/>
      <c r="N75" s="4414" t="s">
        <v>3</v>
      </c>
      <c r="O75" s="4495" t="b">
        <f>IF(OR(N75="Compliant",N75="FE with work-a-round",N75="Functionally Equivalent"),TRUE,FALSE)</f>
        <v>0</v>
      </c>
      <c r="P75" s="2176"/>
      <c r="Q75" s="2178" t="s">
        <v>565</v>
      </c>
      <c r="R75" s="773" t="b">
        <f>IF(AND(R76=TRUE,R77=TRUE,R78=TRUE,R79=TRUE),TRUE,FALSE)</f>
        <v>0</v>
      </c>
      <c r="S75" s="111"/>
      <c r="T75" s="111"/>
      <c r="U75" s="120"/>
      <c r="V75" s="4414" t="s">
        <v>3</v>
      </c>
      <c r="W75" s="4469" t="b">
        <f>IF(OR(V75="Compliant",V75="FE with work-a-round",V75="Functionally Equivalent",V75="Not Required/Applicable"),TRUE,FALSE)</f>
        <v>0</v>
      </c>
      <c r="X75" s="111"/>
      <c r="Y75" s="111"/>
      <c r="Z75" s="120"/>
      <c r="AA75" s="65"/>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27" customFormat="1" ht="46.5" x14ac:dyDescent="0.3">
      <c r="A76" s="28"/>
      <c r="B76" s="1504"/>
      <c r="C76" s="2456" t="s">
        <v>1041</v>
      </c>
      <c r="D76" s="2096" t="s">
        <v>3</v>
      </c>
      <c r="E76" s="838" t="b">
        <f>IF(D76="Compliant",TRUE,FALSE)</f>
        <v>0</v>
      </c>
      <c r="F76" s="390"/>
      <c r="G76" s="1567" t="str">
        <f>IF(I76&lt;&gt;"", "Not Blank", "")</f>
        <v/>
      </c>
      <c r="H76" s="1567"/>
      <c r="I76" s="3435"/>
      <c r="J76" s="3432"/>
      <c r="K76" s="3432"/>
      <c r="L76" s="3432"/>
      <c r="M76" s="3438"/>
      <c r="N76" s="4415"/>
      <c r="O76" s="4496"/>
      <c r="P76" s="128"/>
      <c r="Q76" s="1142" t="s">
        <v>3</v>
      </c>
      <c r="R76" s="732" t="b">
        <f>IF(OR(Q76="Compliant",Q76="FE with work-a-round",Q76="Functionally Equivalent"),TRUE,FALSE)</f>
        <v>0</v>
      </c>
      <c r="S76" s="44"/>
      <c r="T76" s="44"/>
      <c r="U76" s="122"/>
      <c r="V76" s="4415"/>
      <c r="W76" s="4435"/>
      <c r="X76" s="44"/>
      <c r="Y76" s="44"/>
      <c r="Z76" s="122"/>
      <c r="AA76" s="65"/>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40"/>
    </row>
    <row r="77" spans="1:84" s="27" customFormat="1" ht="108.5" x14ac:dyDescent="0.3">
      <c r="A77" s="28"/>
      <c r="B77" s="1504"/>
      <c r="C77" s="2106" t="s">
        <v>1042</v>
      </c>
      <c r="D77" s="699" t="s">
        <v>3</v>
      </c>
      <c r="E77" s="594" t="b">
        <f>IF(D77="Compliant",TRUE,FALSE)</f>
        <v>0</v>
      </c>
      <c r="F77" s="361"/>
      <c r="G77" s="1403" t="str">
        <f>IF(I77&lt;&gt;"", "Not Blank", "")</f>
        <v/>
      </c>
      <c r="H77" s="1403"/>
      <c r="I77" s="3435"/>
      <c r="J77" s="3432"/>
      <c r="K77" s="3432"/>
      <c r="L77" s="3432"/>
      <c r="M77" s="3438"/>
      <c r="N77" s="4415"/>
      <c r="O77" s="4496"/>
      <c r="P77" s="122"/>
      <c r="Q77" s="847" t="s">
        <v>3</v>
      </c>
      <c r="R77" s="732" t="b">
        <f>IF(OR(Q77="Compliant",Q77="FE with work-a-round",Q77="Functionally Equivalent"),TRUE,FALSE)</f>
        <v>0</v>
      </c>
      <c r="S77" s="44"/>
      <c r="T77" s="44"/>
      <c r="U77" s="122"/>
      <c r="V77" s="4444"/>
      <c r="W77" s="4435"/>
      <c r="X77" s="44"/>
      <c r="Y77" s="44"/>
      <c r="Z77" s="122"/>
      <c r="AA77" s="65"/>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40"/>
    </row>
    <row r="78" spans="1:84" s="27" customFormat="1" ht="62" x14ac:dyDescent="0.3">
      <c r="A78" s="28"/>
      <c r="B78" s="1504"/>
      <c r="C78" s="2106" t="s">
        <v>1043</v>
      </c>
      <c r="D78" s="699" t="s">
        <v>3</v>
      </c>
      <c r="E78" s="594" t="b">
        <f>IF(D78="Compliant",TRUE,FALSE)</f>
        <v>0</v>
      </c>
      <c r="F78" s="361"/>
      <c r="G78" s="1403" t="str">
        <f>IF(I78&lt;&gt;"", "Not Blank", "")</f>
        <v/>
      </c>
      <c r="H78" s="1403"/>
      <c r="I78" s="3435"/>
      <c r="J78" s="3432"/>
      <c r="K78" s="3432"/>
      <c r="L78" s="3432"/>
      <c r="M78" s="3438"/>
      <c r="N78" s="4415"/>
      <c r="O78" s="4496"/>
      <c r="P78" s="122"/>
      <c r="Q78" s="847" t="s">
        <v>3</v>
      </c>
      <c r="R78" s="732" t="b">
        <f>IF(OR(Q78="Compliant",Q78="FE with work-a-round",Q78="Functionally Equivalent"),TRUE,FALSE)</f>
        <v>0</v>
      </c>
      <c r="S78" s="44"/>
      <c r="T78" s="44"/>
      <c r="U78" s="122"/>
      <c r="V78" s="4444"/>
      <c r="W78" s="4435"/>
      <c r="X78" s="44"/>
      <c r="Y78" s="44"/>
      <c r="Z78" s="122"/>
      <c r="AA78" s="65"/>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40"/>
    </row>
    <row r="79" spans="1:84" s="27" customFormat="1" ht="62.5" thickBot="1" x14ac:dyDescent="0.35">
      <c r="A79" s="28"/>
      <c r="B79" s="1504"/>
      <c r="C79" s="2107" t="s">
        <v>1044</v>
      </c>
      <c r="D79" s="1038" t="s">
        <v>3</v>
      </c>
      <c r="E79" s="208" t="b">
        <f>IF(D79="Compliant",TRUE,FALSE)</f>
        <v>0</v>
      </c>
      <c r="F79" s="387"/>
      <c r="G79" s="1441" t="str">
        <f>IF(I79&lt;&gt;"", "Not Blank", "")</f>
        <v/>
      </c>
      <c r="H79" s="1441"/>
      <c r="I79" s="3436"/>
      <c r="J79" s="3434"/>
      <c r="K79" s="3434"/>
      <c r="L79" s="3434"/>
      <c r="M79" s="3439"/>
      <c r="N79" s="4415"/>
      <c r="O79" s="4498"/>
      <c r="P79" s="127"/>
      <c r="Q79" s="1380" t="s">
        <v>3</v>
      </c>
      <c r="R79" s="1248" t="b">
        <f>IF(OR(Q79="Compliant",Q79="FE with work-a-round",Q79="Functionally Equivalent"),TRUE,FALSE)</f>
        <v>0</v>
      </c>
      <c r="S79" s="79"/>
      <c r="T79" s="79"/>
      <c r="U79" s="127"/>
      <c r="V79" s="4444"/>
      <c r="W79" s="4436"/>
      <c r="X79" s="79"/>
      <c r="Y79" s="79"/>
      <c r="Z79" s="127"/>
      <c r="AA79" s="65"/>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40"/>
    </row>
    <row r="80" spans="1:84" s="27" customFormat="1" ht="131.5" thickTop="1" thickBot="1" x14ac:dyDescent="0.35">
      <c r="A80" s="1419" t="s">
        <v>364</v>
      </c>
      <c r="B80" s="1505"/>
      <c r="C80" s="2110" t="s">
        <v>1051</v>
      </c>
      <c r="D80" s="876" t="s">
        <v>3</v>
      </c>
      <c r="E80" s="974" t="b">
        <f>IF(D80="Compliant",TRUE,FALSE)</f>
        <v>0</v>
      </c>
      <c r="F80" s="396"/>
      <c r="G80" s="1448" t="str">
        <f>IF(I80&lt;&gt;"", "Not Blank", "")</f>
        <v/>
      </c>
      <c r="H80" s="1448"/>
      <c r="I80" s="3444"/>
      <c r="J80" s="3440"/>
      <c r="K80" s="3440"/>
      <c r="L80" s="3440"/>
      <c r="M80" s="3443"/>
      <c r="N80" s="925" t="s">
        <v>3</v>
      </c>
      <c r="O80" s="395" t="b">
        <f>IF(OR(N80="Compliant",N80="FE with work-a-round",N80="Functionally Equivalent"),TRUE,FALSE)</f>
        <v>0</v>
      </c>
      <c r="P80" s="134"/>
      <c r="Q80" s="925" t="s">
        <v>3</v>
      </c>
      <c r="R80" s="816" t="b">
        <f>IF(OR(Q80="Compliant",Q80="FE with work-a-round",Q80="Functionally Equivalent"),TRUE,FALSE)</f>
        <v>0</v>
      </c>
      <c r="S80" s="133"/>
      <c r="T80" s="133"/>
      <c r="U80" s="134"/>
      <c r="V80" s="770" t="s">
        <v>3</v>
      </c>
      <c r="W80" s="460" t="b">
        <f>IF(OR(V80="Compliant",V80="FE with work-a-round",V80="Functionally Equivalent",V80="Not Required/Applicable"),TRUE,FALSE)</f>
        <v>0</v>
      </c>
      <c r="X80" s="133"/>
      <c r="Y80" s="133"/>
      <c r="Z80" s="134"/>
      <c r="AA80" s="65"/>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40"/>
    </row>
    <row r="81" spans="1:84" s="3668" customFormat="1" ht="15" thickTop="1" x14ac:dyDescent="0.3">
      <c r="A81" s="3651"/>
      <c r="B81" s="3634"/>
      <c r="C81" s="3634"/>
      <c r="D81" s="3634"/>
      <c r="E81" s="3636"/>
      <c r="F81" s="3636"/>
      <c r="G81" s="3663"/>
      <c r="H81" s="3663"/>
      <c r="I81" s="3694"/>
      <c r="J81" s="3643"/>
      <c r="K81" s="3643"/>
      <c r="L81" s="3634"/>
      <c r="M81" s="3634"/>
      <c r="N81" s="3992"/>
      <c r="O81" s="3636"/>
      <c r="P81" s="3634"/>
      <c r="Q81" s="3634"/>
      <c r="R81" s="3634"/>
      <c r="S81" s="3634"/>
      <c r="T81" s="3634"/>
      <c r="U81" s="3634"/>
      <c r="V81" s="3700"/>
      <c r="W81" s="3639"/>
      <c r="X81" s="3634"/>
      <c r="Y81" s="3634"/>
      <c r="Z81" s="3634"/>
      <c r="AA81" s="3634"/>
      <c r="AB81" s="3634"/>
      <c r="AC81" s="3634"/>
      <c r="AD81" s="3634"/>
      <c r="AE81" s="3634"/>
      <c r="AF81" s="3634"/>
      <c r="AG81" s="3634"/>
      <c r="AH81" s="3634"/>
      <c r="AI81" s="3634"/>
      <c r="AJ81" s="3634"/>
      <c r="AK81" s="3634"/>
      <c r="AL81" s="3634"/>
      <c r="AM81" s="3634"/>
      <c r="AN81" s="3634"/>
      <c r="AO81" s="3634"/>
      <c r="AP81" s="3634"/>
      <c r="AQ81" s="3634"/>
      <c r="AR81" s="3634"/>
      <c r="AS81" s="3634"/>
      <c r="AT81" s="3634"/>
      <c r="AU81" s="3634"/>
      <c r="AV81" s="3634"/>
      <c r="AW81" s="3634"/>
      <c r="AX81" s="3634"/>
      <c r="AY81" s="3634"/>
      <c r="AZ81" s="3634"/>
      <c r="BA81" s="3634"/>
      <c r="BB81" s="3634"/>
      <c r="BC81" s="3634"/>
      <c r="BD81" s="3634"/>
      <c r="BE81" s="3634"/>
      <c r="BF81" s="3634"/>
      <c r="BG81" s="3634"/>
      <c r="BH81" s="3634"/>
      <c r="BI81" s="3634"/>
      <c r="BJ81" s="3634"/>
      <c r="BK81" s="3634"/>
      <c r="BL81" s="3634"/>
      <c r="BM81" s="3634"/>
      <c r="BN81" s="3634"/>
      <c r="BO81" s="3634"/>
      <c r="BP81" s="3634"/>
      <c r="BQ81" s="3634"/>
      <c r="BR81" s="3634"/>
      <c r="BS81" s="3634"/>
      <c r="BT81" s="3634"/>
      <c r="BU81" s="3634"/>
      <c r="BV81" s="3634"/>
      <c r="BW81" s="3634"/>
      <c r="BX81" s="3634"/>
      <c r="BY81" s="3634"/>
      <c r="BZ81" s="3634"/>
      <c r="CA81" s="3634"/>
      <c r="CB81" s="3634"/>
      <c r="CC81" s="3634"/>
      <c r="CD81" s="3634"/>
      <c r="CE81" s="3634"/>
      <c r="CF81" s="3634"/>
    </row>
    <row r="82" spans="1:84" s="3640" customFormat="1" ht="18.5" x14ac:dyDescent="0.3">
      <c r="A82" s="4482" t="s">
        <v>1139</v>
      </c>
      <c r="B82" s="4483"/>
      <c r="C82" s="4483"/>
      <c r="D82" s="4483"/>
      <c r="E82" s="4483"/>
      <c r="F82" s="4483"/>
      <c r="G82" s="4483"/>
      <c r="H82" s="4483"/>
      <c r="I82" s="4483"/>
      <c r="J82" s="4483"/>
      <c r="K82" s="4483"/>
      <c r="L82" s="4483"/>
      <c r="M82" s="4483"/>
      <c r="N82" s="4483"/>
      <c r="O82" s="3669"/>
      <c r="P82" s="3670"/>
      <c r="Q82" s="3670"/>
      <c r="R82" s="3670"/>
      <c r="S82" s="3671"/>
      <c r="T82" s="3672"/>
      <c r="U82" s="3672"/>
      <c r="V82" s="3673"/>
      <c r="W82" s="3673"/>
      <c r="X82" s="3674"/>
      <c r="Y82" s="3675"/>
      <c r="Z82" s="3676"/>
    </row>
    <row r="83" spans="1:84" s="3678" customFormat="1" ht="15" thickBot="1" x14ac:dyDescent="0.35">
      <c r="A83" s="3634"/>
      <c r="B83" s="3638"/>
      <c r="C83" s="3638"/>
      <c r="D83" s="3638"/>
      <c r="E83" s="3637"/>
      <c r="F83" s="3637"/>
      <c r="G83" s="3737"/>
      <c r="H83" s="3737"/>
      <c r="I83" s="3638"/>
      <c r="J83" s="3738"/>
      <c r="K83" s="3738"/>
      <c r="L83" s="3638"/>
      <c r="M83" s="3638"/>
      <c r="N83" s="3637"/>
      <c r="O83" s="3636"/>
      <c r="P83" s="3634"/>
      <c r="Q83" s="3638"/>
      <c r="R83" s="3634"/>
      <c r="S83" s="3634"/>
      <c r="T83" s="3634"/>
      <c r="U83" s="3634"/>
      <c r="V83" s="3642"/>
      <c r="W83" s="3639"/>
      <c r="X83" s="3634"/>
      <c r="Y83" s="3634"/>
      <c r="Z83" s="3634"/>
      <c r="AA83" s="3634"/>
      <c r="AB83" s="3634"/>
      <c r="AC83" s="3634"/>
      <c r="AD83" s="3634"/>
      <c r="AE83" s="3634"/>
      <c r="AF83" s="3634"/>
      <c r="AG83" s="3634"/>
      <c r="AH83" s="3634"/>
      <c r="AI83" s="3634"/>
      <c r="AJ83" s="3634"/>
      <c r="AK83" s="3634"/>
      <c r="AL83" s="3634"/>
      <c r="AM83" s="3634"/>
      <c r="AN83" s="3634"/>
      <c r="AO83" s="3634"/>
      <c r="AP83" s="3634"/>
      <c r="AQ83" s="3634"/>
      <c r="AR83" s="3634"/>
      <c r="AS83" s="3634"/>
      <c r="AT83" s="3634"/>
      <c r="AU83" s="3634"/>
      <c r="AV83" s="3634"/>
      <c r="AW83" s="3634"/>
      <c r="AX83" s="3634"/>
      <c r="AY83" s="3634"/>
      <c r="AZ83" s="3634"/>
      <c r="BA83" s="3634"/>
      <c r="BB83" s="3634"/>
      <c r="BC83" s="3634"/>
      <c r="BD83" s="3634"/>
      <c r="BE83" s="3634"/>
      <c r="BF83" s="3634"/>
      <c r="BG83" s="3634"/>
      <c r="BH83" s="3634"/>
      <c r="BI83" s="3634"/>
      <c r="BJ83" s="3634"/>
      <c r="BK83" s="3634"/>
      <c r="BL83" s="3634"/>
      <c r="BM83" s="3634"/>
      <c r="BN83" s="3634"/>
      <c r="BO83" s="3634"/>
      <c r="BP83" s="3634"/>
      <c r="BQ83" s="3634"/>
      <c r="BR83" s="3634"/>
      <c r="BS83" s="3634"/>
      <c r="BT83" s="3634"/>
      <c r="BU83" s="3634"/>
      <c r="BV83" s="3634"/>
      <c r="BW83" s="3634"/>
      <c r="BX83" s="3634"/>
      <c r="BY83" s="3634"/>
      <c r="BZ83" s="3634"/>
      <c r="CA83" s="3634"/>
      <c r="CB83" s="3634"/>
      <c r="CC83" s="3634"/>
      <c r="CD83" s="3634"/>
      <c r="CE83" s="3634"/>
      <c r="CF83" s="3634"/>
    </row>
    <row r="84" spans="1:84" s="310" customFormat="1" ht="30" thickTop="1" thickBot="1" x14ac:dyDescent="0.35">
      <c r="A84" s="204">
        <v>7</v>
      </c>
      <c r="B84" s="1510" t="s">
        <v>1000</v>
      </c>
      <c r="C84" s="2109" t="s">
        <v>670</v>
      </c>
      <c r="D84" s="1947" t="s">
        <v>565</v>
      </c>
      <c r="E84" s="1377" t="b">
        <f>IF(AND(E85=TRUE,E86=TRUE,E87=TRUE,E88=TRUE),TRUE,FALSE)</f>
        <v>0</v>
      </c>
      <c r="F84" s="858">
        <f>COUNTIF(E85:E87,TRUE)</f>
        <v>0</v>
      </c>
      <c r="G84" s="410">
        <f>COUNTIFS(E85:E87,TRUE,G85:G87,"Not Blank")</f>
        <v>0</v>
      </c>
      <c r="H84" s="410">
        <f>COUNTIFS(E85:E87,FALSE,G85:G87,"Not Blank")</f>
        <v>0</v>
      </c>
      <c r="I84" s="1511" t="str">
        <f xml:space="preserve">
IF(G84&lt;F84,"Valid Entry required below - Check Amber Line/s",
IF(AND(E84=FALSE,G84=0,H84=0),"Nothing Entered below Yet",
IF(G84&lt;F84,"Valid Entry required below - Check Amber Line/s",
IF(AND(G84=0,H84&gt;0),"**Non-Valid Entry/ies below - Check Yellow Line/s",
IF(AND(G84&gt;0,H84&gt;0),"**Valid and Non-Valid Entries made below - Check Yellow Line/s",
IF(AND(E84=FALSE,F84&lt;3),"Not all requirements addressed below - Check Pink Line/s",
IF(AND(E84=FALSE,G84&lt;3,G84&gt;0,H84=0),"More entries to come",
IF(AND(E84,TRUE,G84=3,H84=0),"Valid Entries made below"
))))))))</f>
        <v>Nothing Entered below Yet</v>
      </c>
      <c r="J84" s="1512">
        <f>COUNTIFS(E85:E87,TRUE,J85:J87,"Not Blank")</f>
        <v>0</v>
      </c>
      <c r="K84" s="1512">
        <f>COUNTIFS(E85:E87,FALSE,J85:J87,"Not Blank")</f>
        <v>0</v>
      </c>
      <c r="L84" s="1511" t="str">
        <f xml:space="preserve">
IF(AND(E84=TRUE,J84&gt;3,K84=0),"**Too many Options used - check Red Boxes",
IF(J84&lt;F84,"Valid Entry required below - Check Amber Line/s",
IF(AND(E84=FALSE,J84=0,K84=0),"Nothing Entered below Yet",
IF(AND(J84=0,K84&gt;0),"**Non-Valid Entry/ies below - Check Yellow Line/s",
IF(AND(J84&gt;0,K84&gt;0),"**Valid and Non-Valid Entries made below - Check Yellow Line/s",
IF(AND(E84=FALSE,J84&lt;3),"Not all requirements addressed below - Check Pink Line/s",
IF(AND(E84=FALSE,J84&lt;3,J84&gt;0,K84=0),"More entries to come",
IF(AND(E84,TRUE,J84=3,K84=0),"Valid Entries made below"
))))))))</f>
        <v>Nothing Entered below Yet</v>
      </c>
      <c r="M84" s="809"/>
      <c r="N84" s="1513" t="s">
        <v>565</v>
      </c>
      <c r="O84" s="897" t="b">
        <f>IF(AND(O85=TRUE,O88=TRUE),TRUE,FALSE)</f>
        <v>0</v>
      </c>
      <c r="P84" s="809"/>
      <c r="Q84" s="698" t="s">
        <v>565</v>
      </c>
      <c r="R84" s="473" t="b">
        <f>IF(AND(R85=TRUE,R86=TRUE,R87=TRUE,R88=TRUE),TRUE,FALSE)</f>
        <v>0</v>
      </c>
      <c r="S84" s="418"/>
      <c r="T84" s="418"/>
      <c r="U84" s="809"/>
      <c r="V84" s="1363" t="s">
        <v>565</v>
      </c>
      <c r="W84" s="473" t="b">
        <f>IF(AND(W85=TRUE,W88=TRUE),TRUE,FALSE)</f>
        <v>0</v>
      </c>
      <c r="X84" s="418"/>
      <c r="Y84" s="418"/>
      <c r="Z84" s="809"/>
      <c r="AA84" s="308"/>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309"/>
    </row>
    <row r="85" spans="1:84" s="27" customFormat="1" ht="31.5" thickTop="1" x14ac:dyDescent="0.3">
      <c r="A85" s="28"/>
      <c r="B85" s="1495"/>
      <c r="C85" s="2105" t="s">
        <v>1001</v>
      </c>
      <c r="D85" s="1035" t="s">
        <v>3</v>
      </c>
      <c r="E85" s="1032" t="b">
        <f>IF(D85="Compliant",TRUE,FALSE)</f>
        <v>0</v>
      </c>
      <c r="F85" s="616"/>
      <c r="G85" s="1395" t="str">
        <f>IF(I85&lt;&gt;"", "Not Blank", "")</f>
        <v/>
      </c>
      <c r="H85" s="1395"/>
      <c r="I85" s="3445"/>
      <c r="J85" s="3446" t="str">
        <f>IF(L85&lt;&gt;"", "Not Blank", "")</f>
        <v/>
      </c>
      <c r="K85" s="3446"/>
      <c r="L85" s="3445"/>
      <c r="M85" s="3447"/>
      <c r="N85" s="4414" t="s">
        <v>3</v>
      </c>
      <c r="O85" s="4499" t="b">
        <f>IF(OR(N85="Compliant",N85="FE with work-a-round",N85="Functionally Equivalent"),TRUE,FALSE)</f>
        <v>0</v>
      </c>
      <c r="P85" s="120"/>
      <c r="Q85" s="1143" t="s">
        <v>3</v>
      </c>
      <c r="R85" s="773" t="b">
        <f>IF(OR(Q85="Compliant",Q85="FE with work-a-round",Q85="Functionally Equivalent"),TRUE,FALSE)</f>
        <v>0</v>
      </c>
      <c r="S85" s="111"/>
      <c r="T85" s="111"/>
      <c r="U85" s="120"/>
      <c r="V85" s="4471" t="s">
        <v>3</v>
      </c>
      <c r="W85" s="4469" t="b">
        <f>IF(OR(V85="Compliant",V85="FE with work-a-round",V85="Functionally Equivalent",V85="Not Required/Applicable"),TRUE,FALSE)</f>
        <v>0</v>
      </c>
      <c r="X85" s="111"/>
      <c r="Y85" s="111"/>
      <c r="Z85" s="120"/>
      <c r="AA85" s="65"/>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40"/>
    </row>
    <row r="86" spans="1:84" s="27" customFormat="1" ht="101.5" x14ac:dyDescent="0.3">
      <c r="A86" s="1419" t="s">
        <v>361</v>
      </c>
      <c r="B86" s="1504"/>
      <c r="C86" s="2106" t="s">
        <v>1047</v>
      </c>
      <c r="D86" s="699" t="s">
        <v>3</v>
      </c>
      <c r="E86" s="594" t="b">
        <f>IF(D86="Compliant",TRUE,FALSE)</f>
        <v>0</v>
      </c>
      <c r="F86" s="361"/>
      <c r="G86" s="361" t="str">
        <f>IF(I86&lt;&gt;"", "Not Blank", "")</f>
        <v/>
      </c>
      <c r="H86" s="361"/>
      <c r="I86" s="3433"/>
      <c r="J86" s="3432" t="str">
        <f>IF(L86&lt;&gt;"", "Not Blank", "")</f>
        <v/>
      </c>
      <c r="K86" s="3432"/>
      <c r="L86" s="3433"/>
      <c r="M86" s="3437"/>
      <c r="N86" s="4415"/>
      <c r="O86" s="4500"/>
      <c r="P86" s="122"/>
      <c r="Q86" s="847" t="s">
        <v>3</v>
      </c>
      <c r="R86" s="732" t="b">
        <f>IF(OR(Q86="Compliant",Q86="FE with work-a-round",Q86="Functionally Equivalent"),TRUE,FALSE)</f>
        <v>0</v>
      </c>
      <c r="S86" s="44"/>
      <c r="T86" s="44"/>
      <c r="U86" s="122"/>
      <c r="V86" s="4472"/>
      <c r="W86" s="4435"/>
      <c r="X86" s="44"/>
      <c r="Y86" s="44"/>
      <c r="Z86" s="122"/>
      <c r="AA86" s="65"/>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40"/>
    </row>
    <row r="87" spans="1:84" s="38" customFormat="1" ht="93.5" thickBot="1" x14ac:dyDescent="0.35">
      <c r="A87" s="28"/>
      <c r="B87" s="1505"/>
      <c r="C87" s="2108" t="s">
        <v>1045</v>
      </c>
      <c r="D87" s="700" t="s">
        <v>3</v>
      </c>
      <c r="E87" s="595" t="b">
        <f>IF(D87="Compliant",TRUE,FALSE)</f>
        <v>0</v>
      </c>
      <c r="F87" s="258"/>
      <c r="G87" s="1446" t="str">
        <f>IF(I87&lt;&gt;"", "Not Blank", "")</f>
        <v/>
      </c>
      <c r="H87" s="1446"/>
      <c r="I87" s="3448"/>
      <c r="J87" s="3430" t="str">
        <f>IF(L87&lt;&gt;"", "Not Blank", "")</f>
        <v/>
      </c>
      <c r="K87" s="3430"/>
      <c r="L87" s="3448"/>
      <c r="M87" s="3449"/>
      <c r="N87" s="4416"/>
      <c r="O87" s="4501"/>
      <c r="P87" s="125"/>
      <c r="Q87" s="848" t="s">
        <v>3</v>
      </c>
      <c r="R87" s="812" t="b">
        <f>IF(OR(Q87="Compliant",Q87="FE with work-a-round",Q87="Functionally Equivalent"),TRUE,FALSE)</f>
        <v>0</v>
      </c>
      <c r="S87" s="124"/>
      <c r="T87" s="124"/>
      <c r="U87" s="125"/>
      <c r="V87" s="4473"/>
      <c r="W87" s="4470"/>
      <c r="X87" s="124"/>
      <c r="Y87" s="124"/>
      <c r="Z87" s="125"/>
      <c r="AA87" s="65"/>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40"/>
    </row>
    <row r="88" spans="1:84" s="1453" customFormat="1" ht="47" thickTop="1" x14ac:dyDescent="0.3">
      <c r="A88" s="1419"/>
      <c r="B88" s="1495" t="s">
        <v>1634</v>
      </c>
      <c r="C88" s="2476" t="s">
        <v>1186</v>
      </c>
      <c r="D88" s="2149" t="s">
        <v>565</v>
      </c>
      <c r="E88" s="2460" t="b">
        <f>IF(AND(E93=TRUE,E94=TRUE,E95=TRUE),TRUE,FALSE)</f>
        <v>0</v>
      </c>
      <c r="F88" s="2461">
        <f>COUNTIF(E93:E95,TRUE)</f>
        <v>0</v>
      </c>
      <c r="G88" s="2474">
        <f>COUNTIFS(E93:E95,TRUE,G93:G95,"Not Blank")</f>
        <v>0</v>
      </c>
      <c r="H88" s="2474">
        <f>COUNTIFS(E93:E95,FALSE,G93:G95,"Not Blank")</f>
        <v>0</v>
      </c>
      <c r="I88" s="2467" t="str">
        <f xml:space="preserve">
IF(G88&lt;F88,"Valid Entry required below - Check Amber Line/s",
IF(AND(E88=FALSE,G88=0,H88=0),"Nothing Entered below Yet",
IF(G88&lt;F88,"Valid Entry required below - Check Amber Line/s",
IF(AND(G88=0,H88&gt;0),"**Non-Valid Entry/ies below - Check Yellow Line/s",
IF(AND(G88&gt;0,H88&gt;0),"**Valid and Non-Valid Entries made below - Check Yellow Line/s",
IF(AND(E88=FALSE,F88&lt;3),"Not all requirements addressed below - Check Pink Line/s",
IF(AND(E88=FALSE,G88&lt;3,G88&gt;0,H88=0),"More entries to come",
IF(AND(E88,TRUE,G88=3,H88=0),"Valid Entries made below"
))))))))</f>
        <v>Nothing Entered below Yet</v>
      </c>
      <c r="J88" s="2468">
        <f>COUNTIFS(E93:E95,TRUE,J93:J95,"Not Blank")</f>
        <v>0</v>
      </c>
      <c r="K88" s="2468">
        <f>COUNTIFS(E93:E95,FALSE,J93:J95,"Not Blank")</f>
        <v>0</v>
      </c>
      <c r="L88" s="2467" t="str">
        <f xml:space="preserve">
IF(AND(E88=TRUE,J88&gt;3,K88=0),"**Too many Options used - check Red Boxes",
IF(J88&lt;F88,"Valid Entry required below - Check Amber Line/s",
IF(AND(E88=FALSE,J88=0,K88=0),"Nothing Entered below Yet",
IF(AND(J88=0,K88&gt;0),"**Non-Valid Entry/ies below - Check Yellow Line/s",
IF(AND(J88&gt;0,K88&gt;0),"**Valid and Non-Valid Entries made below - Check Yellow Line/s",
IF(AND(E88=FALSE,J88&lt;3),"Not all requirements addressed below - Check Pink Line/s",
IF(AND(E88=FALSE,J88&lt;3,J88&gt;0,K88=0),"More entries to come",
IF(AND(E88,TRUE,J88=3,K88=0),"Valid Entries made below"
))))))))</f>
        <v>Nothing Entered below Yet</v>
      </c>
      <c r="M88" s="2176"/>
      <c r="N88" s="4414" t="s">
        <v>3</v>
      </c>
      <c r="O88" s="4495" t="b">
        <f>IF(OR(N88="Compliant",N88="FE with work-a-round",N88="Functionally Equivalent"),TRUE,FALSE)</f>
        <v>0</v>
      </c>
      <c r="P88" s="2478"/>
      <c r="Q88" s="2178" t="s">
        <v>565</v>
      </c>
      <c r="R88" s="1451" t="b">
        <f>IF(AND(R93=TRUE,R94=TRUE,R95=TRUE),TRUE,FALSE)</f>
        <v>0</v>
      </c>
      <c r="S88" s="1452"/>
      <c r="T88" s="1452"/>
      <c r="U88" s="1450"/>
      <c r="V88" s="4443" t="s">
        <v>3</v>
      </c>
      <c r="W88" s="4469" t="b">
        <f>IF(OR(V88="Compliant",V88="FE with work-a-round",V88="Functionally Equivalent",V88="Not Required/Applicable"),TRUE,FALSE)</f>
        <v>0</v>
      </c>
      <c r="X88" s="1452"/>
      <c r="Y88" s="1452"/>
      <c r="Z88" s="1450"/>
    </row>
    <row r="89" spans="1:84" s="1453" customFormat="1" ht="31" x14ac:dyDescent="0.3">
      <c r="A89" s="1419"/>
      <c r="B89" s="1504"/>
      <c r="C89" s="2456" t="s">
        <v>91</v>
      </c>
      <c r="D89" s="2096" t="s">
        <v>3</v>
      </c>
      <c r="E89" s="838" t="b">
        <f t="shared" ref="E89:E95" si="5">IF(D89="Compliant",TRUE,FALSE)</f>
        <v>0</v>
      </c>
      <c r="F89" s="390"/>
      <c r="G89" s="1567" t="str">
        <f t="shared" ref="G89:G95" si="6">IF(I89&lt;&gt;"", "Not Blank", "")</f>
        <v/>
      </c>
      <c r="H89" s="1567"/>
      <c r="I89" s="3433"/>
      <c r="J89" s="3432" t="str">
        <f t="shared" ref="J89:J93" si="7">IF(L89&lt;&gt;"", "Not Blank", "")</f>
        <v/>
      </c>
      <c r="K89" s="3432"/>
      <c r="L89" s="3433"/>
      <c r="M89" s="3437"/>
      <c r="N89" s="4415"/>
      <c r="O89" s="4496"/>
      <c r="P89" s="2477"/>
      <c r="Q89" s="1142" t="s">
        <v>3</v>
      </c>
      <c r="R89" s="732" t="b">
        <f t="shared" ref="R89:R95" si="8">IF(OR(Q89="Compliant",Q89="FE with work-a-round",Q89="Functionally Equivalent"),TRUE,FALSE)</f>
        <v>0</v>
      </c>
      <c r="S89" s="1455"/>
      <c r="T89" s="1455"/>
      <c r="U89" s="1454"/>
      <c r="V89" s="4444"/>
      <c r="W89" s="4435"/>
      <c r="X89" s="1455"/>
      <c r="Y89" s="1455"/>
      <c r="Z89" s="1454"/>
    </row>
    <row r="90" spans="1:84" s="1453" customFormat="1" ht="31" x14ac:dyDescent="0.3">
      <c r="A90" s="1419"/>
      <c r="B90" s="1504"/>
      <c r="C90" s="2106" t="s">
        <v>92</v>
      </c>
      <c r="D90" s="699" t="s">
        <v>3</v>
      </c>
      <c r="E90" s="594" t="b">
        <f t="shared" si="5"/>
        <v>0</v>
      </c>
      <c r="F90" s="361"/>
      <c r="G90" s="1403" t="str">
        <f t="shared" si="6"/>
        <v/>
      </c>
      <c r="H90" s="1403"/>
      <c r="I90" s="3433"/>
      <c r="J90" s="3432" t="str">
        <f t="shared" si="7"/>
        <v/>
      </c>
      <c r="K90" s="3432"/>
      <c r="L90" s="3433"/>
      <c r="M90" s="3437"/>
      <c r="N90" s="4415"/>
      <c r="O90" s="4496"/>
      <c r="P90" s="1454"/>
      <c r="Q90" s="847" t="s">
        <v>3</v>
      </c>
      <c r="R90" s="732" t="b">
        <f t="shared" si="8"/>
        <v>0</v>
      </c>
      <c r="S90" s="1455"/>
      <c r="T90" s="1455"/>
      <c r="U90" s="1454"/>
      <c r="V90" s="4444"/>
      <c r="W90" s="4435"/>
      <c r="X90" s="1455"/>
      <c r="Y90" s="1455"/>
      <c r="Z90" s="1454"/>
    </row>
    <row r="91" spans="1:84" s="1453" customFormat="1" ht="31" x14ac:dyDescent="0.3">
      <c r="A91" s="1419"/>
      <c r="B91" s="1504"/>
      <c r="C91" s="2106" t="s">
        <v>94</v>
      </c>
      <c r="D91" s="699" t="s">
        <v>3</v>
      </c>
      <c r="E91" s="594" t="b">
        <f t="shared" si="5"/>
        <v>0</v>
      </c>
      <c r="F91" s="361"/>
      <c r="G91" s="1403" t="str">
        <f t="shared" si="6"/>
        <v/>
      </c>
      <c r="H91" s="1403"/>
      <c r="I91" s="3433"/>
      <c r="J91" s="3432" t="str">
        <f t="shared" si="7"/>
        <v/>
      </c>
      <c r="K91" s="3432"/>
      <c r="L91" s="3433"/>
      <c r="M91" s="3437"/>
      <c r="N91" s="4415"/>
      <c r="O91" s="4496"/>
      <c r="P91" s="1454"/>
      <c r="Q91" s="847" t="s">
        <v>3</v>
      </c>
      <c r="R91" s="732" t="b">
        <f t="shared" si="8"/>
        <v>0</v>
      </c>
      <c r="S91" s="1455"/>
      <c r="T91" s="1455"/>
      <c r="U91" s="1454"/>
      <c r="V91" s="4444"/>
      <c r="W91" s="4435"/>
      <c r="X91" s="1455"/>
      <c r="Y91" s="1455"/>
      <c r="Z91" s="1454"/>
    </row>
    <row r="92" spans="1:84" s="1453" customFormat="1" ht="77.5" x14ac:dyDescent="0.3">
      <c r="A92" s="1419"/>
      <c r="B92" s="1504"/>
      <c r="C92" s="2106" t="s">
        <v>1241</v>
      </c>
      <c r="D92" s="699" t="s">
        <v>3</v>
      </c>
      <c r="E92" s="594" t="b">
        <f t="shared" si="5"/>
        <v>0</v>
      </c>
      <c r="F92" s="361"/>
      <c r="G92" s="1403" t="str">
        <f t="shared" si="6"/>
        <v/>
      </c>
      <c r="H92" s="1403"/>
      <c r="I92" s="3433"/>
      <c r="J92" s="3432" t="str">
        <f t="shared" si="7"/>
        <v/>
      </c>
      <c r="K92" s="3432"/>
      <c r="L92" s="3433"/>
      <c r="M92" s="3437"/>
      <c r="N92" s="4415"/>
      <c r="O92" s="4496"/>
      <c r="P92" s="1454"/>
      <c r="Q92" s="847" t="s">
        <v>3</v>
      </c>
      <c r="R92" s="732" t="b">
        <f t="shared" si="8"/>
        <v>0</v>
      </c>
      <c r="S92" s="1455"/>
      <c r="T92" s="1455"/>
      <c r="U92" s="1454"/>
      <c r="V92" s="4444"/>
      <c r="W92" s="4435"/>
      <c r="X92" s="1455"/>
      <c r="Y92" s="1455"/>
      <c r="Z92" s="1454"/>
    </row>
    <row r="93" spans="1:84" s="1462" customFormat="1" ht="62" x14ac:dyDescent="0.3">
      <c r="A93" s="1456"/>
      <c r="B93" s="1504"/>
      <c r="C93" s="2106" t="s">
        <v>134</v>
      </c>
      <c r="D93" s="699" t="s">
        <v>3</v>
      </c>
      <c r="E93" s="1585" t="b">
        <f t="shared" si="5"/>
        <v>0</v>
      </c>
      <c r="F93" s="1458"/>
      <c r="G93" s="1458" t="str">
        <f t="shared" si="6"/>
        <v/>
      </c>
      <c r="H93" s="1458"/>
      <c r="I93" s="3450"/>
      <c r="J93" s="3451" t="str">
        <f t="shared" si="7"/>
        <v/>
      </c>
      <c r="K93" s="3451"/>
      <c r="L93" s="3450"/>
      <c r="M93" s="3452"/>
      <c r="N93" s="4415"/>
      <c r="O93" s="4496"/>
      <c r="P93" s="1461"/>
      <c r="Q93" s="847" t="s">
        <v>3</v>
      </c>
      <c r="R93" s="732" t="b">
        <f t="shared" si="8"/>
        <v>0</v>
      </c>
      <c r="S93" s="1459"/>
      <c r="T93" s="1459"/>
      <c r="U93" s="1461"/>
      <c r="V93" s="4444"/>
      <c r="W93" s="4435"/>
      <c r="X93" s="1459"/>
      <c r="Y93" s="1459"/>
      <c r="Z93" s="1461"/>
    </row>
    <row r="94" spans="1:84" s="1419" customFormat="1" ht="31" x14ac:dyDescent="0.3">
      <c r="B94" s="1504"/>
      <c r="C94" s="2106" t="s">
        <v>1214</v>
      </c>
      <c r="D94" s="699" t="s">
        <v>3</v>
      </c>
      <c r="E94" s="1585" t="b">
        <f t="shared" si="5"/>
        <v>0</v>
      </c>
      <c r="F94" s="1458"/>
      <c r="G94" s="1458" t="str">
        <f t="shared" si="6"/>
        <v/>
      </c>
      <c r="H94" s="1458"/>
      <c r="I94" s="3453"/>
      <c r="J94" s="3451"/>
      <c r="K94" s="3451"/>
      <c r="L94" s="3453"/>
      <c r="M94" s="3454"/>
      <c r="N94" s="4415"/>
      <c r="O94" s="4496"/>
      <c r="P94" s="1463"/>
      <c r="Q94" s="847" t="s">
        <v>3</v>
      </c>
      <c r="R94" s="732" t="b">
        <f t="shared" si="8"/>
        <v>0</v>
      </c>
      <c r="S94" s="1458"/>
      <c r="T94" s="1458"/>
      <c r="U94" s="1463"/>
      <c r="V94" s="4444"/>
      <c r="W94" s="4435"/>
      <c r="X94" s="1458"/>
      <c r="Y94" s="1458"/>
      <c r="Z94" s="1463"/>
    </row>
    <row r="95" spans="1:84" s="1419" customFormat="1" ht="31.5" thickBot="1" x14ac:dyDescent="0.35">
      <c r="B95" s="1505"/>
      <c r="C95" s="2108" t="s">
        <v>142</v>
      </c>
      <c r="D95" s="700" t="s">
        <v>3</v>
      </c>
      <c r="E95" s="1590" t="b">
        <f t="shared" si="5"/>
        <v>0</v>
      </c>
      <c r="F95" s="1464"/>
      <c r="G95" s="1464" t="str">
        <f t="shared" si="6"/>
        <v/>
      </c>
      <c r="H95" s="1464"/>
      <c r="I95" s="3455"/>
      <c r="J95" s="3456"/>
      <c r="K95" s="3457"/>
      <c r="L95" s="3458"/>
      <c r="M95" s="3459"/>
      <c r="N95" s="4416"/>
      <c r="O95" s="4497"/>
      <c r="P95" s="1467"/>
      <c r="Q95" s="848" t="s">
        <v>3</v>
      </c>
      <c r="R95" s="812" t="b">
        <f t="shared" si="8"/>
        <v>0</v>
      </c>
      <c r="S95" s="1464"/>
      <c r="T95" s="1464"/>
      <c r="U95" s="1467"/>
      <c r="V95" s="4445"/>
      <c r="W95" s="4470"/>
      <c r="X95" s="1464"/>
      <c r="Y95" s="1464"/>
      <c r="Z95" s="1467"/>
    </row>
    <row r="96" spans="1:84" s="3651" customFormat="1" ht="24.65" customHeight="1" thickTop="1" x14ac:dyDescent="0.3">
      <c r="C96" s="3636"/>
      <c r="D96" s="3636"/>
      <c r="E96" s="3636"/>
      <c r="F96" s="3993"/>
      <c r="G96" s="3993"/>
      <c r="H96" s="3993"/>
      <c r="I96" s="3634"/>
      <c r="J96" s="3994"/>
      <c r="K96" s="3643"/>
      <c r="L96" s="3640"/>
      <c r="M96" s="3640"/>
      <c r="N96" s="3640"/>
      <c r="O96" s="3640"/>
    </row>
    <row r="97" spans="2:26" s="3651" customFormat="1" ht="40.75" customHeight="1" x14ac:dyDescent="0.3">
      <c r="B97" s="4466" t="s">
        <v>2048</v>
      </c>
      <c r="C97" s="4467"/>
      <c r="D97" s="3804"/>
      <c r="E97" s="3804"/>
      <c r="F97" s="3810"/>
      <c r="G97" s="3810"/>
      <c r="H97" s="3810"/>
      <c r="I97" s="3805"/>
      <c r="J97" s="3995"/>
      <c r="K97" s="3820"/>
      <c r="L97" s="3775"/>
      <c r="M97" s="3775"/>
      <c r="N97" s="3775"/>
      <c r="O97" s="3775"/>
      <c r="P97" s="3996"/>
      <c r="Q97" s="3996"/>
      <c r="R97" s="3996"/>
      <c r="S97" s="3996"/>
      <c r="T97" s="3996"/>
      <c r="U97" s="3996"/>
      <c r="V97" s="3996"/>
      <c r="W97" s="3996"/>
      <c r="X97" s="3996"/>
      <c r="Y97" s="3996"/>
      <c r="Z97" s="3996"/>
    </row>
    <row r="98" spans="2:26" s="1419" customFormat="1" ht="14.5" x14ac:dyDescent="0.3">
      <c r="C98" s="57"/>
      <c r="D98" s="57"/>
      <c r="E98" s="57"/>
      <c r="F98" s="1386"/>
      <c r="G98" s="1386"/>
      <c r="H98" s="1386"/>
      <c r="I98" s="28"/>
      <c r="J98" s="1388"/>
      <c r="K98" s="217"/>
      <c r="L98" s="1394"/>
      <c r="M98" s="1394"/>
      <c r="N98" s="1394"/>
      <c r="O98" s="1394"/>
    </row>
    <row r="99" spans="2:26" s="1419" customFormat="1" ht="126.65" customHeight="1" x14ac:dyDescent="0.3">
      <c r="C99" s="57"/>
      <c r="D99" s="57"/>
      <c r="E99" s="57"/>
      <c r="F99" s="1386"/>
      <c r="G99" s="1386"/>
      <c r="H99" s="1386"/>
      <c r="I99" s="28"/>
      <c r="J99" s="1388"/>
      <c r="K99" s="217"/>
      <c r="L99" s="1394"/>
      <c r="M99" s="1394"/>
      <c r="N99" s="1394"/>
      <c r="O99" s="1394"/>
    </row>
    <row r="100" spans="2:26" s="1419" customFormat="1" ht="14.5" x14ac:dyDescent="0.3">
      <c r="C100" s="57"/>
      <c r="D100" s="57"/>
      <c r="E100" s="57"/>
      <c r="F100" s="1386"/>
      <c r="G100" s="1386"/>
      <c r="H100" s="1386"/>
      <c r="I100" s="28"/>
      <c r="J100" s="1388"/>
      <c r="K100" s="217"/>
      <c r="L100" s="1394"/>
      <c r="M100" s="1394"/>
      <c r="N100" s="1394"/>
      <c r="O100" s="1394"/>
    </row>
    <row r="101" spans="2:26" s="1419" customFormat="1" ht="14.5" x14ac:dyDescent="0.3">
      <c r="C101" s="57"/>
      <c r="D101" s="57"/>
      <c r="E101" s="57"/>
      <c r="F101" s="1386"/>
      <c r="G101" s="1386"/>
      <c r="H101" s="1386"/>
      <c r="I101" s="28"/>
      <c r="J101" s="1388"/>
      <c r="K101" s="217"/>
      <c r="L101" s="1394"/>
      <c r="M101" s="1394"/>
      <c r="N101" s="1394"/>
      <c r="O101" s="1394"/>
    </row>
    <row r="102" spans="2:26" s="1419" customFormat="1" ht="169.5" customHeight="1" x14ac:dyDescent="0.3">
      <c r="C102" s="57"/>
      <c r="D102" s="57"/>
      <c r="E102" s="57"/>
      <c r="F102" s="1386"/>
      <c r="G102" s="1386"/>
      <c r="H102" s="1386"/>
      <c r="I102" s="28"/>
      <c r="J102" s="1388"/>
      <c r="K102" s="217"/>
      <c r="L102" s="1394"/>
      <c r="M102" s="1394"/>
      <c r="N102" s="1394"/>
      <c r="O102" s="1394"/>
    </row>
    <row r="103" spans="2:26" s="1419" customFormat="1" ht="14.5" x14ac:dyDescent="0.3">
      <c r="B103" s="1468"/>
      <c r="C103" s="57"/>
      <c r="D103" s="57"/>
      <c r="E103" s="57"/>
      <c r="F103" s="1386"/>
      <c r="G103" s="1386"/>
      <c r="H103" s="1386"/>
      <c r="I103" s="28"/>
      <c r="J103" s="1388"/>
      <c r="K103" s="217"/>
      <c r="L103" s="1394"/>
      <c r="M103" s="1394"/>
      <c r="N103" s="1394"/>
      <c r="O103" s="1394"/>
    </row>
    <row r="104" spans="2:26" s="1419" customFormat="1" ht="14.5" x14ac:dyDescent="0.3">
      <c r="C104" s="57"/>
      <c r="D104" s="57"/>
      <c r="E104" s="57"/>
      <c r="F104" s="1386"/>
      <c r="G104" s="1386"/>
      <c r="H104" s="1386"/>
      <c r="I104" s="28"/>
      <c r="J104" s="1388"/>
      <c r="K104" s="217"/>
      <c r="L104" s="1394"/>
      <c r="M104" s="1394"/>
      <c r="N104" s="1394"/>
      <c r="O104" s="1394"/>
    </row>
    <row r="105" spans="2:26" s="1419" customFormat="1" ht="14.5" x14ac:dyDescent="0.3">
      <c r="C105" s="57"/>
      <c r="D105" s="57"/>
      <c r="E105" s="57"/>
      <c r="F105" s="1386"/>
      <c r="G105" s="1386"/>
      <c r="H105" s="1386"/>
      <c r="I105" s="28"/>
      <c r="J105" s="1388"/>
      <c r="K105" s="217"/>
      <c r="L105" s="1394"/>
      <c r="M105" s="1394"/>
      <c r="N105" s="1394"/>
      <c r="O105" s="1394"/>
    </row>
    <row r="106" spans="2:26" s="1419" customFormat="1" ht="14.5" x14ac:dyDescent="0.3">
      <c r="B106" s="1468"/>
      <c r="C106" s="57"/>
      <c r="D106" s="57"/>
      <c r="E106" s="57"/>
      <c r="F106" s="1386"/>
      <c r="G106" s="1386"/>
      <c r="H106" s="1386"/>
      <c r="I106" s="28"/>
      <c r="J106" s="1388"/>
      <c r="K106" s="217"/>
      <c r="L106" s="1394"/>
      <c r="M106" s="1394"/>
      <c r="N106" s="1394"/>
      <c r="O106" s="1394"/>
    </row>
    <row r="107" spans="2:26" s="1419" customFormat="1" ht="70" customHeight="1" x14ac:dyDescent="0.3">
      <c r="C107" s="57"/>
      <c r="D107" s="57"/>
      <c r="E107" s="57"/>
      <c r="F107" s="1386"/>
      <c r="G107" s="1386"/>
      <c r="H107" s="1386"/>
      <c r="I107" s="28"/>
      <c r="J107" s="1388"/>
      <c r="K107" s="217"/>
      <c r="L107" s="1394"/>
      <c r="M107" s="1394"/>
      <c r="N107" s="1394"/>
      <c r="O107" s="1394"/>
    </row>
    <row r="108" spans="2:26" s="1419" customFormat="1" ht="77.5" customHeight="1" x14ac:dyDescent="0.3">
      <c r="C108" s="57"/>
      <c r="D108" s="57"/>
      <c r="E108" s="57"/>
      <c r="F108" s="1386"/>
      <c r="G108" s="1386"/>
      <c r="H108" s="1386"/>
      <c r="I108" s="28"/>
      <c r="J108" s="1388"/>
      <c r="K108" s="217"/>
      <c r="L108" s="1394"/>
      <c r="M108" s="1394"/>
      <c r="N108" s="1394"/>
      <c r="O108" s="1394"/>
    </row>
    <row r="109" spans="2:26" s="1419" customFormat="1" ht="14.5" x14ac:dyDescent="0.3">
      <c r="C109" s="57"/>
      <c r="D109" s="57"/>
      <c r="E109" s="57"/>
      <c r="F109" s="1386"/>
      <c r="G109" s="1386"/>
      <c r="H109" s="1386"/>
      <c r="I109" s="28"/>
      <c r="J109" s="1388"/>
      <c r="K109" s="217"/>
      <c r="L109" s="1394"/>
      <c r="M109" s="1394"/>
      <c r="N109" s="1394"/>
      <c r="O109" s="1394"/>
    </row>
    <row r="110" spans="2:26" s="1419" customFormat="1" ht="14.5" x14ac:dyDescent="0.3">
      <c r="C110" s="57"/>
      <c r="D110" s="57"/>
      <c r="E110" s="57"/>
      <c r="F110" s="1386"/>
      <c r="G110" s="1386"/>
      <c r="H110" s="1386"/>
      <c r="I110" s="28"/>
      <c r="J110" s="1388"/>
      <c r="K110" s="217"/>
      <c r="L110" s="1394"/>
      <c r="M110" s="1394"/>
      <c r="N110" s="1394"/>
      <c r="O110" s="1394"/>
    </row>
    <row r="111" spans="2:26" s="1419" customFormat="1" ht="14.5" x14ac:dyDescent="0.3">
      <c r="C111" s="57"/>
      <c r="D111" s="57"/>
      <c r="E111" s="57"/>
      <c r="F111" s="1386"/>
      <c r="G111" s="1386"/>
      <c r="H111" s="1386"/>
      <c r="I111" s="28"/>
      <c r="J111" s="1388"/>
      <c r="K111" s="217"/>
      <c r="L111" s="1394"/>
      <c r="M111" s="1394"/>
      <c r="N111" s="1394"/>
      <c r="O111" s="1394"/>
    </row>
    <row r="112" spans="2:26" s="1419" customFormat="1" ht="14.5" x14ac:dyDescent="0.3">
      <c r="C112" s="57"/>
      <c r="D112" s="57"/>
      <c r="E112" s="57"/>
      <c r="F112" s="1386"/>
      <c r="G112" s="1386"/>
      <c r="H112" s="1386"/>
      <c r="I112" s="28"/>
      <c r="J112" s="1388"/>
      <c r="K112" s="217"/>
      <c r="L112" s="1394"/>
      <c r="M112" s="1394"/>
      <c r="N112" s="1394"/>
      <c r="O112" s="1394"/>
    </row>
    <row r="113" spans="3:15" s="1419" customFormat="1" ht="14.5" x14ac:dyDescent="0.3">
      <c r="C113" s="57"/>
      <c r="D113" s="57"/>
      <c r="E113" s="57"/>
      <c r="F113" s="1386"/>
      <c r="G113" s="1386"/>
      <c r="H113" s="1386"/>
      <c r="I113" s="28"/>
      <c r="J113" s="1388"/>
      <c r="K113" s="217"/>
      <c r="L113" s="1394"/>
      <c r="M113" s="1394"/>
      <c r="N113" s="1394"/>
      <c r="O113" s="1394"/>
    </row>
    <row r="114" spans="3:15" s="1419" customFormat="1" ht="14.5" x14ac:dyDescent="0.3">
      <c r="C114" s="57"/>
      <c r="D114" s="57"/>
      <c r="E114" s="57"/>
      <c r="F114" s="1386"/>
      <c r="G114" s="1386"/>
      <c r="H114" s="1386"/>
      <c r="I114" s="28"/>
      <c r="J114" s="1388"/>
      <c r="K114" s="217"/>
      <c r="L114" s="1394"/>
      <c r="M114" s="1394"/>
      <c r="N114" s="1394"/>
      <c r="O114" s="1394"/>
    </row>
    <row r="115" spans="3:15" s="1419" customFormat="1" ht="14.5" x14ac:dyDescent="0.3">
      <c r="C115" s="57"/>
      <c r="D115" s="57"/>
      <c r="E115" s="57"/>
      <c r="F115" s="1386"/>
      <c r="G115" s="1386"/>
      <c r="H115" s="1386"/>
      <c r="I115" s="28"/>
      <c r="J115" s="1388"/>
      <c r="K115" s="217"/>
      <c r="L115" s="1394"/>
      <c r="M115" s="1394"/>
      <c r="N115" s="1394"/>
      <c r="O115" s="1394"/>
    </row>
    <row r="116" spans="3:15" s="1419" customFormat="1" ht="14.5" x14ac:dyDescent="0.3">
      <c r="C116" s="57"/>
      <c r="D116" s="57"/>
      <c r="E116" s="57"/>
      <c r="F116" s="1386"/>
      <c r="G116" s="1386"/>
      <c r="H116" s="1386"/>
      <c r="I116" s="28"/>
      <c r="J116" s="1388"/>
      <c r="K116" s="217"/>
      <c r="L116" s="1394"/>
      <c r="M116" s="1394"/>
      <c r="N116" s="1394"/>
      <c r="O116" s="1394"/>
    </row>
    <row r="117" spans="3:15" s="1419" customFormat="1" ht="14.5" x14ac:dyDescent="0.3">
      <c r="C117" s="57"/>
      <c r="D117" s="57"/>
      <c r="E117" s="57"/>
      <c r="F117" s="1386"/>
      <c r="G117" s="1386"/>
      <c r="H117" s="1386"/>
      <c r="I117" s="28"/>
      <c r="J117" s="1388"/>
      <c r="K117" s="217"/>
      <c r="L117" s="1394"/>
      <c r="M117" s="1394"/>
      <c r="N117" s="1394"/>
      <c r="O117" s="1394"/>
    </row>
    <row r="118" spans="3:15" s="1419" customFormat="1" ht="14.5" x14ac:dyDescent="0.3">
      <c r="C118" s="57"/>
      <c r="D118" s="57"/>
      <c r="E118" s="57"/>
      <c r="F118" s="1386"/>
      <c r="G118" s="1386"/>
      <c r="H118" s="1386"/>
      <c r="I118" s="28"/>
      <c r="J118" s="1388"/>
      <c r="K118" s="217"/>
      <c r="L118" s="1394"/>
      <c r="M118" s="1394"/>
      <c r="N118" s="1394"/>
      <c r="O118" s="1394"/>
    </row>
    <row r="119" spans="3:15" s="1419" customFormat="1" ht="14.5" x14ac:dyDescent="0.3">
      <c r="C119" s="57"/>
      <c r="D119" s="57"/>
      <c r="E119" s="57"/>
      <c r="F119" s="1386"/>
      <c r="G119" s="1386"/>
      <c r="H119" s="1386"/>
      <c r="I119" s="28"/>
      <c r="J119" s="1388"/>
      <c r="K119" s="217"/>
      <c r="L119" s="1394"/>
      <c r="M119" s="1394"/>
      <c r="N119" s="1394"/>
      <c r="O119" s="1394"/>
    </row>
    <row r="120" spans="3:15" s="1419" customFormat="1" ht="14.5" x14ac:dyDescent="0.3">
      <c r="C120" s="57"/>
      <c r="D120" s="57"/>
      <c r="E120" s="57"/>
      <c r="F120" s="1386"/>
      <c r="G120" s="1386"/>
      <c r="H120" s="1386"/>
      <c r="I120" s="28"/>
      <c r="J120" s="1388"/>
      <c r="K120" s="217"/>
      <c r="L120" s="1394"/>
      <c r="M120" s="1394"/>
      <c r="N120" s="1394"/>
      <c r="O120" s="1394"/>
    </row>
    <row r="121" spans="3:15" s="1419" customFormat="1" ht="208" customHeight="1" x14ac:dyDescent="0.3">
      <c r="C121" s="57"/>
      <c r="D121" s="57"/>
      <c r="E121" s="57"/>
      <c r="F121" s="1386"/>
      <c r="G121" s="1386"/>
      <c r="H121" s="1386"/>
      <c r="I121" s="28"/>
      <c r="J121" s="1388"/>
      <c r="K121" s="217"/>
      <c r="L121" s="1394"/>
      <c r="M121" s="1394"/>
      <c r="N121" s="1394"/>
      <c r="O121" s="1394"/>
    </row>
    <row r="122" spans="3:15" s="1419" customFormat="1" ht="14.5" x14ac:dyDescent="0.3">
      <c r="C122" s="57"/>
      <c r="D122" s="57"/>
      <c r="E122" s="57"/>
      <c r="F122" s="1386"/>
      <c r="G122" s="1386"/>
      <c r="H122" s="1386"/>
      <c r="I122" s="28"/>
      <c r="J122" s="1388"/>
      <c r="K122" s="217"/>
      <c r="L122" s="1394"/>
      <c r="M122" s="1394"/>
      <c r="N122" s="1394"/>
      <c r="O122" s="1394"/>
    </row>
    <row r="123" spans="3:15" s="1419" customFormat="1" x14ac:dyDescent="0.3">
      <c r="J123" s="1469"/>
      <c r="K123" s="1469"/>
    </row>
    <row r="124" spans="3:15" s="1419" customFormat="1" x14ac:dyDescent="0.3">
      <c r="J124" s="1469"/>
      <c r="K124" s="1469"/>
    </row>
    <row r="125" spans="3:15" s="1419" customFormat="1" x14ac:dyDescent="0.3">
      <c r="J125" s="1469"/>
      <c r="K125" s="1469"/>
    </row>
    <row r="126" spans="3:15" s="1419" customFormat="1" x14ac:dyDescent="0.3">
      <c r="J126" s="1469"/>
      <c r="K126" s="1469"/>
    </row>
    <row r="127" spans="3:15" s="1419" customFormat="1" x14ac:dyDescent="0.3">
      <c r="J127" s="1469"/>
      <c r="K127" s="1469"/>
    </row>
    <row r="128" spans="3:15" s="1419" customFormat="1" x14ac:dyDescent="0.3">
      <c r="J128" s="1469"/>
      <c r="K128" s="1469"/>
    </row>
    <row r="129" spans="10:11" s="1419" customFormat="1" x14ac:dyDescent="0.3">
      <c r="J129" s="1469"/>
      <c r="K129" s="1469"/>
    </row>
    <row r="130" spans="10:11" s="1419" customFormat="1" x14ac:dyDescent="0.3">
      <c r="J130" s="1469"/>
      <c r="K130" s="1469"/>
    </row>
    <row r="131" spans="10:11" s="1419" customFormat="1" x14ac:dyDescent="0.3">
      <c r="J131" s="1469"/>
      <c r="K131" s="1469"/>
    </row>
    <row r="132" spans="10:11" s="1419" customFormat="1" x14ac:dyDescent="0.3">
      <c r="J132" s="1469"/>
      <c r="K132" s="1469"/>
    </row>
    <row r="133" spans="10:11" s="1419" customFormat="1" x14ac:dyDescent="0.3">
      <c r="J133" s="1469"/>
      <c r="K133" s="1469"/>
    </row>
    <row r="134" spans="10:11" s="1419" customFormat="1" x14ac:dyDescent="0.3">
      <c r="J134" s="1469"/>
      <c r="K134" s="1469"/>
    </row>
    <row r="135" spans="10:11" s="1419" customFormat="1" x14ac:dyDescent="0.3">
      <c r="J135" s="1469"/>
      <c r="K135" s="1469"/>
    </row>
    <row r="136" spans="10:11" s="1419" customFormat="1" x14ac:dyDescent="0.3">
      <c r="J136" s="1469"/>
      <c r="K136" s="1469"/>
    </row>
    <row r="137" spans="10:11" s="1419" customFormat="1" x14ac:dyDescent="0.3">
      <c r="J137" s="1469"/>
      <c r="K137" s="1469"/>
    </row>
    <row r="138" spans="10:11" s="1419" customFormat="1" x14ac:dyDescent="0.3">
      <c r="J138" s="1469"/>
      <c r="K138" s="1469"/>
    </row>
    <row r="139" spans="10:11" s="1419" customFormat="1" x14ac:dyDescent="0.3">
      <c r="J139" s="1469"/>
      <c r="K139" s="1469"/>
    </row>
    <row r="140" spans="10:11" s="1419" customFormat="1" x14ac:dyDescent="0.3">
      <c r="J140" s="1469"/>
      <c r="K140" s="1469"/>
    </row>
    <row r="141" spans="10:11" s="1419" customFormat="1" x14ac:dyDescent="0.3">
      <c r="J141" s="1469"/>
      <c r="K141" s="1469"/>
    </row>
    <row r="142" spans="10:11" s="1419" customFormat="1" x14ac:dyDescent="0.3">
      <c r="J142" s="1469"/>
      <c r="K142" s="1469"/>
    </row>
    <row r="143" spans="10:11" s="1419" customFormat="1" x14ac:dyDescent="0.3">
      <c r="J143" s="1469"/>
      <c r="K143" s="1469"/>
    </row>
    <row r="144" spans="10:11" s="1419" customFormat="1" x14ac:dyDescent="0.3">
      <c r="J144" s="1469"/>
      <c r="K144" s="1469"/>
    </row>
    <row r="145" spans="5:11" s="1419" customFormat="1" x14ac:dyDescent="0.3">
      <c r="J145" s="1469"/>
      <c r="K145" s="1469"/>
    </row>
    <row r="146" spans="5:11" s="1419" customFormat="1" x14ac:dyDescent="0.3">
      <c r="J146" s="1469"/>
      <c r="K146" s="1469"/>
    </row>
    <row r="147" spans="5:11" s="1419" customFormat="1" x14ac:dyDescent="0.3">
      <c r="J147" s="1469"/>
      <c r="K147" s="1469"/>
    </row>
    <row r="148" spans="5:11" s="1419" customFormat="1" x14ac:dyDescent="0.3">
      <c r="J148" s="1469"/>
      <c r="K148" s="1469"/>
    </row>
    <row r="149" spans="5:11" s="1419" customFormat="1" x14ac:dyDescent="0.3">
      <c r="J149" s="1469"/>
      <c r="K149" s="1469"/>
    </row>
    <row r="150" spans="5:11" s="1419" customFormat="1" x14ac:dyDescent="0.3">
      <c r="J150" s="1469"/>
      <c r="K150" s="1469"/>
    </row>
    <row r="151" spans="5:11" s="1419" customFormat="1" x14ac:dyDescent="0.3">
      <c r="J151" s="1469"/>
      <c r="K151" s="1469"/>
    </row>
    <row r="152" spans="5:11" s="1419" customFormat="1" x14ac:dyDescent="0.3">
      <c r="J152" s="1469"/>
      <c r="K152" s="1469"/>
    </row>
    <row r="153" spans="5:11" s="1419" customFormat="1" x14ac:dyDescent="0.3">
      <c r="J153" s="1469"/>
      <c r="K153" s="1469"/>
    </row>
    <row r="154" spans="5:11" s="1419" customFormat="1" x14ac:dyDescent="0.3">
      <c r="J154" s="1469"/>
      <c r="K154" s="1469"/>
    </row>
    <row r="155" spans="5:11" s="1419" customFormat="1" x14ac:dyDescent="0.3">
      <c r="J155" s="1469"/>
      <c r="K155" s="1469"/>
    </row>
    <row r="156" spans="5:11" s="1419" customFormat="1" x14ac:dyDescent="0.3">
      <c r="J156" s="1469"/>
      <c r="K156" s="1469"/>
    </row>
    <row r="157" spans="5:11" s="1419" customFormat="1" x14ac:dyDescent="0.3">
      <c r="J157" s="1469"/>
      <c r="K157" s="1469"/>
    </row>
    <row r="158" spans="5:11" s="1470" customFormat="1" x14ac:dyDescent="0.3">
      <c r="E158" s="1419"/>
      <c r="F158" s="1419"/>
      <c r="G158" s="1419"/>
      <c r="H158" s="1419"/>
      <c r="J158" s="1469"/>
      <c r="K158" s="1469"/>
    </row>
    <row r="159" spans="5:11" s="1470" customFormat="1" x14ac:dyDescent="0.3">
      <c r="E159" s="1419"/>
      <c r="F159" s="1419"/>
      <c r="G159" s="1419"/>
      <c r="H159" s="1419"/>
      <c r="J159" s="1469"/>
      <c r="K159" s="1469"/>
    </row>
    <row r="160" spans="5:11" s="1470" customFormat="1" x14ac:dyDescent="0.3">
      <c r="E160" s="1419"/>
      <c r="F160" s="1419"/>
      <c r="G160" s="1419"/>
      <c r="H160" s="1419"/>
      <c r="J160" s="1469"/>
      <c r="K160" s="1469"/>
    </row>
    <row r="161" spans="5:11" s="1470" customFormat="1" x14ac:dyDescent="0.3">
      <c r="E161" s="1419"/>
      <c r="F161" s="1419"/>
      <c r="G161" s="1419"/>
      <c r="H161" s="1419"/>
      <c r="J161" s="1469"/>
      <c r="K161" s="1469"/>
    </row>
    <row r="162" spans="5:11" s="1470" customFormat="1" x14ac:dyDescent="0.3">
      <c r="E162" s="1419"/>
      <c r="F162" s="1419"/>
      <c r="G162" s="1419"/>
      <c r="H162" s="1419"/>
      <c r="J162" s="1469"/>
      <c r="K162" s="1469"/>
    </row>
    <row r="163" spans="5:11" s="1470" customFormat="1" x14ac:dyDescent="0.3">
      <c r="E163" s="1419"/>
      <c r="F163" s="1419"/>
      <c r="G163" s="1419"/>
      <c r="H163" s="1419"/>
      <c r="J163" s="1469"/>
      <c r="K163" s="1469"/>
    </row>
    <row r="164" spans="5:11" s="1470" customFormat="1" x14ac:dyDescent="0.3">
      <c r="E164" s="1419"/>
      <c r="F164" s="1419"/>
      <c r="G164" s="1419"/>
      <c r="H164" s="1419"/>
      <c r="J164" s="1469"/>
      <c r="K164" s="1469"/>
    </row>
    <row r="165" spans="5:11" s="1470" customFormat="1" x14ac:dyDescent="0.3">
      <c r="E165" s="1419"/>
      <c r="F165" s="1419"/>
      <c r="G165" s="1419"/>
      <c r="H165" s="1419"/>
      <c r="J165" s="1469"/>
      <c r="K165" s="1469"/>
    </row>
    <row r="166" spans="5:11" s="1470" customFormat="1" x14ac:dyDescent="0.3">
      <c r="E166" s="1419"/>
      <c r="F166" s="1419"/>
      <c r="G166" s="1419"/>
      <c r="H166" s="1419"/>
      <c r="J166" s="1469"/>
      <c r="K166" s="1469"/>
    </row>
    <row r="167" spans="5:11" s="1470" customFormat="1" x14ac:dyDescent="0.3">
      <c r="E167" s="1419"/>
      <c r="F167" s="1419"/>
      <c r="G167" s="1419"/>
      <c r="H167" s="1419"/>
      <c r="J167" s="1469"/>
      <c r="K167" s="1469"/>
    </row>
    <row r="168" spans="5:11" s="1470" customFormat="1" x14ac:dyDescent="0.3">
      <c r="E168" s="1419"/>
      <c r="F168" s="1419"/>
      <c r="G168" s="1419"/>
      <c r="H168" s="1419"/>
      <c r="J168" s="1469"/>
      <c r="K168" s="1469"/>
    </row>
    <row r="169" spans="5:11" s="1470" customFormat="1" x14ac:dyDescent="0.3">
      <c r="E169" s="1419"/>
      <c r="F169" s="1419"/>
      <c r="G169" s="1419"/>
      <c r="H169" s="1419"/>
      <c r="J169" s="1469"/>
      <c r="K169" s="1469"/>
    </row>
    <row r="170" spans="5:11" s="1470" customFormat="1" x14ac:dyDescent="0.3">
      <c r="E170" s="1419"/>
      <c r="F170" s="1419"/>
      <c r="G170" s="1419"/>
      <c r="H170" s="1419"/>
      <c r="J170" s="1469"/>
      <c r="K170" s="1469"/>
    </row>
    <row r="171" spans="5:11" s="1470" customFormat="1" x14ac:dyDescent="0.3">
      <c r="E171" s="1419"/>
      <c r="F171" s="1419"/>
      <c r="G171" s="1419"/>
      <c r="H171" s="1419"/>
      <c r="J171" s="1469"/>
      <c r="K171" s="1469"/>
    </row>
    <row r="172" spans="5:11" s="1470" customFormat="1" x14ac:dyDescent="0.3">
      <c r="E172" s="1419"/>
      <c r="F172" s="1419"/>
      <c r="G172" s="1419"/>
      <c r="H172" s="1419"/>
      <c r="J172" s="1469"/>
      <c r="K172" s="1469"/>
    </row>
    <row r="173" spans="5:11" s="1470" customFormat="1" x14ac:dyDescent="0.3">
      <c r="E173" s="1419"/>
      <c r="F173" s="1419"/>
      <c r="G173" s="1419"/>
      <c r="H173" s="1419"/>
      <c r="J173" s="1469"/>
      <c r="K173" s="1469"/>
    </row>
    <row r="174" spans="5:11" s="1470" customFormat="1" x14ac:dyDescent="0.3">
      <c r="E174" s="1419"/>
      <c r="F174" s="1419"/>
      <c r="G174" s="1419"/>
      <c r="H174" s="1419"/>
      <c r="J174" s="1469"/>
      <c r="K174" s="1469"/>
    </row>
    <row r="175" spans="5:11" s="1470" customFormat="1" x14ac:dyDescent="0.3">
      <c r="E175" s="1419"/>
      <c r="F175" s="1419"/>
      <c r="G175" s="1419"/>
      <c r="H175" s="1419"/>
      <c r="J175" s="1469"/>
      <c r="K175" s="1469"/>
    </row>
    <row r="176" spans="5:11" s="1470" customFormat="1" x14ac:dyDescent="0.3">
      <c r="E176" s="1419"/>
      <c r="F176" s="1419"/>
      <c r="G176" s="1419"/>
      <c r="H176" s="1419"/>
      <c r="J176" s="1469"/>
      <c r="K176" s="1469"/>
    </row>
    <row r="177" spans="5:11" s="1470" customFormat="1" x14ac:dyDescent="0.3">
      <c r="E177" s="1419"/>
      <c r="F177" s="1419"/>
      <c r="G177" s="1419"/>
      <c r="H177" s="1419"/>
      <c r="J177" s="1469"/>
      <c r="K177" s="1469"/>
    </row>
    <row r="178" spans="5:11" s="1470" customFormat="1" x14ac:dyDescent="0.3">
      <c r="E178" s="1419"/>
      <c r="F178" s="1419"/>
      <c r="G178" s="1419"/>
      <c r="H178" s="1419"/>
      <c r="J178" s="1469"/>
      <c r="K178" s="1469"/>
    </row>
    <row r="179" spans="5:11" s="1470" customFormat="1" x14ac:dyDescent="0.3">
      <c r="E179" s="1419"/>
      <c r="F179" s="1419"/>
      <c r="G179" s="1419"/>
      <c r="H179" s="1419"/>
      <c r="J179" s="1469"/>
      <c r="K179" s="1469"/>
    </row>
    <row r="180" spans="5:11" s="1470" customFormat="1" x14ac:dyDescent="0.3">
      <c r="E180" s="1419"/>
      <c r="F180" s="1419"/>
      <c r="G180" s="1419"/>
      <c r="H180" s="1419"/>
      <c r="J180" s="1469"/>
      <c r="K180" s="1469"/>
    </row>
    <row r="181" spans="5:11" s="1470" customFormat="1" x14ac:dyDescent="0.3">
      <c r="E181" s="1419"/>
      <c r="F181" s="1419"/>
      <c r="G181" s="1419"/>
      <c r="H181" s="1419"/>
      <c r="J181" s="1469"/>
      <c r="K181" s="1469"/>
    </row>
    <row r="182" spans="5:11" s="1470" customFormat="1" x14ac:dyDescent="0.3">
      <c r="E182" s="1419"/>
      <c r="F182" s="1419"/>
      <c r="G182" s="1419"/>
      <c r="H182" s="1419"/>
      <c r="J182" s="1469"/>
      <c r="K182" s="1469"/>
    </row>
    <row r="183" spans="5:11" s="1470" customFormat="1" x14ac:dyDescent="0.3">
      <c r="E183" s="1419"/>
      <c r="F183" s="1419"/>
      <c r="G183" s="1419"/>
      <c r="H183" s="1419"/>
      <c r="J183" s="1469"/>
      <c r="K183" s="1469"/>
    </row>
    <row r="184" spans="5:11" s="1470" customFormat="1" x14ac:dyDescent="0.3">
      <c r="E184" s="1419"/>
      <c r="F184" s="1419"/>
      <c r="G184" s="1419"/>
      <c r="H184" s="1419"/>
      <c r="J184" s="1469"/>
      <c r="K184" s="1469"/>
    </row>
    <row r="185" spans="5:11" s="1470" customFormat="1" x14ac:dyDescent="0.3">
      <c r="E185" s="1419"/>
      <c r="F185" s="1419"/>
      <c r="G185" s="1419"/>
      <c r="H185" s="1419"/>
      <c r="J185" s="1469"/>
      <c r="K185" s="1469"/>
    </row>
    <row r="186" spans="5:11" s="1470" customFormat="1" x14ac:dyDescent="0.3">
      <c r="E186" s="1419"/>
      <c r="F186" s="1419"/>
      <c r="G186" s="1419"/>
      <c r="H186" s="1419"/>
      <c r="J186" s="1469"/>
      <c r="K186" s="1469"/>
    </row>
    <row r="187" spans="5:11" s="1470" customFormat="1" x14ac:dyDescent="0.3">
      <c r="E187" s="1419"/>
      <c r="F187" s="1419"/>
      <c r="G187" s="1419"/>
      <c r="H187" s="1419"/>
      <c r="J187" s="1469"/>
      <c r="K187" s="1469"/>
    </row>
    <row r="188" spans="5:11" s="1470" customFormat="1" x14ac:dyDescent="0.3">
      <c r="E188" s="1419"/>
      <c r="F188" s="1419"/>
      <c r="G188" s="1419"/>
      <c r="H188" s="1419"/>
      <c r="J188" s="1469"/>
      <c r="K188" s="1469"/>
    </row>
    <row r="189" spans="5:11" s="1470" customFormat="1" x14ac:dyDescent="0.3">
      <c r="E189" s="1419"/>
      <c r="F189" s="1419"/>
      <c r="G189" s="1419"/>
      <c r="H189" s="1419"/>
      <c r="J189" s="1469"/>
      <c r="K189" s="1469"/>
    </row>
    <row r="190" spans="5:11" s="1470" customFormat="1" x14ac:dyDescent="0.3">
      <c r="E190" s="1419"/>
      <c r="F190" s="1419"/>
      <c r="G190" s="1419"/>
      <c r="H190" s="1419"/>
      <c r="J190" s="1469"/>
      <c r="K190" s="1469"/>
    </row>
    <row r="191" spans="5:11" s="1470" customFormat="1" x14ac:dyDescent="0.3">
      <c r="E191" s="1419"/>
      <c r="F191" s="1419"/>
      <c r="G191" s="1419"/>
      <c r="H191" s="1419"/>
      <c r="J191" s="1469"/>
      <c r="K191" s="1469"/>
    </row>
    <row r="192" spans="5:11" s="1470" customFormat="1" x14ac:dyDescent="0.3">
      <c r="E192" s="1419"/>
      <c r="F192" s="1419"/>
      <c r="G192" s="1419"/>
      <c r="H192" s="1419"/>
      <c r="J192" s="1469"/>
      <c r="K192" s="1469"/>
    </row>
    <row r="193" spans="5:11" s="1470" customFormat="1" x14ac:dyDescent="0.3">
      <c r="E193" s="1419"/>
      <c r="F193" s="1419"/>
      <c r="G193" s="1419"/>
      <c r="H193" s="1419"/>
      <c r="J193" s="1469"/>
      <c r="K193" s="1469"/>
    </row>
    <row r="194" spans="5:11" s="1470" customFormat="1" x14ac:dyDescent="0.3">
      <c r="E194" s="1419"/>
      <c r="F194" s="1419"/>
      <c r="G194" s="1419"/>
      <c r="H194" s="1419"/>
      <c r="J194" s="1469"/>
      <c r="K194" s="1469"/>
    </row>
    <row r="195" spans="5:11" s="1470" customFormat="1" x14ac:dyDescent="0.3">
      <c r="E195" s="1419"/>
      <c r="F195" s="1419"/>
      <c r="G195" s="1419"/>
      <c r="H195" s="1419"/>
      <c r="J195" s="1469"/>
      <c r="K195" s="1469"/>
    </row>
    <row r="196" spans="5:11" s="1470" customFormat="1" x14ac:dyDescent="0.3">
      <c r="E196" s="1419"/>
      <c r="F196" s="1419"/>
      <c r="G196" s="1419"/>
      <c r="H196" s="1419"/>
      <c r="J196" s="1469"/>
      <c r="K196" s="1469"/>
    </row>
    <row r="197" spans="5:11" s="1470" customFormat="1" x14ac:dyDescent="0.3">
      <c r="E197" s="1419"/>
      <c r="F197" s="1419"/>
      <c r="G197" s="1419"/>
      <c r="H197" s="1419"/>
      <c r="J197" s="1469"/>
      <c r="K197" s="1469"/>
    </row>
    <row r="198" spans="5:11" s="1470" customFormat="1" x14ac:dyDescent="0.3">
      <c r="E198" s="1419"/>
      <c r="F198" s="1419"/>
      <c r="G198" s="1419"/>
      <c r="H198" s="1419"/>
      <c r="J198" s="1469"/>
      <c r="K198" s="1469"/>
    </row>
    <row r="199" spans="5:11" s="1470" customFormat="1" x14ac:dyDescent="0.3">
      <c r="E199" s="1419"/>
      <c r="F199" s="1419"/>
      <c r="G199" s="1419"/>
      <c r="H199" s="1419"/>
      <c r="J199" s="1469"/>
      <c r="K199" s="1469"/>
    </row>
    <row r="200" spans="5:11" s="1470" customFormat="1" x14ac:dyDescent="0.3">
      <c r="E200" s="1419"/>
      <c r="F200" s="1419"/>
      <c r="G200" s="1419"/>
      <c r="H200" s="1419"/>
      <c r="J200" s="1469"/>
      <c r="K200" s="1469"/>
    </row>
    <row r="201" spans="5:11" s="1470" customFormat="1" x14ac:dyDescent="0.3">
      <c r="E201" s="1419"/>
      <c r="F201" s="1419"/>
      <c r="G201" s="1419"/>
      <c r="H201" s="1419"/>
      <c r="J201" s="1469"/>
      <c r="K201" s="1469"/>
    </row>
    <row r="202" spans="5:11" s="1470" customFormat="1" x14ac:dyDescent="0.3">
      <c r="E202" s="1419"/>
      <c r="F202" s="1419"/>
      <c r="G202" s="1419"/>
      <c r="H202" s="1419"/>
      <c r="J202" s="1469"/>
      <c r="K202" s="1469"/>
    </row>
    <row r="203" spans="5:11" s="1470" customFormat="1" x14ac:dyDescent="0.3">
      <c r="E203" s="1419"/>
      <c r="F203" s="1419"/>
      <c r="G203" s="1419"/>
      <c r="H203" s="1419"/>
      <c r="J203" s="1469"/>
      <c r="K203" s="1469"/>
    </row>
    <row r="204" spans="5:11" s="1470" customFormat="1" x14ac:dyDescent="0.3">
      <c r="E204" s="1419"/>
      <c r="F204" s="1419"/>
      <c r="G204" s="1419"/>
      <c r="H204" s="1419"/>
      <c r="J204" s="1469"/>
      <c r="K204" s="1469"/>
    </row>
    <row r="205" spans="5:11" s="1470" customFormat="1" x14ac:dyDescent="0.3">
      <c r="E205" s="1419"/>
      <c r="F205" s="1419"/>
      <c r="G205" s="1419"/>
      <c r="H205" s="1419"/>
      <c r="J205" s="1469"/>
      <c r="K205" s="1469"/>
    </row>
    <row r="206" spans="5:11" s="1470" customFormat="1" x14ac:dyDescent="0.3">
      <c r="E206" s="1419"/>
      <c r="F206" s="1419"/>
      <c r="G206" s="1419"/>
      <c r="H206" s="1419"/>
      <c r="J206" s="1469"/>
      <c r="K206" s="1469"/>
    </row>
    <row r="207" spans="5:11" s="1470" customFormat="1" x14ac:dyDescent="0.3">
      <c r="E207" s="1419"/>
      <c r="F207" s="1419"/>
      <c r="G207" s="1419"/>
      <c r="H207" s="1419"/>
      <c r="J207" s="1469"/>
      <c r="K207" s="1469"/>
    </row>
    <row r="208" spans="5:11" s="1470" customFormat="1" x14ac:dyDescent="0.3">
      <c r="E208" s="1419"/>
      <c r="F208" s="1419"/>
      <c r="G208" s="1419"/>
      <c r="H208" s="1419"/>
      <c r="J208" s="1469"/>
      <c r="K208" s="1469"/>
    </row>
    <row r="209" spans="5:11" s="1470" customFormat="1" x14ac:dyDescent="0.3">
      <c r="E209" s="1419"/>
      <c r="F209" s="1419"/>
      <c r="G209" s="1419"/>
      <c r="H209" s="1419"/>
      <c r="J209" s="1469"/>
      <c r="K209" s="1469"/>
    </row>
    <row r="210" spans="5:11" s="1470" customFormat="1" x14ac:dyDescent="0.3">
      <c r="E210" s="1419"/>
      <c r="F210" s="1419"/>
      <c r="G210" s="1419"/>
      <c r="H210" s="1419"/>
      <c r="J210" s="1469"/>
      <c r="K210" s="1469"/>
    </row>
    <row r="211" spans="5:11" s="1470" customFormat="1" x14ac:dyDescent="0.3">
      <c r="E211" s="1419"/>
      <c r="F211" s="1419"/>
      <c r="G211" s="1419"/>
      <c r="H211" s="1419"/>
      <c r="J211" s="1469"/>
      <c r="K211" s="1469"/>
    </row>
    <row r="212" spans="5:11" s="1470" customFormat="1" x14ac:dyDescent="0.3">
      <c r="E212" s="1419"/>
      <c r="F212" s="1419"/>
      <c r="G212" s="1419"/>
      <c r="H212" s="1419"/>
      <c r="J212" s="1469"/>
      <c r="K212" s="1469"/>
    </row>
    <row r="213" spans="5:11" s="1470" customFormat="1" x14ac:dyDescent="0.3">
      <c r="E213" s="1419"/>
      <c r="F213" s="1419"/>
      <c r="G213" s="1419"/>
      <c r="H213" s="1419"/>
      <c r="J213" s="1469"/>
      <c r="K213" s="1469"/>
    </row>
    <row r="214" spans="5:11" s="1470" customFormat="1" x14ac:dyDescent="0.3">
      <c r="E214" s="1419"/>
      <c r="F214" s="1419"/>
      <c r="G214" s="1419"/>
      <c r="H214" s="1419"/>
      <c r="J214" s="1469"/>
      <c r="K214" s="1469"/>
    </row>
    <row r="215" spans="5:11" s="1470" customFormat="1" x14ac:dyDescent="0.3">
      <c r="E215" s="1419"/>
      <c r="F215" s="1419"/>
      <c r="G215" s="1419"/>
      <c r="H215" s="1419"/>
      <c r="J215" s="1469"/>
      <c r="K215" s="1469"/>
    </row>
    <row r="216" spans="5:11" s="1470" customFormat="1" x14ac:dyDescent="0.3">
      <c r="E216" s="1419"/>
      <c r="F216" s="1419"/>
      <c r="G216" s="1419"/>
      <c r="H216" s="1419"/>
      <c r="J216" s="1469"/>
      <c r="K216" s="1469"/>
    </row>
    <row r="217" spans="5:11" s="1470" customFormat="1" x14ac:dyDescent="0.3">
      <c r="E217" s="1419"/>
      <c r="F217" s="1419"/>
      <c r="G217" s="1419"/>
      <c r="H217" s="1419"/>
      <c r="J217" s="1469"/>
      <c r="K217" s="1469"/>
    </row>
    <row r="218" spans="5:11" s="1470" customFormat="1" x14ac:dyDescent="0.3">
      <c r="E218" s="1419"/>
      <c r="F218" s="1419"/>
      <c r="G218" s="1419"/>
      <c r="H218" s="1419"/>
      <c r="J218" s="1469"/>
      <c r="K218" s="1469"/>
    </row>
    <row r="219" spans="5:11" s="1470" customFormat="1" x14ac:dyDescent="0.3">
      <c r="E219" s="1419"/>
      <c r="F219" s="1419"/>
      <c r="G219" s="1419"/>
      <c r="H219" s="1419"/>
      <c r="J219" s="1469"/>
      <c r="K219" s="1469"/>
    </row>
    <row r="220" spans="5:11" s="1470" customFormat="1" x14ac:dyDescent="0.3">
      <c r="E220" s="1419"/>
      <c r="F220" s="1419"/>
      <c r="G220" s="1419"/>
      <c r="H220" s="1419"/>
      <c r="J220" s="1469"/>
      <c r="K220" s="1469"/>
    </row>
    <row r="221" spans="5:11" s="1470" customFormat="1" x14ac:dyDescent="0.3">
      <c r="E221" s="1419"/>
      <c r="F221" s="1419"/>
      <c r="G221" s="1419"/>
      <c r="H221" s="1419"/>
      <c r="J221" s="1469"/>
      <c r="K221" s="1469"/>
    </row>
    <row r="222" spans="5:11" s="1470" customFormat="1" x14ac:dyDescent="0.3">
      <c r="E222" s="1419"/>
      <c r="F222" s="1419"/>
      <c r="G222" s="1419"/>
      <c r="H222" s="1419"/>
      <c r="J222" s="1469"/>
      <c r="K222" s="1469"/>
    </row>
    <row r="223" spans="5:11" s="1470" customFormat="1" x14ac:dyDescent="0.3">
      <c r="E223" s="1419"/>
      <c r="F223" s="1419"/>
      <c r="G223" s="1419"/>
      <c r="H223" s="1419"/>
      <c r="J223" s="1469"/>
      <c r="K223" s="1469"/>
    </row>
    <row r="224" spans="5:11" s="1470" customFormat="1" x14ac:dyDescent="0.3">
      <c r="E224" s="1419"/>
      <c r="F224" s="1419"/>
      <c r="G224" s="1419"/>
      <c r="H224" s="1419"/>
      <c r="J224" s="1469"/>
      <c r="K224" s="1469"/>
    </row>
    <row r="225" spans="5:11" s="1470" customFormat="1" x14ac:dyDescent="0.3">
      <c r="E225" s="1419"/>
      <c r="F225" s="1419"/>
      <c r="G225" s="1419"/>
      <c r="H225" s="1419"/>
      <c r="J225" s="1469"/>
      <c r="K225" s="1469"/>
    </row>
    <row r="226" spans="5:11" s="1470" customFormat="1" x14ac:dyDescent="0.3">
      <c r="E226" s="1419"/>
      <c r="F226" s="1419"/>
      <c r="G226" s="1419"/>
      <c r="H226" s="1419"/>
      <c r="J226" s="1469"/>
      <c r="K226" s="1469"/>
    </row>
  </sheetData>
  <sheetProtection algorithmName="SHA-512" hashValue="M3SsKSoruO0K/L1uNWLJIXq3MkR+e0P84U11ud95zLs5+kdsAP97J8gsL7i5DXJAeYk6OC7yz/E5OCtrnE6+LA==" saltValue="G662mH/oewVgfhBvXrqS5A==" spinCount="100000" sheet="1" formatCells="0" insertHyperlinks="0" selectLockedCells="1" autoFilter="0"/>
  <mergeCells count="60">
    <mergeCell ref="B2:D2"/>
    <mergeCell ref="V88:V95"/>
    <mergeCell ref="N88:N95"/>
    <mergeCell ref="A65:C65"/>
    <mergeCell ref="D65:N65"/>
    <mergeCell ref="A82:C82"/>
    <mergeCell ref="D82:N82"/>
    <mergeCell ref="V71:V74"/>
    <mergeCell ref="N68:N70"/>
    <mergeCell ref="O68:O70"/>
    <mergeCell ref="O71:O74"/>
    <mergeCell ref="O75:O79"/>
    <mergeCell ref="N85:N87"/>
    <mergeCell ref="O88:O95"/>
    <mergeCell ref="O85:O87"/>
    <mergeCell ref="A4:C4"/>
    <mergeCell ref="O57:O63"/>
    <mergeCell ref="N36:N40"/>
    <mergeCell ref="O36:O40"/>
    <mergeCell ref="O41:O44"/>
    <mergeCell ref="O45:O48"/>
    <mergeCell ref="O49:O53"/>
    <mergeCell ref="N57:N63"/>
    <mergeCell ref="D55:N55"/>
    <mergeCell ref="N41:N44"/>
    <mergeCell ref="N45:N48"/>
    <mergeCell ref="N49:N53"/>
    <mergeCell ref="A6:C6"/>
    <mergeCell ref="A13:C13"/>
    <mergeCell ref="D13:N13"/>
    <mergeCell ref="N75:N79"/>
    <mergeCell ref="N71:N74"/>
    <mergeCell ref="A55:C55"/>
    <mergeCell ref="N18:N30"/>
    <mergeCell ref="N16:N17"/>
    <mergeCell ref="V45:V48"/>
    <mergeCell ref="O18:O30"/>
    <mergeCell ref="V18:V30"/>
    <mergeCell ref="W18:W30"/>
    <mergeCell ref="V16:V17"/>
    <mergeCell ref="W16:W17"/>
    <mergeCell ref="O16:O17"/>
    <mergeCell ref="V41:V44"/>
    <mergeCell ref="V36:V40"/>
    <mergeCell ref="B97:C97"/>
    <mergeCell ref="W36:W40"/>
    <mergeCell ref="W88:W95"/>
    <mergeCell ref="W75:W79"/>
    <mergeCell ref="W71:W74"/>
    <mergeCell ref="V68:V70"/>
    <mergeCell ref="W68:W70"/>
    <mergeCell ref="V57:V63"/>
    <mergeCell ref="W57:W63"/>
    <mergeCell ref="W49:W53"/>
    <mergeCell ref="W45:W48"/>
    <mergeCell ref="W41:W44"/>
    <mergeCell ref="V85:V87"/>
    <mergeCell ref="W85:W87"/>
    <mergeCell ref="V75:V79"/>
    <mergeCell ref="V49:V53"/>
  </mergeCells>
  <conditionalFormatting sqref="B8:B11">
    <cfRule type="expression" dxfId="8807" priority="345">
      <formula>IF($E8=TRUE,TRUE,FALSE)</formula>
    </cfRule>
  </conditionalFormatting>
  <conditionalFormatting sqref="B12 D12:F12">
    <cfRule type="expression" dxfId="8806" priority="1618">
      <formula>IF($E12,TRUE)</formula>
    </cfRule>
  </conditionalFormatting>
  <conditionalFormatting sqref="B12 F12">
    <cfRule type="expression" dxfId="8805" priority="12267">
      <formula>IF(AND($E12=FALSE,$N12="Not Applicable"),TRUE,FALSE)</formula>
    </cfRule>
    <cfRule type="expression" dxfId="8804" priority="12268">
      <formula>IF(AND($E12,TRUE,$N12="Not Applicable"),TRUE,FALSE)</formula>
    </cfRule>
    <cfRule type="expression" dxfId="8803" priority="12269">
      <formula>IF($E12=TRUE,TRUE,FALSE)</formula>
    </cfRule>
    <cfRule type="expression" dxfId="8802" priority="12270">
      <formula>IF(AND($E12=FALSE,$N12&lt;&gt;""),TRUE,FALSE)</formula>
    </cfRule>
  </conditionalFormatting>
  <conditionalFormatting sqref="B15 D15">
    <cfRule type="expression" dxfId="8801" priority="938">
      <formula>IF($E15,TRUE)</formula>
    </cfRule>
  </conditionalFormatting>
  <conditionalFormatting sqref="B16:B17">
    <cfRule type="expression" dxfId="8800" priority="921">
      <formula>IF(AND($E16=FALSE,OR($I16&lt;&gt;"",$L16&lt;&gt;"")),TRUE,FALSE)</formula>
    </cfRule>
    <cfRule type="expression" dxfId="8799" priority="922">
      <formula>IF(AND($E16=TRUE,OR($I16="",$J16="")),TRUE,FALSE)</formula>
    </cfRule>
    <cfRule type="expression" dxfId="8798" priority="923">
      <formula>IF(AND($E16=TRUE,AND($I16&lt;&gt;"",$L16&lt;&gt;"")),TRUE,FALSE)</formula>
    </cfRule>
    <cfRule type="expression" dxfId="8797" priority="924">
      <formula>IF(AND($E16=FALSE,$E$15=TRUE),TRUE,FALSE)</formula>
    </cfRule>
  </conditionalFormatting>
  <conditionalFormatting sqref="B18 D18">
    <cfRule type="expression" dxfId="8796" priority="537" stopIfTrue="1">
      <formula>IF(AND($F$18=1,$E18=FALSE),TRUE,FALSE)</formula>
    </cfRule>
    <cfRule type="expression" dxfId="8795" priority="538" stopIfTrue="1">
      <formula>IF(AND($F$18&gt;1,$E18=TRUE),TRUE,FALSE)</formula>
    </cfRule>
    <cfRule type="expression" dxfId="8794" priority="714" stopIfTrue="1">
      <formula>IF(AND($F$18=1,$E18=TRUE),TRUE,FALSE)</formula>
    </cfRule>
  </conditionalFormatting>
  <conditionalFormatting sqref="B19">
    <cfRule type="expression" dxfId="8793" priority="343">
      <formula>IF(AND($F$18&gt;0,$D19=" ",$E19=FALSE),TRUE,FALSE)</formula>
    </cfRule>
    <cfRule type="expression" dxfId="8792" priority="381">
      <formula>IF(AND($E19=TRUE,$F$18&gt;1),TRUE,FALSE)</formula>
    </cfRule>
    <cfRule type="expression" dxfId="8791" priority="382">
      <formula>IF(AND($E19=FALSE,OR($I19&lt;&gt;"",$L19&lt;&gt;"")),TRUE,FALSE)</formula>
    </cfRule>
    <cfRule type="expression" dxfId="8790" priority="383">
      <formula>IF(AND($E19=TRUE,OR($I19="",$J19="")),TRUE,FALSE)</formula>
    </cfRule>
    <cfRule type="expression" dxfId="8789" priority="384">
      <formula>IF(AND($E19=TRUE,AND($I19&lt;&gt;"",$L19&lt;&gt;"")),TRUE,FALSE)</formula>
    </cfRule>
  </conditionalFormatting>
  <conditionalFormatting sqref="B20 D20">
    <cfRule type="expression" dxfId="8788" priority="531" stopIfTrue="1">
      <formula>IF(AND($F$18=1,$E20=FALSE),TRUE,FALSE)</formula>
    </cfRule>
    <cfRule type="expression" dxfId="8787" priority="532" stopIfTrue="1">
      <formula>IF(AND($F$18&gt;1,$E20=TRUE),TRUE,FALSE)</formula>
    </cfRule>
    <cfRule type="expression" dxfId="8786" priority="533" stopIfTrue="1">
      <formula>IF(AND($F$18=1,$E20=TRUE),TRUE,FALSE)</formula>
    </cfRule>
  </conditionalFormatting>
  <conditionalFormatting sqref="B21:B26">
    <cfRule type="expression" dxfId="8785" priority="357">
      <formula>IF(AND($E$18=TRUE,$D21&lt;&gt;"Compliant",$D21&lt;&gt;" "),TRUE,FALSE)</formula>
    </cfRule>
    <cfRule type="expression" dxfId="8784" priority="377">
      <formula>IF(AND($E21=TRUE,OR($F$18&gt;1,$F$20&gt;1)),TRUE,FALSE)</formula>
    </cfRule>
    <cfRule type="expression" dxfId="8783" priority="378">
      <formula>IF(AND($E21=FALSE,OR($I21&lt;&gt;"",$L21&lt;&gt;"")),TRUE,FALSE)</formula>
    </cfRule>
    <cfRule type="expression" dxfId="8782" priority="379">
      <formula>IF(AND($E21=TRUE,OR($I21="",$J21="")),TRUE,FALSE)</formula>
    </cfRule>
    <cfRule type="expression" dxfId="8781" priority="380">
      <formula>IF(AND($E21=TRUE,AND($I21&lt;&gt;"",$L21&lt;&gt;"")),TRUE,FALSE)</formula>
    </cfRule>
    <cfRule type="expression" dxfId="8780" priority="507" stopIfTrue="1">
      <formula>IF(AND($F$18&gt;0,$D21=" ",$E21=FALSE),TRUE,FALSE)</formula>
    </cfRule>
  </conditionalFormatting>
  <conditionalFormatting sqref="B26">
    <cfRule type="expression" dxfId="8779" priority="508" stopIfTrue="1">
      <formula>IF(AND($F$18&gt;1,$E26=TRUE),TRUE,FALSE)</formula>
    </cfRule>
    <cfRule type="expression" dxfId="8778" priority="509" stopIfTrue="1">
      <formula>IF(AND($F$18=1,$E26=TRUE),TRUE,FALSE)</formula>
    </cfRule>
    <cfRule type="expression" dxfId="8777" priority="510" stopIfTrue="1">
      <formula>IF(AND($F$18&gt;0,$E26=FALSE,$D26&lt;&gt;"Compliant",$D26&lt;&gt;" "),TRUE,FALSE)</formula>
    </cfRule>
  </conditionalFormatting>
  <conditionalFormatting sqref="B27">
    <cfRule type="expression" dxfId="8776" priority="369">
      <formula>IF(AND($E27=TRUE,$F$18&gt;1),TRUE,FALSE)</formula>
    </cfRule>
    <cfRule type="expression" dxfId="8775" priority="370" stopIfTrue="1">
      <formula>IF(AND($F$18&gt;0,$E27=FALSE,$D27&lt;&gt;"Compliant",$D27&lt;&gt;" "),TRUE,FALSE)</formula>
    </cfRule>
    <cfRule type="expression" dxfId="8774" priority="371">
      <formula>IF(AND($E27=FALSE,OR($I27&lt;&gt;"",$L27&lt;&gt;"",$E28=TRUE)),TRUE,FALSE)</formula>
    </cfRule>
    <cfRule type="expression" dxfId="8773" priority="372">
      <formula>IF(AND($E27=TRUE,OR($I27="",$J27="")),TRUE,FALSE)</formula>
    </cfRule>
    <cfRule type="expression" dxfId="8772" priority="373">
      <formula>IF(AND($E27=TRUE,AND($I27&lt;&gt;"",$L27&lt;&gt;"")),TRUE,FALSE)</formula>
    </cfRule>
    <cfRule type="expression" dxfId="8771" priority="375">
      <formula>IF(AND($F$18=1,$D27=" ",$E27=FALSE),TRUE,FALSE)</formula>
    </cfRule>
    <cfRule type="expression" dxfId="8770" priority="376" stopIfTrue="1">
      <formula>IF(AND($F$18=1,$E27=TRUE),TRUE,FALSE)</formula>
    </cfRule>
  </conditionalFormatting>
  <conditionalFormatting sqref="B28 D28">
    <cfRule type="expression" dxfId="8769" priority="359">
      <formula>IF($F$28&gt;1,TRUE,FALSE)</formula>
    </cfRule>
    <cfRule type="expression" dxfId="8768" priority="360">
      <formula>IF(AND($E$27=FALSE,$E$28=FALSE),TRUE,FALSE)</formula>
    </cfRule>
    <cfRule type="expression" dxfId="8767" priority="504">
      <formula>IF(AND($E$27=FALSE,$E28=TRUE),TRUE,FALSE)</formula>
    </cfRule>
    <cfRule type="expression" dxfId="8766" priority="506">
      <formula>IF(AND($F$28=1,$E28=FALSE),TRUE,FALSE)</formula>
    </cfRule>
    <cfRule type="expression" dxfId="8765" priority="935">
      <formula>IF(AND($F$28=1,$E28=TRUE),TRUE,FALSE)</formula>
    </cfRule>
  </conditionalFormatting>
  <conditionalFormatting sqref="B29">
    <cfRule type="expression" dxfId="8764" priority="365" stopIfTrue="1">
      <formula>IF(AND($F$18&gt;1,$E29=TRUE),TRUE,FALSE)</formula>
    </cfRule>
    <cfRule type="expression" dxfId="8763" priority="366" stopIfTrue="1">
      <formula>IF(AND($F$18=1,$E29=TRUE),TRUE,FALSE)</formula>
    </cfRule>
    <cfRule type="expression" dxfId="8762" priority="368" stopIfTrue="1">
      <formula>IF(AND($F$18&gt;0,$E29=FALSE,$D29&lt;&gt;"Compliant",$D29&lt;&gt;""),TRUE,FALSE)</formula>
    </cfRule>
  </conditionalFormatting>
  <conditionalFormatting sqref="B29:B30">
    <cfRule type="expression" dxfId="8761" priority="358">
      <formula>IF(AND($E29=TRUE,$F$28&gt;1),TRUE,FALSE)</formula>
    </cfRule>
    <cfRule type="expression" dxfId="8760" priority="361">
      <formula>IF(AND($E29=FALSE,OR($I29&lt;&gt;"",$L29&lt;&gt;"")),TRUE,FALSE)</formula>
    </cfRule>
    <cfRule type="expression" dxfId="8759" priority="362">
      <formula>IF(AND($E29=TRUE,OR($I29="",$J29="")),TRUE,FALSE)</formula>
    </cfRule>
    <cfRule type="expression" dxfId="8758" priority="363">
      <formula>IF(AND($E29=TRUE,AND($I29&lt;&gt;"",$L29&lt;&gt;"")),TRUE,FALSE)</formula>
    </cfRule>
    <cfRule type="expression" dxfId="8757" priority="364" stopIfTrue="1">
      <formula>IF(AND($F$28=1,$D29="",$E29=FALSE),TRUE,FALSE)</formula>
    </cfRule>
    <cfRule type="expression" dxfId="8756" priority="367" stopIfTrue="1">
      <formula>IF($E$27=FALSE,TRUE,FALSE)</formula>
    </cfRule>
  </conditionalFormatting>
  <conditionalFormatting sqref="B32 D32">
    <cfRule type="expression" dxfId="8755" priority="540">
      <formula>IF($E32=FALSE,TRUE,FALSE)</formula>
    </cfRule>
    <cfRule type="expression" dxfId="8754" priority="541">
      <formula>IF($E32=TRUE,TRUE,FALSE)</formula>
    </cfRule>
  </conditionalFormatting>
  <conditionalFormatting sqref="B32">
    <cfRule type="expression" dxfId="8753" priority="766">
      <formula>IF($E32="",TRUE,FALSE)</formula>
    </cfRule>
  </conditionalFormatting>
  <conditionalFormatting sqref="B34 D34">
    <cfRule type="expression" dxfId="8752" priority="934">
      <formula>IF($E34,TRUE)</formula>
    </cfRule>
  </conditionalFormatting>
  <conditionalFormatting sqref="B35">
    <cfRule type="expression" dxfId="8751" priority="837">
      <formula>IF(AND($E35=FALSE,OR($I35&lt;&gt;"",$L35&lt;&gt;"")),TRUE,FALSE)</formula>
    </cfRule>
    <cfRule type="expression" dxfId="8750" priority="838">
      <formula>IF(AND($E35=TRUE,OR($I35="",$J35="")),TRUE,FALSE)</formula>
    </cfRule>
    <cfRule type="expression" dxfId="8749" priority="839">
      <formula>IF(AND($E35=TRUE,OR($I35&lt;&gt;"",$L35="")),TRUE,FALSE)</formula>
    </cfRule>
    <cfRule type="expression" dxfId="8748" priority="840">
      <formula>IF(AND($E35=FALSE,$E$34=TRUE),TRUE,FALSE)</formula>
    </cfRule>
  </conditionalFormatting>
  <conditionalFormatting sqref="B36 D36">
    <cfRule type="expression" dxfId="8747" priority="933">
      <formula>IF($E36,TRUE)</formula>
    </cfRule>
  </conditionalFormatting>
  <conditionalFormatting sqref="B37:B40">
    <cfRule type="expression" dxfId="8746" priority="493">
      <formula>IF(AND($F$36&gt;1,$E37=TRUE),TRUE,FALSE)</formula>
    </cfRule>
    <cfRule type="expression" dxfId="8745" priority="494">
      <formula>IF(AND($E$36=TRUE,$D37&lt;&gt;" ",$E37&lt;&gt;TRUE),TRUE,FALSE)</formula>
    </cfRule>
    <cfRule type="expression" dxfId="8744" priority="542">
      <formula>IF(AND($E37=FALSE,OR($I37&lt;&gt;"",$L37&lt;&gt;"")),TRUE,FALSE)</formula>
    </cfRule>
    <cfRule type="expression" dxfId="8743" priority="834">
      <formula>IF(AND($E37=TRUE,OR($I37=" ",$J37=" ")),TRUE,FALSE)</formula>
    </cfRule>
    <cfRule type="expression" dxfId="8742" priority="835">
      <formula>IF(AND($E37=TRUE,OR($I37&lt;&gt;" ",$L37=" ")),TRUE,FALSE)</formula>
    </cfRule>
    <cfRule type="expression" dxfId="8741" priority="836">
      <formula>IF(AND($E$36=TRUE,$E37=FALSE,$D37=" "),TRUE,FALSE)</formula>
    </cfRule>
  </conditionalFormatting>
  <conditionalFormatting sqref="B41 D41">
    <cfRule type="expression" dxfId="8740" priority="495">
      <formula>IF($E41,TRUE)</formula>
    </cfRule>
    <cfRule type="expression" dxfId="8739" priority="932">
      <formula>IF($E$41=FALSE,TRUE,FALSE)</formula>
    </cfRule>
  </conditionalFormatting>
  <conditionalFormatting sqref="B42:B44">
    <cfRule type="expression" dxfId="8738" priority="484">
      <formula>IF(AND($E$45="NA",$F$45&gt;0,$D42="No"),TRUE,FALSE)</formula>
    </cfRule>
    <cfRule type="expression" dxfId="8737" priority="496">
      <formula>IF(AND($E42=FALSE,OR($I42&lt;&gt;"",$L42&lt;&gt;"")),TRUE,FALSE)</formula>
    </cfRule>
    <cfRule type="expression" dxfId="8736" priority="497">
      <formula>IF(AND($E42=TRUE,OR($I42="",$J42="")),TRUE,FALSE)</formula>
    </cfRule>
    <cfRule type="expression" dxfId="8735" priority="498">
      <formula>IF(AND($E42=TRUE,OR($I42&lt;&gt;"",$L42="")),TRUE,FALSE)</formula>
    </cfRule>
    <cfRule type="expression" dxfId="8734" priority="499">
      <formula>IF(AND($E42=FALSE,$D42="No"),TRUE,FALSE)</formula>
    </cfRule>
  </conditionalFormatting>
  <conditionalFormatting sqref="B45 D45">
    <cfRule type="expression" dxfId="8733" priority="486">
      <formula>IF($E45,TRUE)</formula>
    </cfRule>
    <cfRule type="expression" dxfId="8732" priority="931">
      <formula>IF($E45="NA",TRUE,FALSE)</formula>
    </cfRule>
  </conditionalFormatting>
  <conditionalFormatting sqref="B46:B48">
    <cfRule type="expression" dxfId="8731" priority="483">
      <formula>IF(AND($E$45="NA",OR($E46=FALSE,$E46="")),TRUE,FALSE)</formula>
    </cfRule>
    <cfRule type="expression" dxfId="8730" priority="485">
      <formula>IF(AND($E$45="NA",$E46=TRUE),TRUE,FALSE)</formula>
    </cfRule>
    <cfRule type="expression" dxfId="8729" priority="825">
      <formula>IF(AND($E46=FALSE,OR($I46&lt;&gt;"",$L46&lt;&gt;"")),TRUE,FALSE)</formula>
    </cfRule>
    <cfRule type="expression" dxfId="8728" priority="826">
      <formula>IF(AND($E46=TRUE,OR($I46="",$J46="")),TRUE,FALSE)</formula>
    </cfRule>
    <cfRule type="expression" dxfId="8727" priority="827">
      <formula>IF(AND($E46=TRUE,OR($I46&lt;&gt;"",$L46="")),TRUE,FALSE)</formula>
    </cfRule>
    <cfRule type="expression" dxfId="8726" priority="828">
      <formula>IF(AND($E46=FALSE,$E$45=TRUE),TRUE,FALSE)</formula>
    </cfRule>
  </conditionalFormatting>
  <conditionalFormatting sqref="B49 D49">
    <cfRule type="expression" dxfId="8725" priority="492">
      <formula>IF($E49,TRUE)</formula>
    </cfRule>
    <cfRule type="expression" dxfId="8724" priority="930">
      <formula>IF($E49="NA",TRUE,FALSE)</formula>
    </cfRule>
  </conditionalFormatting>
  <conditionalFormatting sqref="B50:B53">
    <cfRule type="expression" dxfId="8723" priority="481">
      <formula>IF(AND($E$49="NA",OR($E50=FALSE,$E50="")),TRUE,FALSE)</formula>
    </cfRule>
    <cfRule type="expression" dxfId="8722" priority="482">
      <formula>IF(AND($E$49="NA",$E50=TRUE),TRUE,FALSE)</formula>
    </cfRule>
    <cfRule type="expression" dxfId="8721" priority="821">
      <formula>IF(AND($E50=FALSE,OR($I50&lt;&gt;"",$L50&lt;&gt;"")),TRUE,FALSE)</formula>
    </cfRule>
    <cfRule type="expression" dxfId="8720" priority="822">
      <formula>IF(AND($E50=TRUE,OR($I50="",$J50="")),TRUE,FALSE)</formula>
    </cfRule>
    <cfRule type="expression" dxfId="8719" priority="823">
      <formula>IF(AND($E50=TRUE,OR($I50&lt;&gt;"",$L50="")),TRUE,FALSE)</formula>
    </cfRule>
    <cfRule type="expression" dxfId="8718" priority="824">
      <formula>IF(AND($E50=FALSE,$E$49=TRUE),TRUE,FALSE)</formula>
    </cfRule>
  </conditionalFormatting>
  <conditionalFormatting sqref="B57">
    <cfRule type="expression" dxfId="8717" priority="929">
      <formula>IF($E57,TRUE)</formula>
    </cfRule>
  </conditionalFormatting>
  <conditionalFormatting sqref="B58:B60">
    <cfRule type="expression" dxfId="8716" priority="455">
      <formula>IF(AND($E58=FALSE,OR($I58&lt;&gt;"",$L58&lt;&gt;"")),TRUE,FALSE)</formula>
    </cfRule>
    <cfRule type="expression" dxfId="8715" priority="456">
      <formula>IF(AND($E58=TRUE,OR($I58="",$J58="")),TRUE,FALSE)</formula>
    </cfRule>
    <cfRule type="expression" dxfId="8714" priority="457">
      <formula>IF(AND($E58=TRUE,OR($I58&lt;&gt;"",$L58="")),TRUE,FALSE)</formula>
    </cfRule>
    <cfRule type="expression" dxfId="8713" priority="458">
      <formula>IF(AND($E58=FALSE,$E$57=TRUE),TRUE,FALSE)</formula>
    </cfRule>
  </conditionalFormatting>
  <conditionalFormatting sqref="B61">
    <cfRule type="expression" dxfId="8712" priority="409">
      <formula>IF($E61,TRUE)</formula>
    </cfRule>
  </conditionalFormatting>
  <conditionalFormatting sqref="B62:B63">
    <cfRule type="expression" dxfId="8711" priority="393">
      <formula>IF(AND($E62=FALSE,OR($I62&lt;&gt;"",$L62&lt;&gt;"")),TRUE,FALSE)</formula>
    </cfRule>
    <cfRule type="expression" dxfId="8710" priority="394">
      <formula>IF(AND($E62=TRUE,OR($I62="",$J62="")),TRUE,FALSE)</formula>
    </cfRule>
    <cfRule type="expression" dxfId="8709" priority="395">
      <formula>IF(AND($E62=TRUE,OR($I62&lt;&gt;"",$L62="")),TRUE,FALSE)</formula>
    </cfRule>
    <cfRule type="expression" dxfId="8708" priority="396">
      <formula>IF(AND($E62=FALSE,$E$57=TRUE),TRUE,FALSE)</formula>
    </cfRule>
  </conditionalFormatting>
  <conditionalFormatting sqref="B67:B68">
    <cfRule type="expression" dxfId="8707" priority="928">
      <formula>IF($E67,TRUE)</formula>
    </cfRule>
  </conditionalFormatting>
  <conditionalFormatting sqref="B69:B70">
    <cfRule type="expression" dxfId="8706" priority="873">
      <formula>IF(AND($E69=FALSE,OR($I69&lt;&gt;"",$L69&lt;&gt;"")),TRUE,FALSE)</formula>
    </cfRule>
    <cfRule type="expression" dxfId="8705" priority="874">
      <formula>IF(AND($E69=TRUE,OR($I69="",$J69="")),TRUE,FALSE)</formula>
    </cfRule>
    <cfRule type="expression" dxfId="8704" priority="875">
      <formula>IF(AND($E69=TRUE,OR($I69&lt;&gt;"",$L69="")),TRUE,FALSE)</formula>
    </cfRule>
    <cfRule type="expression" dxfId="8703" priority="876">
      <formula>IF(AND($E69=FALSE,$E$67=TRUE),TRUE,FALSE)</formula>
    </cfRule>
  </conditionalFormatting>
  <conditionalFormatting sqref="B71">
    <cfRule type="expression" dxfId="8702" priority="927">
      <formula>IF($E71,TRUE)</formula>
    </cfRule>
  </conditionalFormatting>
  <conditionalFormatting sqref="B72:B74">
    <cfRule type="expression" dxfId="8701" priority="869">
      <formula>IF(AND($E72=FALSE,OR($I72&lt;&gt;"",$L72&lt;&gt;"")),TRUE,FALSE)</formula>
    </cfRule>
    <cfRule type="expression" dxfId="8700" priority="870">
      <formula>IF(AND($E72=TRUE,OR($I72="",$J72="")),TRUE,FALSE)</formula>
    </cfRule>
    <cfRule type="expression" dxfId="8699" priority="871">
      <formula>IF(AND($E72=TRUE,OR($I72&lt;&gt;"",$L72="")),TRUE,FALSE)</formula>
    </cfRule>
    <cfRule type="expression" dxfId="8698" priority="872">
      <formula>IF(AND($E72=FALSE,$E$71=TRUE),TRUE,FALSE)</formula>
    </cfRule>
  </conditionalFormatting>
  <conditionalFormatting sqref="B75">
    <cfRule type="expression" dxfId="8697" priority="926">
      <formula>IF($E75,TRUE)</formula>
    </cfRule>
  </conditionalFormatting>
  <conditionalFormatting sqref="B76:B80">
    <cfRule type="expression" dxfId="8696" priority="865">
      <formula>IF(AND($E76=FALSE,OR($I76&lt;&gt;"",$L76&lt;&gt;"")),TRUE,FALSE)</formula>
    </cfRule>
    <cfRule type="expression" dxfId="8695" priority="866">
      <formula>IF(AND($E76=TRUE,OR($I76="",$J76="")),TRUE,FALSE)</formula>
    </cfRule>
    <cfRule type="expression" dxfId="8694" priority="867">
      <formula>IF(AND($E76=TRUE,OR($I76&lt;&gt;"",$L76="")),TRUE,FALSE)</formula>
    </cfRule>
    <cfRule type="expression" dxfId="8693" priority="868">
      <formula>IF(AND($E76=FALSE,$E$75=TRUE),TRUE,FALSE)</formula>
    </cfRule>
  </conditionalFormatting>
  <conditionalFormatting sqref="B84">
    <cfRule type="expression" dxfId="8692" priority="925">
      <formula>IF($E84,TRUE)</formula>
    </cfRule>
  </conditionalFormatting>
  <conditionalFormatting sqref="B85:B87">
    <cfRule type="expression" dxfId="8691" priority="861">
      <formula>IF(AND($E85=FALSE,OR($I85&lt;&gt;"",$L85&lt;&gt;"")),TRUE,FALSE)</formula>
    </cfRule>
    <cfRule type="expression" dxfId="8690" priority="862">
      <formula>IF(AND($E85=TRUE,OR($I85="",$J85="")),TRUE,FALSE)</formula>
    </cfRule>
    <cfRule type="expression" dxfId="8689" priority="863">
      <formula>IF(AND($E85=TRUE,OR($I85&lt;&gt;"",$L85="")),TRUE,FALSE)</formula>
    </cfRule>
    <cfRule type="expression" dxfId="8688" priority="864">
      <formula>IF(AND($E85=FALSE,$E$84=TRUE),TRUE,FALSE)</formula>
    </cfRule>
  </conditionalFormatting>
  <conditionalFormatting sqref="B88 D88">
    <cfRule type="expression" dxfId="8687" priority="713">
      <formula>IF($E88,TRUE)</formula>
    </cfRule>
  </conditionalFormatting>
  <conditionalFormatting sqref="B89:B95">
    <cfRule type="expression" dxfId="8686" priority="331">
      <formula>IF(AND($E89=FALSE,OR($I89&lt;&gt;"",$L89&lt;&gt;"")),TRUE,FALSE)</formula>
    </cfRule>
    <cfRule type="expression" dxfId="8685" priority="332">
      <formula>IF(AND($E89=TRUE,OR($I89="",$J89="")),TRUE,FALSE)</formula>
    </cfRule>
    <cfRule type="expression" dxfId="8684" priority="333">
      <formula>IF(AND($E89=TRUE,OR($I89&lt;&gt;"",$L89="")),TRUE,FALSE)</formula>
    </cfRule>
    <cfRule type="expression" dxfId="8683" priority="334">
      <formula>IF(AND($E89=FALSE,$E$84=TRUE),TRUE,FALSE)</formula>
    </cfRule>
  </conditionalFormatting>
  <conditionalFormatting sqref="D8:D11">
    <cfRule type="expression" dxfId="8682" priority="344">
      <formula>IF($E8,TRUE)</formula>
    </cfRule>
  </conditionalFormatting>
  <conditionalFormatting sqref="D16:D17">
    <cfRule type="expression" dxfId="8681" priority="666">
      <formula>IF($D16="Compliant",TRUE)</formula>
    </cfRule>
    <cfRule type="expression" dxfId="8680" priority="667">
      <formula>IF($D16=" ",TRUE)</formula>
    </cfRule>
    <cfRule type="expression" dxfId="8679" priority="673">
      <formula>IF($D16="Not Compliant",TRUE)</formula>
    </cfRule>
  </conditionalFormatting>
  <conditionalFormatting sqref="D19">
    <cfRule type="expression" dxfId="8678" priority="658">
      <formula>IF($D19="Compliant",TRUE)</formula>
    </cfRule>
    <cfRule type="expression" dxfId="8677" priority="659">
      <formula>IF($D19=" ",TRUE)</formula>
    </cfRule>
    <cfRule type="expression" dxfId="8676" priority="665">
      <formula>IF($D19="Not Compliant",TRUE)</formula>
    </cfRule>
  </conditionalFormatting>
  <conditionalFormatting sqref="D21:D27">
    <cfRule type="expression" dxfId="8675" priority="650">
      <formula>IF($D21="Compliant",TRUE)</formula>
    </cfRule>
    <cfRule type="expression" dxfId="8674" priority="651">
      <formula>IF($D21=" ",TRUE)</formula>
    </cfRule>
    <cfRule type="expression" dxfId="8673" priority="657">
      <formula>IF($D21="Not Compliant",TRUE)</formula>
    </cfRule>
  </conditionalFormatting>
  <conditionalFormatting sqref="D29:D30">
    <cfRule type="expression" dxfId="8672" priority="642">
      <formula>IF($D29="Compliant",TRUE)</formula>
    </cfRule>
    <cfRule type="expression" dxfId="8671" priority="643">
      <formula>IF($D29=" ",TRUE)</formula>
    </cfRule>
    <cfRule type="expression" dxfId="8670" priority="649">
      <formula>IF($D29="Not Compliant",TRUE)</formula>
    </cfRule>
  </conditionalFormatting>
  <conditionalFormatting sqref="D35">
    <cfRule type="expression" dxfId="8669" priority="634">
      <formula>IF($D35="Compliant",TRUE)</formula>
    </cfRule>
    <cfRule type="expression" dxfId="8668" priority="635">
      <formula>IF($D35=" ",TRUE)</formula>
    </cfRule>
    <cfRule type="expression" dxfId="8667" priority="641">
      <formula>IF($D35="Not Compliant",TRUE)</formula>
    </cfRule>
  </conditionalFormatting>
  <conditionalFormatting sqref="D37:D40 D46:D48">
    <cfRule type="expression" dxfId="8666" priority="674">
      <formula>IF($D37="Compliant",TRUE)</formula>
    </cfRule>
    <cfRule type="expression" dxfId="8665" priority="703">
      <formula>IF($D37=" ",TRUE)</formula>
    </cfRule>
    <cfRule type="expression" dxfId="8664" priority="710">
      <formula>IF($D37="Not Compliant",TRUE)</formula>
    </cfRule>
  </conditionalFormatting>
  <conditionalFormatting sqref="D42:D44">
    <cfRule type="expression" dxfId="8663" priority="487">
      <formula>IF($E42=TRUE,TRUE,FALSE)</formula>
    </cfRule>
    <cfRule type="expression" dxfId="8662" priority="488">
      <formula>IF($E42=FALSE,TRUE,FALSE)</formula>
    </cfRule>
  </conditionalFormatting>
  <conditionalFormatting sqref="D50:D53">
    <cfRule type="expression" dxfId="8661" priority="594">
      <formula>IF($D50="Compliant",TRUE)</formula>
    </cfRule>
    <cfRule type="expression" dxfId="8660" priority="595">
      <formula>IF($D50=" ",TRUE)</formula>
    </cfRule>
    <cfRule type="expression" dxfId="8659" priority="601">
      <formula>IF($D50="Not Compliant",TRUE)</formula>
    </cfRule>
  </conditionalFormatting>
  <conditionalFormatting sqref="D57">
    <cfRule type="expression" dxfId="8658" priority="1583">
      <formula>IF($E57,TRUE)</formula>
    </cfRule>
  </conditionalFormatting>
  <conditionalFormatting sqref="D58:D60">
    <cfRule type="expression" dxfId="8657" priority="447">
      <formula>IF($D58="Compliant",TRUE)</formula>
    </cfRule>
    <cfRule type="expression" dxfId="8656" priority="448">
      <formula>IF($D58=" ",TRUE)</formula>
    </cfRule>
    <cfRule type="expression" dxfId="8655" priority="454">
      <formula>IF($D58="Not Compliant",TRUE)</formula>
    </cfRule>
  </conditionalFormatting>
  <conditionalFormatting sqref="D61">
    <cfRule type="expression" dxfId="8654" priority="410">
      <formula>IF($E61,TRUE)</formula>
    </cfRule>
  </conditionalFormatting>
  <conditionalFormatting sqref="D62:D63">
    <cfRule type="expression" dxfId="8653" priority="385">
      <formula>IF($D62="Compliant",TRUE)</formula>
    </cfRule>
    <cfRule type="expression" dxfId="8652" priority="386">
      <formula>IF($D62=" ",TRUE)</formula>
    </cfRule>
    <cfRule type="expression" dxfId="8651" priority="392">
      <formula>IF($D62="Not Compliant",TRUE)</formula>
    </cfRule>
  </conditionalFormatting>
  <conditionalFormatting sqref="D66">
    <cfRule type="expression" dxfId="8650" priority="1679">
      <formula>IF(#REF!,TRUE)</formula>
    </cfRule>
    <cfRule type="expression" dxfId="8649" priority="1680">
      <formula>IF($E66,TRUE)</formula>
    </cfRule>
  </conditionalFormatting>
  <conditionalFormatting sqref="D67:D68">
    <cfRule type="expression" dxfId="8648" priority="1253">
      <formula>IF($E67,TRUE)</formula>
    </cfRule>
  </conditionalFormatting>
  <conditionalFormatting sqref="D69:D70">
    <cfRule type="expression" dxfId="8647" priority="578">
      <formula>IF($D69="Compliant",TRUE)</formula>
    </cfRule>
    <cfRule type="expression" dxfId="8646" priority="579">
      <formula>IF($D69=" ",TRUE)</formula>
    </cfRule>
    <cfRule type="expression" dxfId="8645" priority="585">
      <formula>IF($D69="Not Compliant",TRUE)</formula>
    </cfRule>
  </conditionalFormatting>
  <conditionalFormatting sqref="D71">
    <cfRule type="expression" dxfId="8644" priority="1252">
      <formula>IF($E71,TRUE)</formula>
    </cfRule>
  </conditionalFormatting>
  <conditionalFormatting sqref="D72:D74">
    <cfRule type="expression" dxfId="8643" priority="570">
      <formula>IF($D72="Compliant",TRUE)</formula>
    </cfRule>
    <cfRule type="expression" dxfId="8642" priority="571">
      <formula>IF($D72=" ",TRUE)</formula>
    </cfRule>
    <cfRule type="expression" dxfId="8641" priority="577">
      <formula>IF($D72="Not Compliant",TRUE)</formula>
    </cfRule>
  </conditionalFormatting>
  <conditionalFormatting sqref="D75">
    <cfRule type="expression" dxfId="8640" priority="1251">
      <formula>IF($E75,TRUE)</formula>
    </cfRule>
  </conditionalFormatting>
  <conditionalFormatting sqref="D76:D80">
    <cfRule type="expression" dxfId="8639" priority="562">
      <formula>IF($D76="Compliant",TRUE)</formula>
    </cfRule>
    <cfRule type="expression" dxfId="8638" priority="563">
      <formula>IF($D76=" ",TRUE)</formula>
    </cfRule>
    <cfRule type="expression" dxfId="8637" priority="569">
      <formula>IF($D76="Not Compliant",TRUE)</formula>
    </cfRule>
  </conditionalFormatting>
  <conditionalFormatting sqref="D84">
    <cfRule type="expression" dxfId="8636" priority="1255">
      <formula>IF($E84,TRUE)</formula>
    </cfRule>
  </conditionalFormatting>
  <conditionalFormatting sqref="D85:D87">
    <cfRule type="expression" dxfId="8635" priority="554">
      <formula>IF($D85="Compliant",TRUE)</formula>
    </cfRule>
    <cfRule type="expression" dxfId="8634" priority="555">
      <formula>IF($D85=" ",TRUE)</formula>
    </cfRule>
    <cfRule type="expression" dxfId="8633" priority="561">
      <formula>IF($D85="Not Compliant",TRUE)</formula>
    </cfRule>
  </conditionalFormatting>
  <conditionalFormatting sqref="D89:D95">
    <cfRule type="expression" dxfId="8632" priority="335">
      <formula>IF($D89="Compliant",TRUE)</formula>
    </cfRule>
    <cfRule type="expression" dxfId="8631" priority="336">
      <formula>IF($D89=" ",TRUE)</formula>
    </cfRule>
    <cfRule type="expression" dxfId="8630" priority="342">
      <formula>IF($D89="Not Compliant",TRUE)</formula>
    </cfRule>
  </conditionalFormatting>
  <conditionalFormatting sqref="D54:F54">
    <cfRule type="expression" dxfId="8629" priority="1245">
      <formula>IF($E54,TRUE)</formula>
    </cfRule>
  </conditionalFormatting>
  <conditionalFormatting sqref="D56:F56">
    <cfRule type="expression" dxfId="8628" priority="1661">
      <formula>IF(AND($E56=TRUE,#REF!&gt;1),TRUE)</formula>
    </cfRule>
    <cfRule type="expression" dxfId="8627" priority="1662">
      <formula>IF(AND($E56=TRUE,#REF!=1),TRUE)</formula>
    </cfRule>
    <cfRule type="expression" dxfId="8626" priority="1663">
      <formula>IF(AND($E56=FALSE,#REF!=1),TRUE)</formula>
    </cfRule>
  </conditionalFormatting>
  <conditionalFormatting sqref="D64:F64">
    <cfRule type="expression" dxfId="8625" priority="1622">
      <formula>IF($E64,TRUE)</formula>
    </cfRule>
  </conditionalFormatting>
  <conditionalFormatting sqref="D81:F81">
    <cfRule type="expression" dxfId="8624" priority="1256">
      <formula>$E81=TRUE</formula>
    </cfRule>
  </conditionalFormatting>
  <conditionalFormatting sqref="E96:E122">
    <cfRule type="beginsWith" dxfId="8623" priority="1681" operator="beginsWith" text="Partly">
      <formula>LEFT(E96,LEN("Partly"))="Partly"</formula>
    </cfRule>
    <cfRule type="beginsWith" dxfId="8622" priority="1682" operator="beginsWith" text="Missing">
      <formula>LEFT(E96,LEN("Missing"))="Missing"</formula>
    </cfRule>
    <cfRule type="beginsWith" dxfId="8621" priority="1683" operator="beginsWith" text="Not">
      <formula>LEFT(E96,LEN("Not"))="Not"</formula>
    </cfRule>
    <cfRule type="beginsWith" dxfId="8620" priority="1684" operator="beginsWith" text="Compliant">
      <formula>LEFT(E96,LEN("Compliant"))="Compliant"</formula>
    </cfRule>
    <cfRule type="containsText" dxfId="8619" priority="1685" operator="containsText" text="Equivalent">
      <formula>NOT(ISERROR(SEARCH("Equivalent",E96)))</formula>
    </cfRule>
  </conditionalFormatting>
  <conditionalFormatting sqref="G54:H54">
    <cfRule type="expression" dxfId="8618" priority="1125">
      <formula>IF(AND($E54=TRUE,$I54&lt;&gt;""),TRUE,FALSE)</formula>
    </cfRule>
    <cfRule type="expression" dxfId="8617" priority="1126">
      <formula>IF(AND($E54=FALSE,$I54&lt;&gt;""),TRUE,FALSE)</formula>
    </cfRule>
    <cfRule type="expression" dxfId="8616" priority="1127">
      <formula>IF(AND($E54=TRUE,$I54=""),TRUE,FALSE)</formula>
    </cfRule>
  </conditionalFormatting>
  <conditionalFormatting sqref="G64:H64 G81:H81">
    <cfRule type="expression" dxfId="8615" priority="1498">
      <formula>IF(AND($E64=TRUE,$I64&lt;&gt;""),TRUE,FALSE)</formula>
    </cfRule>
    <cfRule type="expression" dxfId="8614" priority="1529">
      <formula>IF(AND($E64=FALSE,$I64&lt;&gt;""),TRUE,FALSE)</formula>
    </cfRule>
    <cfRule type="expression" dxfId="8613" priority="1530">
      <formula>IF(AND($E64=TRUE,$I64=""),TRUE,FALSE)</formula>
    </cfRule>
  </conditionalFormatting>
  <conditionalFormatting sqref="M54 M64">
    <cfRule type="expression" dxfId="8612" priority="1128">
      <formula>IF(AND($E54=FALSE,$L54&lt;&gt;""),TRUE,FALSE)</formula>
    </cfRule>
    <cfRule type="expression" dxfId="8611" priority="1129">
      <formula>IF(AND($E54=TRUE,$L54=""),TRUE,FALSE)</formula>
    </cfRule>
    <cfRule type="expression" dxfId="8610" priority="1130">
      <formula>IF(AND($E54=TRUE,$L54&lt;&gt;""),TRUE,FALSE)</formula>
    </cfRule>
    <cfRule type="expression" dxfId="8609" priority="1131">
      <formula>IF(AND($E54=FALSE,$E$28,TRUE,$L54=""),TRUE,FALSE)</formula>
    </cfRule>
  </conditionalFormatting>
  <conditionalFormatting sqref="M81">
    <cfRule type="expression" dxfId="8608" priority="11399">
      <formula>IF(AND($E81=FALSE,$L81&lt;&gt;""),TRUE,FALSE)</formula>
    </cfRule>
    <cfRule type="expression" dxfId="8607" priority="11400">
      <formula>IF(AND($E81=TRUE,$L81=""),TRUE,FALSE)</formula>
    </cfRule>
    <cfRule type="expression" dxfId="8606" priority="11401">
      <formula>IF(AND($E81=TRUE,$L81&lt;&gt;""),TRUE,FALSE)</formula>
    </cfRule>
    <cfRule type="expression" dxfId="8605" priority="11402">
      <formula>IF(AND($E81=FALSE,#REF!,TRUE,$L81=""),TRUE,FALSE)</formula>
    </cfRule>
  </conditionalFormatting>
  <conditionalFormatting sqref="N8:N11 Q8:Q11 V8:V11">
    <cfRule type="expression" dxfId="8604" priority="138">
      <formula>IF(O8=FALSE,TRUE,FALSE)</formula>
    </cfRule>
    <cfRule type="expression" dxfId="8603" priority="139">
      <formula>IF(O8=TRUE,TRUE,FALSE)</formula>
    </cfRule>
  </conditionalFormatting>
  <conditionalFormatting sqref="N15">
    <cfRule type="expression" dxfId="8602" priority="94">
      <formula>IF(O15=FALSE,TRUE,FALSE)</formula>
    </cfRule>
    <cfRule type="expression" dxfId="8601" priority="95">
      <formula>IF(O15=TRUE,TRUE,FALSE)</formula>
    </cfRule>
  </conditionalFormatting>
  <conditionalFormatting sqref="N16 N35:N36 N41 N45 N49 N85">
    <cfRule type="expression" dxfId="8600" priority="319">
      <formula>IF($N16="Compliant",TRUE)</formula>
    </cfRule>
    <cfRule type="expression" dxfId="8599" priority="320">
      <formula>IF($N16="FE with work-a-round",TRUE)</formula>
    </cfRule>
    <cfRule type="expression" dxfId="8598" priority="321">
      <formula>IF($N16="Functionally Equivalent",TRUE)</formula>
    </cfRule>
    <cfRule type="expression" dxfId="8597" priority="322">
      <formula>IF($N16="Likely to become compliant",TRUE)</formula>
    </cfRule>
    <cfRule type="expression" dxfId="8596" priority="323">
      <formula>IF($N16="Partly Compliant",TRUE)</formula>
    </cfRule>
    <cfRule type="expression" dxfId="8595" priority="324">
      <formula>IF($N16="Unknown/Missing",TRUE)</formula>
    </cfRule>
    <cfRule type="expression" dxfId="8594" priority="325">
      <formula>IF($N16="Not Required/Applicable",TRUE)</formula>
    </cfRule>
    <cfRule type="expression" dxfId="8593" priority="326">
      <formula>IF($N16="Not Compliant",TRUE)</formula>
    </cfRule>
    <cfRule type="expression" dxfId="8592" priority="327">
      <formula>IF($N16=" ",TRUE)</formula>
    </cfRule>
  </conditionalFormatting>
  <conditionalFormatting sqref="N18">
    <cfRule type="expression" dxfId="8591" priority="224">
      <formula>IF($N18="Compliant",TRUE)</formula>
    </cfRule>
    <cfRule type="expression" dxfId="8590" priority="225">
      <formula>IF($N18="FE with work-a-round",TRUE)</formula>
    </cfRule>
    <cfRule type="expression" dxfId="8589" priority="226">
      <formula>IF($N18="Functionally Equivalent",TRUE)</formula>
    </cfRule>
    <cfRule type="expression" dxfId="8588" priority="227">
      <formula>IF($N18="Likely to become compliant",TRUE)</formula>
    </cfRule>
    <cfRule type="expression" dxfId="8587" priority="228">
      <formula>IF($N18="Partly Compliant",TRUE)</formula>
    </cfRule>
    <cfRule type="expression" dxfId="8586" priority="229">
      <formula>IF($N18="Unknown/Missing",TRUE)</formula>
    </cfRule>
    <cfRule type="expression" dxfId="8585" priority="230">
      <formula>IF($N18="Not Required/Applicable",TRUE)</formula>
    </cfRule>
    <cfRule type="expression" dxfId="8584" priority="231">
      <formula>IF($N18="Not Compliant",TRUE)</formula>
    </cfRule>
    <cfRule type="expression" dxfId="8583" priority="232">
      <formula>IF($N18=" ",TRUE)</formula>
    </cfRule>
  </conditionalFormatting>
  <conditionalFormatting sqref="N32">
    <cfRule type="expression" dxfId="8582" priority="6">
      <formula>IF(O32=FALSE,TRUE,FALSE)</formula>
    </cfRule>
    <cfRule type="expression" dxfId="8581" priority="7">
      <formula>IF(O32=TRUE,TRUE,FALSE)</formula>
    </cfRule>
  </conditionalFormatting>
  <conditionalFormatting sqref="N34">
    <cfRule type="expression" dxfId="8580" priority="100">
      <formula>IF(O34=FALSE,TRUE,FALSE)</formula>
    </cfRule>
    <cfRule type="expression" dxfId="8579" priority="101">
      <formula>IF(O34=TRUE,TRUE,FALSE)</formula>
    </cfRule>
  </conditionalFormatting>
  <conditionalFormatting sqref="N57">
    <cfRule type="expression" dxfId="8578" priority="292">
      <formula>IF($N57="Compliant",TRUE)</formula>
    </cfRule>
    <cfRule type="expression" dxfId="8577" priority="293">
      <formula>IF($N57="FE with work-a-round",TRUE)</formula>
    </cfRule>
    <cfRule type="expression" dxfId="8576" priority="294">
      <formula>IF($N57="Functionally Equivalent",TRUE)</formula>
    </cfRule>
    <cfRule type="expression" dxfId="8575" priority="295">
      <formula>IF($N57="Likely to become compliant",TRUE)</formula>
    </cfRule>
    <cfRule type="expression" dxfId="8574" priority="296">
      <formula>IF($N57="Partly Compliant",TRUE)</formula>
    </cfRule>
    <cfRule type="expression" dxfId="8573" priority="297">
      <formula>IF($N57="Unknown/Missing",TRUE)</formula>
    </cfRule>
    <cfRule type="expression" dxfId="8572" priority="298">
      <formula>IF($N57="Not Required/Applicable",TRUE)</formula>
    </cfRule>
    <cfRule type="expression" dxfId="8571" priority="299">
      <formula>IF($N57="Not Compliant",TRUE)</formula>
    </cfRule>
    <cfRule type="expression" dxfId="8570" priority="300">
      <formula>IF($N57=" ",TRUE)</formula>
    </cfRule>
  </conditionalFormatting>
  <conditionalFormatting sqref="N67">
    <cfRule type="expression" dxfId="8569" priority="266">
      <formula>IF(O67=FALSE,TRUE,FALSE)</formula>
    </cfRule>
    <cfRule type="expression" dxfId="8568" priority="267">
      <formula>IF(O67=TRUE,TRUE,FALSE)</formula>
    </cfRule>
  </conditionalFormatting>
  <conditionalFormatting sqref="N68 N71 N75 N80">
    <cfRule type="expression" dxfId="8567" priority="16">
      <formula>IF($N68="Compliant",TRUE)</formula>
    </cfRule>
    <cfRule type="expression" dxfId="8566" priority="17">
      <formula>IF($N68="FE with work-a-round",TRUE)</formula>
    </cfRule>
    <cfRule type="expression" dxfId="8565" priority="18">
      <formula>IF($N68="Functionally Equivalent",TRUE)</formula>
    </cfRule>
    <cfRule type="expression" dxfId="8564" priority="19">
      <formula>IF($N68="Likely to become compliant",TRUE)</formula>
    </cfRule>
    <cfRule type="expression" dxfId="8563" priority="20">
      <formula>IF($N68="Partly Compliant",TRUE)</formula>
    </cfRule>
    <cfRule type="expression" dxfId="8562" priority="21">
      <formula>IF($N68="Unknown/Missing",TRUE)</formula>
    </cfRule>
    <cfRule type="expression" dxfId="8561" priority="22">
      <formula>IF($N68="Not Required/Applicable",TRUE)</formula>
    </cfRule>
    <cfRule type="expression" dxfId="8560" priority="23">
      <formula>IF($N68="Not Compliant",TRUE)</formula>
    </cfRule>
    <cfRule type="expression" dxfId="8559" priority="24">
      <formula>IF($N68=" ",TRUE)</formula>
    </cfRule>
  </conditionalFormatting>
  <conditionalFormatting sqref="N84">
    <cfRule type="expression" dxfId="8558" priority="10">
      <formula>IF(O84=FALSE,TRUE,FALSE)</formula>
    </cfRule>
    <cfRule type="expression" dxfId="8557" priority="11">
      <formula>IF(O84=TRUE,TRUE,FALSE)</formula>
    </cfRule>
  </conditionalFormatting>
  <conditionalFormatting sqref="N88">
    <cfRule type="expression" dxfId="8556" priority="25">
      <formula>IF($N88="Compliant",TRUE)</formula>
    </cfRule>
    <cfRule type="expression" dxfId="8555" priority="26">
      <formula>IF($N88="FE with work-a-round",TRUE)</formula>
    </cfRule>
    <cfRule type="expression" dxfId="8554" priority="27">
      <formula>IF($N88="Functionally Equivalent",TRUE)</formula>
    </cfRule>
    <cfRule type="expression" dxfId="8553" priority="28">
      <formula>IF($N88="Likely to become compliant",TRUE)</formula>
    </cfRule>
    <cfRule type="expression" dxfId="8552" priority="29">
      <formula>IF($N88="Partly Compliant",TRUE)</formula>
    </cfRule>
    <cfRule type="expression" dxfId="8551" priority="30">
      <formula>IF($N88="Unknown/Missing",TRUE)</formula>
    </cfRule>
    <cfRule type="expression" dxfId="8550" priority="31">
      <formula>IF($N88="Not Required/Applicable",TRUE)</formula>
    </cfRule>
    <cfRule type="expression" dxfId="8549" priority="32">
      <formula>IF($N88="Not Compliant",TRUE)</formula>
    </cfRule>
    <cfRule type="expression" dxfId="8548" priority="33">
      <formula>IF($N88=" ",TRUE)</formula>
    </cfRule>
  </conditionalFormatting>
  <conditionalFormatting sqref="N12:O12">
    <cfRule type="expression" dxfId="8547" priority="12275">
      <formula>IF(AND($E12=FALSE,$N12="Not Applicable"),TRUE,FALSE)</formula>
    </cfRule>
    <cfRule type="expression" dxfId="8546" priority="12276">
      <formula>IF(AND($E12=TRUE,$L12="",$N12="Applicable"),TRUE,FALSE)</formula>
    </cfRule>
    <cfRule type="expression" dxfId="8545" priority="12277">
      <formula>IF(AND($E12=TRUE,$L12&lt;&gt;"",$N12="Applicable"),TRUE,FALSE)</formula>
    </cfRule>
    <cfRule type="expression" dxfId="8544" priority="12278">
      <formula>IF(AND($E12=FALSE,$N12&lt;&gt;""),TRUE,FALSE)</formula>
    </cfRule>
    <cfRule type="expression" dxfId="8543" priority="12279">
      <formula>IF(AND($L12&lt;&gt;"",$N12&lt;&gt;""),TRUE,FALSE)</formula>
    </cfRule>
  </conditionalFormatting>
  <conditionalFormatting sqref="N66:O66 N81:O81 N83:O83">
    <cfRule type="containsText" dxfId="8542" priority="12303" operator="containsText" text="Not Compliant">
      <formula>NOT(ISERROR(SEARCH("Not Compliant",N66)))</formula>
    </cfRule>
    <cfRule type="expression" dxfId="8541" priority="12304">
      <formula>IF(AND($E66=TRUE,$I66="",$N66="Compliant"),TRUE,FALSE)</formula>
    </cfRule>
    <cfRule type="expression" dxfId="8540" priority="12305">
      <formula>IF(AND($E66=TRUE,$I66&lt;&gt;"",$N66="Compliant"),TRUE,FALSE)</formula>
    </cfRule>
    <cfRule type="expression" dxfId="8539" priority="12306">
      <formula>IF($N66&lt;&gt;"",TRUE,FALSE)</formula>
    </cfRule>
    <cfRule type="expression" dxfId="8538" priority="12307">
      <formula>IF(AND($E66=FALSE,$N66&lt;&gt;""),TRUE,FALSE)</formula>
    </cfRule>
    <cfRule type="expression" dxfId="8537" priority="12308">
      <formula>IF(AND($I66&lt;&gt;"",$N66&lt;&gt;""),TRUE,FALSE)</formula>
    </cfRule>
  </conditionalFormatting>
  <conditionalFormatting sqref="O67">
    <cfRule type="expression" dxfId="8536" priority="268">
      <formula>IF(AND($E67=TRUE,$I67="Valid Entry required below - Check amber box",#REF!="Compliant"),TRUE,FALSE)</formula>
    </cfRule>
    <cfRule type="expression" dxfId="8535" priority="269">
      <formula>IF(AND($E67=TRUE,$I67="Valid Entry made below",#REF!="Compliant"),TRUE,FALSE)</formula>
    </cfRule>
    <cfRule type="expression" dxfId="8534" priority="270">
      <formula>IF(AND($E67=FALSE,#REF!&lt;&gt;""),TRUE,FALSE)</formula>
    </cfRule>
    <cfRule type="expression" dxfId="8533" priority="271">
      <formula>IF(AND($I67&lt;&gt;"",#REF!&lt;&gt;""),TRUE,FALSE)</formula>
    </cfRule>
  </conditionalFormatting>
  <conditionalFormatting sqref="O84">
    <cfRule type="expression" dxfId="8532" priority="12">
      <formula>IF(AND($E84=TRUE,$I84="Valid Entry required below - Check amber box",#REF!="Compliant"),TRUE,FALSE)</formula>
    </cfRule>
    <cfRule type="expression" dxfId="8531" priority="13">
      <formula>IF(AND($E84=TRUE,$I84="Valid Entry made below",#REF!="Compliant"),TRUE,FALSE)</formula>
    </cfRule>
    <cfRule type="expression" dxfId="8530" priority="14">
      <formula>IF(AND($E84=FALSE,#REF!&lt;&gt;""),TRUE,FALSE)</formula>
    </cfRule>
    <cfRule type="expression" dxfId="8529" priority="15">
      <formula>IF(AND($I84&lt;&gt;"",#REF!&lt;&gt;""),TRUE,FALSE)</formula>
    </cfRule>
  </conditionalFormatting>
  <conditionalFormatting sqref="P12">
    <cfRule type="beginsWith" dxfId="8528" priority="1639" operator="beginsWith" text="Likely">
      <formula>LEFT(P12,LEN("Likely"))="Likely"</formula>
    </cfRule>
    <cfRule type="beginsWith" dxfId="8527" priority="1640" operator="beginsWith" text="Not Applicable">
      <formula>LEFT(P12,LEN("Not Applicable"))="Not Applicable"</formula>
    </cfRule>
    <cfRule type="beginsWith" dxfId="8526" priority="1641" operator="beginsWith" text="Applicable">
      <formula>LEFT(P12,LEN("Applicable"))="Applicable"</formula>
    </cfRule>
    <cfRule type="beginsWith" dxfId="8525" priority="1642" operator="beginsWith" text="Partly">
      <formula>LEFT(P12,LEN("Partly"))="Partly"</formula>
    </cfRule>
    <cfRule type="beginsWith" dxfId="8524" priority="1643" operator="beginsWith" text="Missing">
      <formula>LEFT(P12,LEN("Missing"))="Missing"</formula>
    </cfRule>
    <cfRule type="beginsWith" dxfId="8523" priority="1644" operator="beginsWith" text="Not">
      <formula>LEFT(P12,LEN("Not"))="Not"</formula>
    </cfRule>
    <cfRule type="beginsWith" dxfId="8522" priority="1645" operator="beginsWith" text="Compliant">
      <formula>LEFT(P12,LEN("Compliant"))="Compliant"</formula>
    </cfRule>
    <cfRule type="containsText" dxfId="8521" priority="1646" operator="containsText" text="Equivalent">
      <formula>NOT(ISERROR(SEARCH("Equivalent",P12)))</formula>
    </cfRule>
  </conditionalFormatting>
  <conditionalFormatting sqref="Q15">
    <cfRule type="expression" dxfId="8520" priority="175">
      <formula>IF(R15=FALSE,TRUE,FALSE)</formula>
    </cfRule>
    <cfRule type="expression" dxfId="8519" priority="176">
      <formula>IF(R15=TRUE,TRUE,FALSE)</formula>
    </cfRule>
  </conditionalFormatting>
  <conditionalFormatting sqref="Q16:Q17">
    <cfRule type="expression" dxfId="8518" priority="186">
      <formula>IF(Q16="Compliant",TRUE)</formula>
    </cfRule>
    <cfRule type="expression" dxfId="8517" priority="187">
      <formula>IF(Q16="FE with work-a-round",TRUE)</formula>
    </cfRule>
    <cfRule type="expression" dxfId="8516" priority="188">
      <formula>IF(Q16="Functionally Equivalent",TRUE)</formula>
    </cfRule>
    <cfRule type="expression" dxfId="8515" priority="189">
      <formula>IF($Q16="Likely to become compliant",TRUE)</formula>
    </cfRule>
    <cfRule type="expression" dxfId="8514" priority="190">
      <formula>IF($Q16="Partly Compliant",TRUE)</formula>
    </cfRule>
    <cfRule type="expression" dxfId="8513" priority="191">
      <formula>IF($Q16="Unknown/Missing",TRUE)</formula>
    </cfRule>
    <cfRule type="expression" dxfId="8512" priority="192">
      <formula>IF($Q16="Not Required/Applicable",TRUE)</formula>
    </cfRule>
    <cfRule type="expression" dxfId="8511" priority="193">
      <formula>IF(Q16="Not Compliant",TRUE)</formula>
    </cfRule>
    <cfRule type="expression" dxfId="8510" priority="194">
      <formula>IF(Q16=" ",TRUE)</formula>
    </cfRule>
  </conditionalFormatting>
  <conditionalFormatting sqref="Q18">
    <cfRule type="expression" dxfId="8509" priority="204">
      <formula>IF(R18=FALSE,TRUE,FALSE)</formula>
    </cfRule>
    <cfRule type="expression" dxfId="8508" priority="205">
      <formula>IF(R18=TRUE,TRUE,FALSE)</formula>
    </cfRule>
  </conditionalFormatting>
  <conditionalFormatting sqref="Q19">
    <cfRule type="expression" dxfId="8507" priority="109">
      <formula>IF(AND(R19=TRUE,OR(R$20=TRUE,$R$27=TRUE)),TRUE)</formula>
    </cfRule>
    <cfRule type="expression" dxfId="8506" priority="215">
      <formula>IF(Q19="Compliant",TRUE)</formula>
    </cfRule>
    <cfRule type="expression" dxfId="8505" priority="216">
      <formula>IF(Q19="FE with work-a-round",TRUE)</formula>
    </cfRule>
    <cfRule type="expression" dxfId="8504" priority="217">
      <formula>IF(Q19="Functionally Equivalent",TRUE)</formula>
    </cfRule>
    <cfRule type="expression" dxfId="8503" priority="218">
      <formula>IF($Q19="Likely to become compliant",TRUE)</formula>
    </cfRule>
    <cfRule type="expression" dxfId="8502" priority="219">
      <formula>IF($Q19="Partly Compliant",TRUE)</formula>
    </cfRule>
    <cfRule type="expression" dxfId="8501" priority="220">
      <formula>IF($Q19="Unknown/Missing",TRUE)</formula>
    </cfRule>
    <cfRule type="expression" dxfId="8500" priority="221">
      <formula>IF($Q19="Not Required/Applicable",TRUE)</formula>
    </cfRule>
    <cfRule type="expression" dxfId="8499" priority="222">
      <formula>IF(Q19="Not Compliant",TRUE)</formula>
    </cfRule>
    <cfRule type="expression" dxfId="8498" priority="223">
      <formula>IF(Q19=" ",TRUE)</formula>
    </cfRule>
  </conditionalFormatting>
  <conditionalFormatting sqref="Q20">
    <cfRule type="expression" dxfId="8497" priority="164">
      <formula>IF(R20=FALSE,TRUE,FALSE)</formula>
    </cfRule>
    <cfRule type="expression" dxfId="8496" priority="165">
      <formula>IF(R20=TRUE,TRUE,FALSE)</formula>
    </cfRule>
  </conditionalFormatting>
  <conditionalFormatting sqref="Q21">
    <cfRule type="expression" dxfId="8495" priority="108">
      <formula>IF(AND($R21=TRUE,OR(R$19=TRUE,R$22=TRUE,R$23=TRUE,R$24=TRUE,R$25=TRUE,R$26=TRUE,$R$27=TRUE)),TRUE)</formula>
    </cfRule>
  </conditionalFormatting>
  <conditionalFormatting sqref="Q21:Q27">
    <cfRule type="expression" dxfId="8494" priority="166">
      <formula>IF(Q21="Compliant",TRUE)</formula>
    </cfRule>
    <cfRule type="expression" dxfId="8493" priority="167">
      <formula>IF(Q21="FE with work-a-round",TRUE)</formula>
    </cfRule>
    <cfRule type="expression" dxfId="8492" priority="168">
      <formula>IF(Q21="Functionally Equivalent",TRUE)</formula>
    </cfRule>
    <cfRule type="expression" dxfId="8491" priority="169">
      <formula>IF($Q21="Likely to become compliant",TRUE)</formula>
    </cfRule>
    <cfRule type="expression" dxfId="8490" priority="170">
      <formula>IF($Q21="Partly Compliant",TRUE)</formula>
    </cfRule>
    <cfRule type="expression" dxfId="8489" priority="171">
      <formula>IF($Q21="Unknown/Missing",TRUE)</formula>
    </cfRule>
    <cfRule type="expression" dxfId="8488" priority="172">
      <formula>IF($Q21="Not Required/Applicable",TRUE)</formula>
    </cfRule>
    <cfRule type="expression" dxfId="8487" priority="173">
      <formula>IF(Q21="Not Compliant",TRUE)</formula>
    </cfRule>
    <cfRule type="expression" dxfId="8486" priority="174">
      <formula>IF(Q21=" ",TRUE)</formula>
    </cfRule>
  </conditionalFormatting>
  <conditionalFormatting sqref="Q22">
    <cfRule type="expression" dxfId="8485" priority="107">
      <formula>IF(AND($R22=TRUE,OR(R$19=TRUE,R$21=TRUE,R$23=TRUE,R$24=TRUE,R$25=TRUE,R$26=TRUE,$R$27=TRUE)),TRUE)</formula>
    </cfRule>
  </conditionalFormatting>
  <conditionalFormatting sqref="Q23">
    <cfRule type="expression" priority="106">
      <formula>IF(AND($R23=TRUE,OR(R$19=TRUE,R$22=TRUE,R$21=TRUE,R$24=TRUE,R$25=TRUE,R$26=TRUE,$R$27=TRUE)),TRUE)</formula>
    </cfRule>
  </conditionalFormatting>
  <conditionalFormatting sqref="Q24">
    <cfRule type="expression" dxfId="8484" priority="105">
      <formula>IF(AND($R24=TRUE,OR(R$19=TRUE,R$22=TRUE,R$23=TRUE,R$21=TRUE,R$25=TRUE,R$26=TRUE,$R$27=TRUE)),TRUE)</formula>
    </cfRule>
  </conditionalFormatting>
  <conditionalFormatting sqref="Q25">
    <cfRule type="expression" dxfId="8483" priority="104">
      <formula>IF(AND($R25=TRUE,OR(R$19=TRUE,R$22=TRUE,R$23=TRUE,R$24=TRUE,R$21=TRUE,R$26=TRUE,$R$27=TRUE)),TRUE)</formula>
    </cfRule>
  </conditionalFormatting>
  <conditionalFormatting sqref="Q26">
    <cfRule type="expression" dxfId="8482" priority="103">
      <formula>IF(AND($R26=TRUE,OR(R$19=TRUE,R$22=TRUE,R$23=TRUE,R$24=TRUE,R$25=TRUE,R$21=TRUE,$R$27=TRUE)),TRUE)</formula>
    </cfRule>
  </conditionalFormatting>
  <conditionalFormatting sqref="Q27">
    <cfRule type="expression" dxfId="8481" priority="102">
      <formula>IF(AND($R27=TRUE,OR(R$19=TRUE,R$22=TRUE,R$23=TRUE,R$24=TRUE,R$25=TRUE,R$26=TRUE,$R$21=TRUE)),TRUE)</formula>
    </cfRule>
  </conditionalFormatting>
  <conditionalFormatting sqref="Q28">
    <cfRule type="expression" dxfId="8480" priority="233">
      <formula>IF(R28=FALSE,TRUE,FALSE)</formula>
    </cfRule>
    <cfRule type="expression" dxfId="8479" priority="234">
      <formula>IF(R28=TRUE,TRUE,FALSE)</formula>
    </cfRule>
  </conditionalFormatting>
  <conditionalFormatting sqref="Q29:Q30">
    <cfRule type="expression" dxfId="8478" priority="155">
      <formula>IF(Q29="Compliant",TRUE)</formula>
    </cfRule>
    <cfRule type="expression" dxfId="8477" priority="156">
      <formula>IF(Q29="FE with work-a-round",TRUE)</formula>
    </cfRule>
    <cfRule type="expression" dxfId="8476" priority="157">
      <formula>IF(Q29="Functionally Equivalent",TRUE)</formula>
    </cfRule>
    <cfRule type="expression" dxfId="8475" priority="158">
      <formula>IF($Q29="Likely to become compliant",TRUE)</formula>
    </cfRule>
    <cfRule type="expression" dxfId="8474" priority="159">
      <formula>IF($Q29="Partly Compliant",TRUE)</formula>
    </cfRule>
    <cfRule type="expression" dxfId="8473" priority="160">
      <formula>IF($Q29="Unknown/Missing",TRUE)</formula>
    </cfRule>
    <cfRule type="expression" dxfId="8472" priority="161">
      <formula>IF($Q29="Not Required/Applicable",TRUE)</formula>
    </cfRule>
    <cfRule type="expression" dxfId="8471" priority="162">
      <formula>IF(Q29="Not Compliant",TRUE)</formula>
    </cfRule>
    <cfRule type="expression" dxfId="8470" priority="163">
      <formula>IF(Q29=" ",TRUE)</formula>
    </cfRule>
  </conditionalFormatting>
  <conditionalFormatting sqref="Q32">
    <cfRule type="expression" dxfId="8469" priority="4">
      <formula>IF(R32=FALSE,TRUE,FALSE)</formula>
    </cfRule>
    <cfRule type="expression" dxfId="8468" priority="5">
      <formula>IF(R32=TRUE,TRUE,FALSE)</formula>
    </cfRule>
  </conditionalFormatting>
  <conditionalFormatting sqref="Q34">
    <cfRule type="expression" dxfId="8467" priority="110">
      <formula>IF(R34=FALSE,TRUE,FALSE)</formula>
    </cfRule>
    <cfRule type="expression" dxfId="8466" priority="111">
      <formula>IF(R34=TRUE,TRUE,FALSE)</formula>
    </cfRule>
  </conditionalFormatting>
  <conditionalFormatting sqref="Q35">
    <cfRule type="expression" dxfId="8465" priority="301">
      <formula>IF(Q35="Compliant",TRUE)</formula>
    </cfRule>
    <cfRule type="expression" dxfId="8464" priority="302">
      <formula>IF(Q35="FE with work-a-round",TRUE)</formula>
    </cfRule>
    <cfRule type="expression" dxfId="8463" priority="303">
      <formula>IF(Q35="Functionally Equivalent",TRUE)</formula>
    </cfRule>
    <cfRule type="expression" dxfId="8462" priority="304">
      <formula>IF(Q35="Likely to become compliant",TRUE)</formula>
    </cfRule>
    <cfRule type="expression" dxfId="8461" priority="305">
      <formula>IF(Q35="Partly Compliant",TRUE)</formula>
    </cfRule>
    <cfRule type="expression" dxfId="8460" priority="306">
      <formula>IF(Q35="Unknown/Missing",TRUE)</formula>
    </cfRule>
    <cfRule type="expression" dxfId="8459" priority="307">
      <formula>IF(Q35="Not Required/Applicable",TRUE)</formula>
    </cfRule>
    <cfRule type="expression" dxfId="8458" priority="308">
      <formula>IF(Q35="Not Compliant",TRUE)</formula>
    </cfRule>
    <cfRule type="expression" dxfId="8457" priority="309">
      <formula>IF($N35=" ",TRUE)</formula>
    </cfRule>
  </conditionalFormatting>
  <conditionalFormatting sqref="Q36">
    <cfRule type="expression" dxfId="8456" priority="112">
      <formula>IF(R36=FALSE,TRUE,FALSE)</formula>
    </cfRule>
    <cfRule type="expression" dxfId="8455" priority="113">
      <formula>IF(R36=TRUE,TRUE,FALSE)</formula>
    </cfRule>
  </conditionalFormatting>
  <conditionalFormatting sqref="Q37:Q40 Q42:Q44 Q46:Q48 Q50:Q53 Q58:Q60 Q62:Q63 Q69:Q70 Q72:Q74 Q76:Q80 Q85:Q87 Q89:Q95">
    <cfRule type="expression" dxfId="8454" priority="146">
      <formula>IF(Q37="Compliant",TRUE)</formula>
    </cfRule>
    <cfRule type="expression" dxfId="8453" priority="147">
      <formula>IF(Q37="FE with work-a-round",TRUE)</formula>
    </cfRule>
    <cfRule type="expression" dxfId="8452" priority="148">
      <formula>IF(Q37="Functionally Equivalent",TRUE)</formula>
    </cfRule>
    <cfRule type="expression" dxfId="8451" priority="149">
      <formula>IF($Q37="Likely to become compliant",TRUE)</formula>
    </cfRule>
    <cfRule type="expression" dxfId="8450" priority="150">
      <formula>IF($Q37="Partly Compliant",TRUE)</formula>
    </cfRule>
    <cfRule type="expression" dxfId="8449" priority="151">
      <formula>IF($Q37="Unknown/Missing",TRUE)</formula>
    </cfRule>
    <cfRule type="expression" dxfId="8448" priority="152">
      <formula>IF($Q37="Not Required/Applicable",TRUE)</formula>
    </cfRule>
    <cfRule type="expression" dxfId="8447" priority="153">
      <formula>IF(Q37="Not Compliant",TRUE)</formula>
    </cfRule>
    <cfRule type="expression" dxfId="8446" priority="154">
      <formula>IF(Q37=" ",TRUE)</formula>
    </cfRule>
  </conditionalFormatting>
  <conditionalFormatting sqref="Q41">
    <cfRule type="expression" dxfId="8445" priority="114">
      <formula>IF(R41=FALSE,TRUE,FALSE)</formula>
    </cfRule>
    <cfRule type="expression" dxfId="8444" priority="115">
      <formula>IF(R41=TRUE,TRUE,FALSE)</formula>
    </cfRule>
  </conditionalFormatting>
  <conditionalFormatting sqref="Q45">
    <cfRule type="expression" dxfId="8443" priority="116">
      <formula>IF(R45=FALSE,TRUE,FALSE)</formula>
    </cfRule>
    <cfRule type="expression" dxfId="8442" priority="117">
      <formula>IF(R45=TRUE,TRUE,FALSE)</formula>
    </cfRule>
  </conditionalFormatting>
  <conditionalFormatting sqref="Q49">
    <cfRule type="expression" dxfId="8441" priority="118">
      <formula>IF(R49=FALSE,TRUE,FALSE)</formula>
    </cfRule>
    <cfRule type="expression" dxfId="8440" priority="119">
      <formula>IF(R49=TRUE,TRUE,FALSE)</formula>
    </cfRule>
  </conditionalFormatting>
  <conditionalFormatting sqref="Q57">
    <cfRule type="expression" dxfId="8439" priority="272">
      <formula>IF(R57=FALSE,TRUE,FALSE)</formula>
    </cfRule>
    <cfRule type="expression" dxfId="8438" priority="273">
      <formula>IF(R57=TRUE,TRUE,FALSE)</formula>
    </cfRule>
  </conditionalFormatting>
  <conditionalFormatting sqref="Q61">
    <cfRule type="expression" dxfId="8437" priority="144">
      <formula>IF(R61=FALSE,TRUE,FALSE)</formula>
    </cfRule>
    <cfRule type="expression" dxfId="8436" priority="145">
      <formula>IF(R61=TRUE,TRUE,FALSE)</formula>
    </cfRule>
  </conditionalFormatting>
  <conditionalFormatting sqref="Q67:Q68">
    <cfRule type="expression" dxfId="8435" priority="264">
      <formula>IF(R67=FALSE,TRUE,FALSE)</formula>
    </cfRule>
    <cfRule type="expression" dxfId="8434" priority="265">
      <formula>IF(R67=TRUE,TRUE,FALSE)</formula>
    </cfRule>
  </conditionalFormatting>
  <conditionalFormatting sqref="Q71">
    <cfRule type="expression" dxfId="8433" priority="142">
      <formula>IF(R71=FALSE,TRUE,FALSE)</formula>
    </cfRule>
    <cfRule type="expression" dxfId="8432" priority="143">
      <formula>IF(R71=TRUE,TRUE,FALSE)</formula>
    </cfRule>
  </conditionalFormatting>
  <conditionalFormatting sqref="Q75">
    <cfRule type="expression" dxfId="8431" priority="140">
      <formula>IF(R75=FALSE,TRUE,FALSE)</formula>
    </cfRule>
    <cfRule type="expression" dxfId="8430" priority="141">
      <formula>IF(R75=TRUE,TRUE,FALSE)</formula>
    </cfRule>
  </conditionalFormatting>
  <conditionalFormatting sqref="Q84">
    <cfRule type="expression" dxfId="8429" priority="92">
      <formula>IF(R84=FALSE,TRUE,FALSE)</formula>
    </cfRule>
    <cfRule type="expression" dxfId="8428" priority="93">
      <formula>IF(R84=TRUE,TRUE,FALSE)</formula>
    </cfRule>
  </conditionalFormatting>
  <conditionalFormatting sqref="Q88">
    <cfRule type="expression" dxfId="8427" priority="90">
      <formula>IF(R88=FALSE,TRUE,FALSE)</formula>
    </cfRule>
    <cfRule type="expression" dxfId="8426" priority="91">
      <formula>IF(R88=TRUE,TRUE,FALSE)</formula>
    </cfRule>
  </conditionalFormatting>
  <conditionalFormatting sqref="V15">
    <cfRule type="expression" dxfId="8425" priority="96">
      <formula>IF(W15=FALSE,TRUE,FALSE)</formula>
    </cfRule>
    <cfRule type="expression" dxfId="8424" priority="97">
      <formula>IF(W15=TRUE,TRUE,FALSE)</formula>
    </cfRule>
  </conditionalFormatting>
  <conditionalFormatting sqref="V16">
    <cfRule type="expression" dxfId="8423" priority="13980">
      <formula>IF(V16="Compliant",TRUE)</formula>
    </cfRule>
    <cfRule type="expression" dxfId="8422" priority="13981">
      <formula>IF(V16="FE with work-a-round",TRUE)</formula>
    </cfRule>
    <cfRule type="expression" dxfId="8421" priority="13982">
      <formula>IF(V16="Functionally Equivalent",TRUE)</formula>
    </cfRule>
    <cfRule type="expression" dxfId="8420" priority="13983">
      <formula>IF(V16="Likely to become compliant",TRUE)</formula>
    </cfRule>
    <cfRule type="expression" dxfId="8419" priority="13984">
      <formula>IF(V16="Partly Compliant",TRUE)</formula>
    </cfRule>
    <cfRule type="expression" dxfId="8418" priority="13985">
      <formula>IF(V16="Unknown/Missing",TRUE)</formula>
    </cfRule>
    <cfRule type="expression" dxfId="8417" priority="13986">
      <formula>IF(V16="Not Required/Applicable",TRUE)</formula>
    </cfRule>
    <cfRule type="expression" dxfId="8416" priority="13987">
      <formula>IF(V16="Not Compliant",TRUE)</formula>
    </cfRule>
    <cfRule type="expression" dxfId="8415" priority="13988">
      <formula>IF($N16=" ",TRUE)</formula>
    </cfRule>
  </conditionalFormatting>
  <conditionalFormatting sqref="V18">
    <cfRule type="expression" dxfId="8414" priority="120">
      <formula>IF(V18="Compliant",TRUE)</formula>
    </cfRule>
    <cfRule type="expression" dxfId="8413" priority="121">
      <formula>IF(V18="FE with work-a-round",TRUE)</formula>
    </cfRule>
    <cfRule type="expression" dxfId="8412" priority="122">
      <formula>IF(V18="Functionally Equivalent",TRUE)</formula>
    </cfRule>
    <cfRule type="expression" dxfId="8411" priority="123">
      <formula>IF(V18="Likely to become compliant",TRUE)</formula>
    </cfRule>
    <cfRule type="expression" dxfId="8410" priority="124">
      <formula>IF(V18="Partly Compliant",TRUE)</formula>
    </cfRule>
    <cfRule type="expression" dxfId="8409" priority="125">
      <formula>IF(V18="Unknown/Missing",TRUE)</formula>
    </cfRule>
    <cfRule type="expression" dxfId="8408" priority="126">
      <formula>IF(V18="Not Required/Applicable",TRUE)</formula>
    </cfRule>
    <cfRule type="expression" dxfId="8407" priority="127">
      <formula>IF(V18="Not Compliant",TRUE)</formula>
    </cfRule>
    <cfRule type="expression" dxfId="8406" priority="128">
      <formula>IF($N18=" ",TRUE)</formula>
    </cfRule>
  </conditionalFormatting>
  <conditionalFormatting sqref="V32">
    <cfRule type="expression" dxfId="8405" priority="2">
      <formula>IF(W32=FALSE,TRUE,FALSE)</formula>
    </cfRule>
    <cfRule type="expression" dxfId="8404" priority="3">
      <formula>IF(W32=TRUE,TRUE,FALSE)</formula>
    </cfRule>
  </conditionalFormatting>
  <conditionalFormatting sqref="V34">
    <cfRule type="expression" dxfId="8403" priority="98">
      <formula>IF(W34=FALSE,TRUE,FALSE)</formula>
    </cfRule>
    <cfRule type="expression" dxfId="8402" priority="99">
      <formula>IF(W34=TRUE,TRUE,FALSE)</formula>
    </cfRule>
  </conditionalFormatting>
  <conditionalFormatting sqref="V35:V36">
    <cfRule type="expression" dxfId="8401" priority="310">
      <formula>IF(V35="Compliant",TRUE)</formula>
    </cfRule>
    <cfRule type="expression" dxfId="8400" priority="311">
      <formula>IF(V35="FE with work-a-round",TRUE)</formula>
    </cfRule>
    <cfRule type="expression" dxfId="8399" priority="312">
      <formula>IF(V35="Functionally Equivalent",TRUE)</formula>
    </cfRule>
    <cfRule type="expression" dxfId="8398" priority="313">
      <formula>IF(V35="Likely to become compliant",TRUE)</formula>
    </cfRule>
    <cfRule type="expression" dxfId="8397" priority="314">
      <formula>IF(V35="Partly Compliant",TRUE)</formula>
    </cfRule>
    <cfRule type="expression" dxfId="8396" priority="315">
      <formula>IF(V35="Unknown/Missing",TRUE)</formula>
    </cfRule>
    <cfRule type="expression" dxfId="8395" priority="316">
      <formula>IF(V35="Not Required/Applicable",TRUE)</formula>
    </cfRule>
    <cfRule type="expression" dxfId="8394" priority="317">
      <formula>IF(V35="Not Compliant",TRUE)</formula>
    </cfRule>
    <cfRule type="expression" dxfId="8393" priority="318">
      <formula>IF($N35=" ",TRUE)</formula>
    </cfRule>
  </conditionalFormatting>
  <conditionalFormatting sqref="V57">
    <cfRule type="expression" dxfId="8392" priority="274">
      <formula>IF(V57="Compliant",TRUE)</formula>
    </cfRule>
    <cfRule type="expression" dxfId="8391" priority="275">
      <formula>IF(V57="FE with work-a-round",TRUE)</formula>
    </cfRule>
    <cfRule type="expression" dxfId="8390" priority="276">
      <formula>IF(V57="Functionally Equivalent",TRUE)</formula>
    </cfRule>
    <cfRule type="expression" dxfId="8389" priority="277">
      <formula>IF(V57="Likely to become compliant",TRUE)</formula>
    </cfRule>
    <cfRule type="expression" dxfId="8388" priority="278">
      <formula>IF(V57="Partly Compliant",TRUE)</formula>
    </cfRule>
    <cfRule type="expression" dxfId="8387" priority="279">
      <formula>IF(V57="Unknown/Missing",TRUE)</formula>
    </cfRule>
    <cfRule type="expression" dxfId="8386" priority="280">
      <formula>IF(V57="Not Required/Applicable",TRUE)</formula>
    </cfRule>
    <cfRule type="expression" dxfId="8385" priority="281">
      <formula>IF(V57="Not Compliant",TRUE)</formula>
    </cfRule>
    <cfRule type="expression" dxfId="8384" priority="282">
      <formula>IF($N57=" ",TRUE)</formula>
    </cfRule>
  </conditionalFormatting>
  <conditionalFormatting sqref="V67">
    <cfRule type="expression" dxfId="8383" priority="262">
      <formula>IF(W67=FALSE,TRUE,FALSE)</formula>
    </cfRule>
    <cfRule type="expression" dxfId="8382" priority="263">
      <formula>IF(W67=TRUE,TRUE,FALSE)</formula>
    </cfRule>
  </conditionalFormatting>
  <conditionalFormatting sqref="V68">
    <cfRule type="expression" dxfId="8381" priority="81">
      <formula>IF(V68="Compliant",TRUE)</formula>
    </cfRule>
    <cfRule type="expression" dxfId="8380" priority="82">
      <formula>IF(V68="FE with work-a-round",TRUE)</formula>
    </cfRule>
    <cfRule type="expression" dxfId="8379" priority="83">
      <formula>IF(V68="Functionally Equivalent",TRUE)</formula>
    </cfRule>
    <cfRule type="expression" dxfId="8378" priority="84">
      <formula>IF(V68="Likely to become compliant",TRUE)</formula>
    </cfRule>
    <cfRule type="expression" dxfId="8377" priority="85">
      <formula>IF(V68="Partly Compliant",TRUE)</formula>
    </cfRule>
    <cfRule type="expression" dxfId="8376" priority="86">
      <formula>IF(V68="Unknown/Missing",TRUE)</formula>
    </cfRule>
    <cfRule type="expression" dxfId="8375" priority="87">
      <formula>IF(V68="Not Required/Applicable",TRUE)</formula>
    </cfRule>
    <cfRule type="expression" dxfId="8374" priority="88">
      <formula>IF(V68="Not Compliant",TRUE)</formula>
    </cfRule>
    <cfRule type="expression" dxfId="8373" priority="89">
      <formula>IF($N68=" ",TRUE)</formula>
    </cfRule>
  </conditionalFormatting>
  <conditionalFormatting sqref="V71">
    <cfRule type="expression" dxfId="8372" priority="72">
      <formula>IF(V71="Compliant",TRUE)</formula>
    </cfRule>
    <cfRule type="expression" dxfId="8371" priority="73">
      <formula>IF(V71="FE with work-a-round",TRUE)</formula>
    </cfRule>
    <cfRule type="expression" dxfId="8370" priority="74">
      <formula>IF(V71="Functionally Equivalent",TRUE)</formula>
    </cfRule>
    <cfRule type="expression" dxfId="8369" priority="75">
      <formula>IF(V71="Likely to become compliant",TRUE)</formula>
    </cfRule>
    <cfRule type="expression" dxfId="8368" priority="76">
      <formula>IF(V71="Partly Compliant",TRUE)</formula>
    </cfRule>
    <cfRule type="expression" dxfId="8367" priority="77">
      <formula>IF(V71="Unknown/Missing",TRUE)</formula>
    </cfRule>
    <cfRule type="expression" dxfId="8366" priority="78">
      <formula>IF(V71="Not Required/Applicable",TRUE)</formula>
    </cfRule>
    <cfRule type="expression" dxfId="8365" priority="79">
      <formula>IF(V71="Not Compliant",TRUE)</formula>
    </cfRule>
    <cfRule type="expression" dxfId="8364" priority="80">
      <formula>IF($N71=" ",TRUE)</formula>
    </cfRule>
  </conditionalFormatting>
  <conditionalFormatting sqref="V75">
    <cfRule type="expression" dxfId="8363" priority="63">
      <formula>IF(V75="Compliant",TRUE)</formula>
    </cfRule>
    <cfRule type="expression" dxfId="8362" priority="64">
      <formula>IF(V75="FE with work-a-round",TRUE)</formula>
    </cfRule>
    <cfRule type="expression" dxfId="8361" priority="65">
      <formula>IF(V75="Functionally Equivalent",TRUE)</formula>
    </cfRule>
    <cfRule type="expression" dxfId="8360" priority="66">
      <formula>IF(V75="Likely to become compliant",TRUE)</formula>
    </cfRule>
    <cfRule type="expression" dxfId="8359" priority="67">
      <formula>IF(V75="Partly Compliant",TRUE)</formula>
    </cfRule>
    <cfRule type="expression" dxfId="8358" priority="68">
      <formula>IF(V75="Unknown/Missing",TRUE)</formula>
    </cfRule>
    <cfRule type="expression" dxfId="8357" priority="69">
      <formula>IF(V75="Not Required/Applicable",TRUE)</formula>
    </cfRule>
    <cfRule type="expression" dxfId="8356" priority="70">
      <formula>IF(V75="Not Compliant",TRUE)</formula>
    </cfRule>
    <cfRule type="expression" dxfId="8355" priority="71">
      <formula>IF($N75=" ",TRUE)</formula>
    </cfRule>
  </conditionalFormatting>
  <conditionalFormatting sqref="V80">
    <cfRule type="expression" dxfId="8354" priority="54">
      <formula>IF(V80="Compliant",TRUE)</formula>
    </cfRule>
    <cfRule type="expression" dxfId="8353" priority="55">
      <formula>IF(V80="FE with work-a-round",TRUE)</formula>
    </cfRule>
    <cfRule type="expression" dxfId="8352" priority="56">
      <formula>IF(V80="Functionally Equivalent",TRUE)</formula>
    </cfRule>
    <cfRule type="expression" dxfId="8351" priority="57">
      <formula>IF(V80="Likely to become compliant",TRUE)</formula>
    </cfRule>
    <cfRule type="expression" dxfId="8350" priority="58">
      <formula>IF(V80="Partly Compliant",TRUE)</formula>
    </cfRule>
    <cfRule type="expression" dxfId="8349" priority="59">
      <formula>IF(V80="Unknown/Missing",TRUE)</formula>
    </cfRule>
    <cfRule type="expression" dxfId="8348" priority="60">
      <formula>IF(V80="Not Required/Applicable",TRUE)</formula>
    </cfRule>
    <cfRule type="expression" dxfId="8347" priority="61">
      <formula>IF(V80="Not Compliant",TRUE)</formula>
    </cfRule>
    <cfRule type="expression" dxfId="8346" priority="62">
      <formula>IF($N80=" ",TRUE)</formula>
    </cfRule>
  </conditionalFormatting>
  <conditionalFormatting sqref="V84">
    <cfRule type="expression" dxfId="8345" priority="34">
      <formula>IF(W84=FALSE,TRUE,FALSE)</formula>
    </cfRule>
    <cfRule type="expression" dxfId="8344" priority="35">
      <formula>IF(W84=TRUE,TRUE,FALSE)</formula>
    </cfRule>
  </conditionalFormatting>
  <conditionalFormatting sqref="V85">
    <cfRule type="expression" dxfId="8343" priority="13989">
      <formula>IF(V85="Compliant",TRUE)</formula>
    </cfRule>
    <cfRule type="expression" dxfId="8342" priority="13990">
      <formula>IF(V85="FE with work-a-round",TRUE)</formula>
    </cfRule>
    <cfRule type="expression" dxfId="8341" priority="13991">
      <formula>IF(V85="Functionally Equivalent",TRUE)</formula>
    </cfRule>
    <cfRule type="expression" dxfId="8340" priority="13992">
      <formula>IF(V85="Likely to become compliant",TRUE)</formula>
    </cfRule>
    <cfRule type="expression" dxfId="8339" priority="13993">
      <formula>IF(V85="Partly Compliant",TRUE)</formula>
    </cfRule>
    <cfRule type="expression" dxfId="8338" priority="13994">
      <formula>IF(V85="Unknown/Missing",TRUE)</formula>
    </cfRule>
    <cfRule type="expression" dxfId="8337" priority="13995">
      <formula>IF(V85="Not Required/Applicable",TRUE)</formula>
    </cfRule>
    <cfRule type="expression" dxfId="8336" priority="13996">
      <formula>IF(V85="Not Compliant",TRUE)</formula>
    </cfRule>
    <cfRule type="expression" dxfId="8335" priority="13997">
      <formula>IF(#REF!=" ",TRUE)</formula>
    </cfRule>
  </conditionalFormatting>
  <conditionalFormatting sqref="V88">
    <cfRule type="expression" dxfId="8334" priority="36">
      <formula>IF(V88="Compliant",TRUE)</formula>
    </cfRule>
    <cfRule type="expression" dxfId="8333" priority="37">
      <formula>IF(V88="FE with work-a-round",TRUE)</formula>
    </cfRule>
    <cfRule type="expression" dxfId="8332" priority="38">
      <formula>IF(V88="Functionally Equivalent",TRUE)</formula>
    </cfRule>
    <cfRule type="expression" dxfId="8331" priority="39">
      <formula>IF(V88="Likely to become compliant",TRUE)</formula>
    </cfRule>
    <cfRule type="expression" dxfId="8330" priority="40">
      <formula>IF(V88="Partly Compliant",TRUE)</formula>
    </cfRule>
    <cfRule type="expression" dxfId="8329" priority="41">
      <formula>IF(V88="Unknown/Missing",TRUE)</formula>
    </cfRule>
    <cfRule type="expression" dxfId="8328" priority="42">
      <formula>IF(V88="Not Required/Applicable",TRUE)</formula>
    </cfRule>
    <cfRule type="expression" dxfId="8327" priority="43">
      <formula>IF(V88="Not Compliant",TRUE)</formula>
    </cfRule>
    <cfRule type="expression" dxfId="8326" priority="44">
      <formula>IF($N88=" ",TRUE)</formula>
    </cfRule>
  </conditionalFormatting>
  <conditionalFormatting sqref="V41:W41 V45:W45 V49:W49 V66:W66 V81:W81 V83:W83">
    <cfRule type="containsText" dxfId="8325" priority="1635" operator="containsText" text="Applicable">
      <formula>NOT(ISERROR(SEARCH("Applicable",V41)))</formula>
    </cfRule>
    <cfRule type="containsText" dxfId="8324" priority="1636" operator="containsText" text="Functionally">
      <formula>NOT(ISERROR(SEARCH("Functionally",V41)))</formula>
    </cfRule>
    <cfRule type="containsText" dxfId="8323" priority="1637" operator="containsText" text="Not Compliant">
      <formula>NOT(ISERROR(SEARCH("Not Compliant",V41)))</formula>
    </cfRule>
    <cfRule type="containsText" dxfId="8322" priority="1638" operator="containsText" text="Compliant">
      <formula>NOT(ISERROR(SEARCH("Compliant",V41)))</formula>
    </cfRule>
  </conditionalFormatting>
  <conditionalFormatting sqref="X8:X9">
    <cfRule type="containsText" dxfId="8321" priority="1623" operator="containsText" text="Applicable">
      <formula>NOT(ISERROR(SEARCH("Applicable",X8)))</formula>
    </cfRule>
    <cfRule type="containsText" dxfId="8320" priority="1624" operator="containsText" text="Functionally">
      <formula>NOT(ISERROR(SEARCH("Functionally",X8)))</formula>
    </cfRule>
    <cfRule type="containsText" dxfId="8319" priority="1625" operator="containsText" text="Not Compliant">
      <formula>NOT(ISERROR(SEARCH("Not Compliant",X8)))</formula>
    </cfRule>
    <cfRule type="containsText" dxfId="8318" priority="1626" operator="containsText" text="Compliant">
      <formula>NOT(ISERROR(SEARCH("Compliant",X8)))</formula>
    </cfRule>
  </conditionalFormatting>
  <dataValidations count="4">
    <dataValidation type="list" allowBlank="1" showInputMessage="1" showErrorMessage="1" sqref="I106:I122 I95:I104">
      <formula1>MAO_Compliance_Submission</formula1>
    </dataValidation>
    <dataValidation type="list" allowBlank="1" showInputMessage="1" showErrorMessage="1" sqref="K106:K122 K95:K104">
      <formula1>Final_Compliance</formula1>
    </dataValidation>
    <dataValidation type="list" allowBlank="1" showInputMessage="1" showErrorMessage="1" sqref="E96:E104 E106 E108:E122">
      <formula1>MAO_Compliance_Initial</formula1>
    </dataValidation>
    <dataValidation type="list" allowBlank="1" showInputMessage="1" showErrorMessage="1" sqref="N75 N68 N85 N12 N80:N81 N71 N31 N33">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68" id="{4CEB5382-626A-4ECC-B520-5536E334304B}">
            <xm:f>ISNUMBER(SEARCH($D16,Dropdowns!$D$18))</xm:f>
            <x14:dxf>
              <fill>
                <patternFill>
                  <bgColor rgb="FFFFFF00"/>
                </patternFill>
              </fill>
            </x14:dxf>
          </x14:cfRule>
          <x14:cfRule type="expression" priority="669" id="{94CE4267-226B-42E5-B5D5-64523AE1AA2B}">
            <xm:f>ISNUMBER(SEARCH($D16,Dropdowns!$D$19))</xm:f>
            <x14:dxf>
              <fill>
                <patternFill>
                  <bgColor theme="6" tint="0.39994506668294322"/>
                </patternFill>
              </fill>
            </x14:dxf>
          </x14:cfRule>
          <x14:cfRule type="expression" priority="670" id="{BC013D3B-A463-4AB1-8EAB-0AF346320BEE}">
            <xm:f>ISNUMBER(SEARCH($D16,Dropdowns!$D$20))</xm:f>
            <x14:dxf>
              <fill>
                <patternFill>
                  <bgColor theme="6" tint="0.39994506668294322"/>
                </patternFill>
              </fill>
            </x14:dxf>
          </x14:cfRule>
          <x14:cfRule type="expression" priority="671" id="{08C0BD5A-A689-404C-B440-19DAB6B5F84D}">
            <xm:f>ISNUMBER(SEARCH($D16,Dropdowns!$D$21))</xm:f>
            <x14:dxf>
              <fill>
                <patternFill>
                  <bgColor rgb="FFFFFF00"/>
                </patternFill>
              </fill>
            </x14:dxf>
          </x14:cfRule>
          <x14:cfRule type="expression" priority="672" id="{E09F4C79-9042-481C-8E09-74A0307D3BD2}">
            <xm:f>ISNUMBER(SEARCH($D16,Dropdowns!$D$23))</xm:f>
            <x14:dxf>
              <fill>
                <patternFill>
                  <bgColor rgb="FFFFFF00"/>
                </patternFill>
              </fill>
            </x14:dxf>
          </x14:cfRule>
          <xm:sqref>D16:D17</xm:sqref>
        </x14:conditionalFormatting>
        <x14:conditionalFormatting xmlns:xm="http://schemas.microsoft.com/office/excel/2006/main">
          <x14:cfRule type="expression" priority="660" id="{8165B0A0-86E9-44F4-B15A-D239D696F1D4}">
            <xm:f>ISNUMBER(SEARCH($D19,Dropdowns!$D$18))</xm:f>
            <x14:dxf>
              <fill>
                <patternFill>
                  <bgColor rgb="FFFFFF00"/>
                </patternFill>
              </fill>
            </x14:dxf>
          </x14:cfRule>
          <x14:cfRule type="expression" priority="661" id="{96F31F8E-46C2-4766-B5BA-3E13E2A0CB66}">
            <xm:f>ISNUMBER(SEARCH($D19,Dropdowns!$D$19))</xm:f>
            <x14:dxf>
              <fill>
                <patternFill>
                  <bgColor theme="6" tint="0.39994506668294322"/>
                </patternFill>
              </fill>
            </x14:dxf>
          </x14:cfRule>
          <x14:cfRule type="expression" priority="662" id="{E1DB490E-44D9-4D19-A9FD-3D4151929C90}">
            <xm:f>ISNUMBER(SEARCH($D19,Dropdowns!$D$20))</xm:f>
            <x14:dxf>
              <fill>
                <patternFill>
                  <bgColor theme="6" tint="0.39994506668294322"/>
                </patternFill>
              </fill>
            </x14:dxf>
          </x14:cfRule>
          <x14:cfRule type="expression" priority="663" id="{C3C058F8-BEA3-4EBD-AEAF-04A8668EAC43}">
            <xm:f>ISNUMBER(SEARCH($D19,Dropdowns!$D$21))</xm:f>
            <x14:dxf>
              <fill>
                <patternFill>
                  <bgColor rgb="FFFFFF00"/>
                </patternFill>
              </fill>
            </x14:dxf>
          </x14:cfRule>
          <x14:cfRule type="expression" priority="664" id="{05F94BA3-E98A-4F8B-9B50-2828B9AC93A4}">
            <xm:f>ISNUMBER(SEARCH($D19,Dropdowns!$D$23))</xm:f>
            <x14:dxf>
              <fill>
                <patternFill>
                  <bgColor rgb="FFFFFF00"/>
                </patternFill>
              </fill>
            </x14:dxf>
          </x14:cfRule>
          <xm:sqref>D19</xm:sqref>
        </x14:conditionalFormatting>
        <x14:conditionalFormatting xmlns:xm="http://schemas.microsoft.com/office/excel/2006/main">
          <x14:cfRule type="expression" priority="652" id="{16CD601B-BC63-451C-ABDB-F2FF1FC9B5A0}">
            <xm:f>ISNUMBER(SEARCH($D21,Dropdowns!$D$18))</xm:f>
            <x14:dxf>
              <fill>
                <patternFill>
                  <bgColor rgb="FFFFFF00"/>
                </patternFill>
              </fill>
            </x14:dxf>
          </x14:cfRule>
          <x14:cfRule type="expression" priority="653" id="{FDC1219F-D88E-476F-88B2-9518BAAEDE0C}">
            <xm:f>ISNUMBER(SEARCH($D21,Dropdowns!$D$19))</xm:f>
            <x14:dxf>
              <fill>
                <patternFill>
                  <bgColor theme="6" tint="0.39994506668294322"/>
                </patternFill>
              </fill>
            </x14:dxf>
          </x14:cfRule>
          <x14:cfRule type="expression" priority="654" id="{42C8A0F7-AE83-409E-86A8-E614D996FC04}">
            <xm:f>ISNUMBER(SEARCH($D21,Dropdowns!$D$20))</xm:f>
            <x14:dxf>
              <fill>
                <patternFill>
                  <bgColor theme="6" tint="0.39994506668294322"/>
                </patternFill>
              </fill>
            </x14:dxf>
          </x14:cfRule>
          <x14:cfRule type="expression" priority="655" id="{6A98DB84-9BB0-4DD6-99EA-1B63AF6A7923}">
            <xm:f>ISNUMBER(SEARCH($D21,Dropdowns!$D$21))</xm:f>
            <x14:dxf>
              <fill>
                <patternFill>
                  <bgColor rgb="FFFFFF00"/>
                </patternFill>
              </fill>
            </x14:dxf>
          </x14:cfRule>
          <x14:cfRule type="expression" priority="656" id="{DDC6C5EC-1310-44C9-BCDC-A4CA34F10508}">
            <xm:f>ISNUMBER(SEARCH($D21,Dropdowns!$D$23))</xm:f>
            <x14:dxf>
              <fill>
                <patternFill>
                  <bgColor rgb="FFFFFF00"/>
                </patternFill>
              </fill>
            </x14:dxf>
          </x14:cfRule>
          <xm:sqref>D21:D27</xm:sqref>
        </x14:conditionalFormatting>
        <x14:conditionalFormatting xmlns:xm="http://schemas.microsoft.com/office/excel/2006/main">
          <x14:cfRule type="expression" priority="644" id="{766953C8-C49C-4B86-B8EE-40D718695C12}">
            <xm:f>ISNUMBER(SEARCH($D29,Dropdowns!$D$18))</xm:f>
            <x14:dxf>
              <fill>
                <patternFill>
                  <bgColor rgb="FFFFFF00"/>
                </patternFill>
              </fill>
            </x14:dxf>
          </x14:cfRule>
          <x14:cfRule type="expression" priority="645" id="{C8C2C576-13CE-40B7-A327-85CC78B5EDC3}">
            <xm:f>ISNUMBER(SEARCH($D29,Dropdowns!$D$19))</xm:f>
            <x14:dxf>
              <fill>
                <patternFill>
                  <bgColor theme="6" tint="0.39994506668294322"/>
                </patternFill>
              </fill>
            </x14:dxf>
          </x14:cfRule>
          <x14:cfRule type="expression" priority="646" id="{98526BB8-4AAB-4732-B6E9-EB8BC7D810D6}">
            <xm:f>ISNUMBER(SEARCH($D29,Dropdowns!$D$20))</xm:f>
            <x14:dxf>
              <fill>
                <patternFill>
                  <bgColor theme="6" tint="0.39994506668294322"/>
                </patternFill>
              </fill>
            </x14:dxf>
          </x14:cfRule>
          <x14:cfRule type="expression" priority="647" id="{B26D6379-4E09-409F-A41A-753DB1D9A694}">
            <xm:f>ISNUMBER(SEARCH($D29,Dropdowns!$D$21))</xm:f>
            <x14:dxf>
              <fill>
                <patternFill>
                  <bgColor rgb="FFFFFF00"/>
                </patternFill>
              </fill>
            </x14:dxf>
          </x14:cfRule>
          <x14:cfRule type="expression" priority="648" id="{6F8C890F-4CCB-476D-9364-E3096887318C}">
            <xm:f>ISNUMBER(SEARCH($D29,Dropdowns!$D$23))</xm:f>
            <x14:dxf>
              <fill>
                <patternFill>
                  <bgColor rgb="FFFFFF00"/>
                </patternFill>
              </fill>
            </x14:dxf>
          </x14:cfRule>
          <xm:sqref>D29:D30</xm:sqref>
        </x14:conditionalFormatting>
        <x14:conditionalFormatting xmlns:xm="http://schemas.microsoft.com/office/excel/2006/main">
          <x14:cfRule type="expression" priority="636" id="{103A4AF1-7A6F-49CB-8CD2-AC3D4C95506D}">
            <xm:f>ISNUMBER(SEARCH($D35,Dropdowns!$D$18))</xm:f>
            <x14:dxf>
              <fill>
                <patternFill>
                  <bgColor rgb="FFFFFF00"/>
                </patternFill>
              </fill>
            </x14:dxf>
          </x14:cfRule>
          <x14:cfRule type="expression" priority="637" id="{FBFF3B0B-907A-4589-8DF7-3C89210FC679}">
            <xm:f>ISNUMBER(SEARCH($D35,Dropdowns!$D$19))</xm:f>
            <x14:dxf>
              <fill>
                <patternFill>
                  <bgColor theme="6" tint="0.39994506668294322"/>
                </patternFill>
              </fill>
            </x14:dxf>
          </x14:cfRule>
          <x14:cfRule type="expression" priority="638" id="{D059F8E3-1ACA-4E98-B729-1937F8AF35E1}">
            <xm:f>ISNUMBER(SEARCH($D35,Dropdowns!$D$20))</xm:f>
            <x14:dxf>
              <fill>
                <patternFill>
                  <bgColor theme="6" tint="0.39994506668294322"/>
                </patternFill>
              </fill>
            </x14:dxf>
          </x14:cfRule>
          <x14:cfRule type="expression" priority="639" id="{CFF88F19-0BF8-4091-A70A-FF314375C481}">
            <xm:f>ISNUMBER(SEARCH($D35,Dropdowns!$D$21))</xm:f>
            <x14:dxf>
              <fill>
                <patternFill>
                  <bgColor rgb="FFFFFF00"/>
                </patternFill>
              </fill>
            </x14:dxf>
          </x14:cfRule>
          <x14:cfRule type="expression" priority="640" id="{E187DC91-0B32-4281-B528-1C46EFEE2BA7}">
            <xm:f>ISNUMBER(SEARCH($D35,Dropdowns!$D$23))</xm:f>
            <x14:dxf>
              <fill>
                <patternFill>
                  <bgColor rgb="FFFFFF00"/>
                </patternFill>
              </fill>
            </x14:dxf>
          </x14:cfRule>
          <xm:sqref>D35</xm:sqref>
        </x14:conditionalFormatting>
        <x14:conditionalFormatting xmlns:xm="http://schemas.microsoft.com/office/excel/2006/main">
          <x14:cfRule type="expression" priority="704" id="{8E9194AB-3042-4517-A271-B203854DE0F9}">
            <xm:f>ISNUMBER(SEARCH($D37,Dropdowns!$D$18))</xm:f>
            <x14:dxf>
              <fill>
                <patternFill>
                  <bgColor rgb="FFFFFF00"/>
                </patternFill>
              </fill>
            </x14:dxf>
          </x14:cfRule>
          <x14:cfRule type="expression" priority="705" id="{0083AF52-3CF7-42B9-A65B-15BC666121C7}">
            <xm:f>ISNUMBER(SEARCH($D37,Dropdowns!$D$19))</xm:f>
            <x14:dxf>
              <fill>
                <patternFill>
                  <bgColor theme="6" tint="0.39994506668294322"/>
                </patternFill>
              </fill>
            </x14:dxf>
          </x14:cfRule>
          <x14:cfRule type="expression" priority="706" id="{4ACA9210-0CAC-4248-88E7-58800CBDE729}">
            <xm:f>ISNUMBER(SEARCH($D37,Dropdowns!$D$20))</xm:f>
            <x14:dxf>
              <fill>
                <patternFill>
                  <bgColor theme="6" tint="0.39994506668294322"/>
                </patternFill>
              </fill>
            </x14:dxf>
          </x14:cfRule>
          <x14:cfRule type="expression" priority="708" id="{D0D54806-189C-4CD6-8472-0CE6D0890DD7}">
            <xm:f>ISNUMBER(SEARCH($D37,Dropdowns!$D$21))</xm:f>
            <x14:dxf>
              <fill>
                <patternFill>
                  <bgColor rgb="FFFFFF00"/>
                </patternFill>
              </fill>
            </x14:dxf>
          </x14:cfRule>
          <x14:cfRule type="expression" priority="709" id="{20E9C6BD-669C-4B69-942F-9E436CC6A6BA}">
            <xm:f>ISNUMBER(SEARCH($D37,Dropdowns!$D$23))</xm:f>
            <x14:dxf>
              <fill>
                <patternFill>
                  <bgColor rgb="FFFFFF00"/>
                </patternFill>
              </fill>
            </x14:dxf>
          </x14:cfRule>
          <xm:sqref>D37:D40 D46:D48</xm:sqref>
        </x14:conditionalFormatting>
        <x14:conditionalFormatting xmlns:xm="http://schemas.microsoft.com/office/excel/2006/main">
          <x14:cfRule type="expression" priority="596" id="{37A02D6C-B9FB-4EEE-BFB1-BFF9E2998E81}">
            <xm:f>ISNUMBER(SEARCH($D50,Dropdowns!$D$18))</xm:f>
            <x14:dxf>
              <fill>
                <patternFill>
                  <bgColor rgb="FFFFFF00"/>
                </patternFill>
              </fill>
            </x14:dxf>
          </x14:cfRule>
          <x14:cfRule type="expression" priority="597" id="{CCCC328D-A94A-42A1-BF63-FA0F14E6CE6A}">
            <xm:f>ISNUMBER(SEARCH($D50,Dropdowns!$D$19))</xm:f>
            <x14:dxf>
              <fill>
                <patternFill>
                  <bgColor theme="6" tint="0.39994506668294322"/>
                </patternFill>
              </fill>
            </x14:dxf>
          </x14:cfRule>
          <x14:cfRule type="expression" priority="598" id="{FC1601E7-7B54-481D-93BB-6F63D68980D9}">
            <xm:f>ISNUMBER(SEARCH($D50,Dropdowns!$D$20))</xm:f>
            <x14:dxf>
              <fill>
                <patternFill>
                  <bgColor theme="6" tint="0.39994506668294322"/>
                </patternFill>
              </fill>
            </x14:dxf>
          </x14:cfRule>
          <x14:cfRule type="expression" priority="599" id="{7C75462B-0129-43AD-8471-C7E3AC68B72D}">
            <xm:f>ISNUMBER(SEARCH($D50,Dropdowns!$D$21))</xm:f>
            <x14:dxf>
              <fill>
                <patternFill>
                  <bgColor rgb="FFFFFF00"/>
                </patternFill>
              </fill>
            </x14:dxf>
          </x14:cfRule>
          <x14:cfRule type="expression" priority="600" id="{A4A65BF6-8B45-48C1-84F2-8308E9E3712E}">
            <xm:f>ISNUMBER(SEARCH($D50,Dropdowns!$D$23))</xm:f>
            <x14:dxf>
              <fill>
                <patternFill>
                  <bgColor rgb="FFFFFF00"/>
                </patternFill>
              </fill>
            </x14:dxf>
          </x14:cfRule>
          <xm:sqref>D50:D53</xm:sqref>
        </x14:conditionalFormatting>
        <x14:conditionalFormatting xmlns:xm="http://schemas.microsoft.com/office/excel/2006/main">
          <x14:cfRule type="expression" priority="449" id="{A0C4208C-FCD2-4992-B6DD-92A7DFA28B0F}">
            <xm:f>ISNUMBER(SEARCH($D58,Dropdowns!$D$18))</xm:f>
            <x14:dxf>
              <fill>
                <patternFill>
                  <bgColor rgb="FFFFFF00"/>
                </patternFill>
              </fill>
            </x14:dxf>
          </x14:cfRule>
          <x14:cfRule type="expression" priority="450" id="{8D03ECD3-A1FC-47AA-A964-957220F7A1CC}">
            <xm:f>ISNUMBER(SEARCH($D58,Dropdowns!$D$19))</xm:f>
            <x14:dxf>
              <fill>
                <patternFill>
                  <bgColor theme="6" tint="0.39994506668294322"/>
                </patternFill>
              </fill>
            </x14:dxf>
          </x14:cfRule>
          <x14:cfRule type="expression" priority="451" id="{3841E1AA-72EA-4A56-9CC5-6252F6904813}">
            <xm:f>ISNUMBER(SEARCH($D58,Dropdowns!$D$20))</xm:f>
            <x14:dxf>
              <fill>
                <patternFill>
                  <bgColor theme="6" tint="0.39994506668294322"/>
                </patternFill>
              </fill>
            </x14:dxf>
          </x14:cfRule>
          <x14:cfRule type="expression" priority="452" id="{0ADEA638-C555-43CB-BDBE-82D82ED2F53A}">
            <xm:f>ISNUMBER(SEARCH($D58,Dropdowns!$D$21))</xm:f>
            <x14:dxf>
              <fill>
                <patternFill>
                  <bgColor rgb="FFFFFF00"/>
                </patternFill>
              </fill>
            </x14:dxf>
          </x14:cfRule>
          <x14:cfRule type="expression" priority="453" id="{EE2D7A47-46B9-4EC4-B5ED-EA15276AED83}">
            <xm:f>ISNUMBER(SEARCH($D58,Dropdowns!$D$23))</xm:f>
            <x14:dxf>
              <fill>
                <patternFill>
                  <bgColor rgb="FFFFFF00"/>
                </patternFill>
              </fill>
            </x14:dxf>
          </x14:cfRule>
          <xm:sqref>D58:D60</xm:sqref>
        </x14:conditionalFormatting>
        <x14:conditionalFormatting xmlns:xm="http://schemas.microsoft.com/office/excel/2006/main">
          <x14:cfRule type="expression" priority="387" id="{551FCCD6-030C-4A31-A6CF-B2ADE351FC15}">
            <xm:f>ISNUMBER(SEARCH($D62,Dropdowns!$D$18))</xm:f>
            <x14:dxf>
              <fill>
                <patternFill>
                  <bgColor rgb="FFFFFF00"/>
                </patternFill>
              </fill>
            </x14:dxf>
          </x14:cfRule>
          <x14:cfRule type="expression" priority="388" id="{3980D156-09E9-42FA-8F0B-B3F92B395457}">
            <xm:f>ISNUMBER(SEARCH($D62,Dropdowns!$D$19))</xm:f>
            <x14:dxf>
              <fill>
                <patternFill>
                  <bgColor theme="6" tint="0.39994506668294322"/>
                </patternFill>
              </fill>
            </x14:dxf>
          </x14:cfRule>
          <x14:cfRule type="expression" priority="389" id="{D674809A-3082-4F2F-924D-F08A60989A54}">
            <xm:f>ISNUMBER(SEARCH($D62,Dropdowns!$D$20))</xm:f>
            <x14:dxf>
              <fill>
                <patternFill>
                  <bgColor theme="6" tint="0.39994506668294322"/>
                </patternFill>
              </fill>
            </x14:dxf>
          </x14:cfRule>
          <x14:cfRule type="expression" priority="390" id="{C272099C-515C-495B-8473-64370204D20C}">
            <xm:f>ISNUMBER(SEARCH($D62,Dropdowns!$D$21))</xm:f>
            <x14:dxf>
              <fill>
                <patternFill>
                  <bgColor rgb="FFFFFF00"/>
                </patternFill>
              </fill>
            </x14:dxf>
          </x14:cfRule>
          <x14:cfRule type="expression" priority="391" id="{5A2006A3-99A9-45A0-8334-69B1C6F66DAB}">
            <xm:f>ISNUMBER(SEARCH($D62,Dropdowns!$D$23))</xm:f>
            <x14:dxf>
              <fill>
                <patternFill>
                  <bgColor rgb="FFFFFF00"/>
                </patternFill>
              </fill>
            </x14:dxf>
          </x14:cfRule>
          <xm:sqref>D62:D63</xm:sqref>
        </x14:conditionalFormatting>
        <x14:conditionalFormatting xmlns:xm="http://schemas.microsoft.com/office/excel/2006/main">
          <x14:cfRule type="expression" priority="580" id="{28273BDA-A395-469F-81AF-1805CE0FC6DC}">
            <xm:f>ISNUMBER(SEARCH($D69,Dropdowns!$D$18))</xm:f>
            <x14:dxf>
              <fill>
                <patternFill>
                  <bgColor rgb="FFFFFF00"/>
                </patternFill>
              </fill>
            </x14:dxf>
          </x14:cfRule>
          <x14:cfRule type="expression" priority="581" id="{9690E2CA-D531-4B36-8AC5-6E9A10443933}">
            <xm:f>ISNUMBER(SEARCH($D69,Dropdowns!$D$19))</xm:f>
            <x14:dxf>
              <fill>
                <patternFill>
                  <bgColor theme="6" tint="0.39994506668294322"/>
                </patternFill>
              </fill>
            </x14:dxf>
          </x14:cfRule>
          <x14:cfRule type="expression" priority="582" id="{E7ADF73C-CEA5-4D8A-B5AF-10DECAECB675}">
            <xm:f>ISNUMBER(SEARCH($D69,Dropdowns!$D$20))</xm:f>
            <x14:dxf>
              <fill>
                <patternFill>
                  <bgColor theme="6" tint="0.39994506668294322"/>
                </patternFill>
              </fill>
            </x14:dxf>
          </x14:cfRule>
          <x14:cfRule type="expression" priority="583" id="{27481DFC-EAFA-4978-92BE-CC1FC5891CEF}">
            <xm:f>ISNUMBER(SEARCH($D69,Dropdowns!$D$21))</xm:f>
            <x14:dxf>
              <fill>
                <patternFill>
                  <bgColor rgb="FFFFFF00"/>
                </patternFill>
              </fill>
            </x14:dxf>
          </x14:cfRule>
          <x14:cfRule type="expression" priority="584" id="{96929624-DC05-4482-97A6-79A14D19A20A}">
            <xm:f>ISNUMBER(SEARCH($D69,Dropdowns!$D$23))</xm:f>
            <x14:dxf>
              <fill>
                <patternFill>
                  <bgColor rgb="FFFFFF00"/>
                </patternFill>
              </fill>
            </x14:dxf>
          </x14:cfRule>
          <xm:sqref>D69:D70</xm:sqref>
        </x14:conditionalFormatting>
        <x14:conditionalFormatting xmlns:xm="http://schemas.microsoft.com/office/excel/2006/main">
          <x14:cfRule type="expression" priority="572" id="{D56197DC-7485-4E40-A053-5570A9FBD863}">
            <xm:f>ISNUMBER(SEARCH($D72,Dropdowns!$D$18))</xm:f>
            <x14:dxf>
              <fill>
                <patternFill>
                  <bgColor rgb="FFFFFF00"/>
                </patternFill>
              </fill>
            </x14:dxf>
          </x14:cfRule>
          <x14:cfRule type="expression" priority="573" id="{A5A0E2B7-B424-47F7-85F3-484B45DB4C36}">
            <xm:f>ISNUMBER(SEARCH($D72,Dropdowns!$D$19))</xm:f>
            <x14:dxf>
              <fill>
                <patternFill>
                  <bgColor theme="6" tint="0.39994506668294322"/>
                </patternFill>
              </fill>
            </x14:dxf>
          </x14:cfRule>
          <x14:cfRule type="expression" priority="574" id="{81DECACE-5DD8-404B-8E3C-BAF54972EABB}">
            <xm:f>ISNUMBER(SEARCH($D72,Dropdowns!$D$20))</xm:f>
            <x14:dxf>
              <fill>
                <patternFill>
                  <bgColor theme="6" tint="0.39994506668294322"/>
                </patternFill>
              </fill>
            </x14:dxf>
          </x14:cfRule>
          <x14:cfRule type="expression" priority="575" id="{0DD962DC-3F2F-4E35-93B3-2D0511D1A0A4}">
            <xm:f>ISNUMBER(SEARCH($D72,Dropdowns!$D$21))</xm:f>
            <x14:dxf>
              <fill>
                <patternFill>
                  <bgColor rgb="FFFFFF00"/>
                </patternFill>
              </fill>
            </x14:dxf>
          </x14:cfRule>
          <x14:cfRule type="expression" priority="576" id="{5D32DF7F-29D7-4529-B6A5-04546CBD0A9D}">
            <xm:f>ISNUMBER(SEARCH($D72,Dropdowns!$D$23))</xm:f>
            <x14:dxf>
              <fill>
                <patternFill>
                  <bgColor rgb="FFFFFF00"/>
                </patternFill>
              </fill>
            </x14:dxf>
          </x14:cfRule>
          <xm:sqref>D72:D74</xm:sqref>
        </x14:conditionalFormatting>
        <x14:conditionalFormatting xmlns:xm="http://schemas.microsoft.com/office/excel/2006/main">
          <x14:cfRule type="expression" priority="564" id="{3B847FD3-B917-4D6D-9B12-3C06C8930324}">
            <xm:f>ISNUMBER(SEARCH($D76,Dropdowns!$D$18))</xm:f>
            <x14:dxf>
              <fill>
                <patternFill>
                  <bgColor rgb="FFFFFF00"/>
                </patternFill>
              </fill>
            </x14:dxf>
          </x14:cfRule>
          <x14:cfRule type="expression" priority="565" id="{BAEA24FA-F686-4AC5-AD70-68CDF0C9DE03}">
            <xm:f>ISNUMBER(SEARCH($D76,Dropdowns!$D$19))</xm:f>
            <x14:dxf>
              <fill>
                <patternFill>
                  <bgColor theme="6" tint="0.39994506668294322"/>
                </patternFill>
              </fill>
            </x14:dxf>
          </x14:cfRule>
          <x14:cfRule type="expression" priority="566" id="{99568CEC-B4AA-4084-A444-D3B0AFAA66EB}">
            <xm:f>ISNUMBER(SEARCH($D76,Dropdowns!$D$20))</xm:f>
            <x14:dxf>
              <fill>
                <patternFill>
                  <bgColor theme="6" tint="0.39994506668294322"/>
                </patternFill>
              </fill>
            </x14:dxf>
          </x14:cfRule>
          <x14:cfRule type="expression" priority="567" id="{DAE7E16D-B568-4F25-A644-2E0A229259AA}">
            <xm:f>ISNUMBER(SEARCH($D76,Dropdowns!$D$21))</xm:f>
            <x14:dxf>
              <fill>
                <patternFill>
                  <bgColor rgb="FFFFFF00"/>
                </patternFill>
              </fill>
            </x14:dxf>
          </x14:cfRule>
          <x14:cfRule type="expression" priority="568" id="{0D857741-165F-4378-B8F9-D2E5E5BD5106}">
            <xm:f>ISNUMBER(SEARCH($D76,Dropdowns!$D$23))</xm:f>
            <x14:dxf>
              <fill>
                <patternFill>
                  <bgColor rgb="FFFFFF00"/>
                </patternFill>
              </fill>
            </x14:dxf>
          </x14:cfRule>
          <xm:sqref>D76:D80</xm:sqref>
        </x14:conditionalFormatting>
        <x14:conditionalFormatting xmlns:xm="http://schemas.microsoft.com/office/excel/2006/main">
          <x14:cfRule type="expression" priority="556" id="{1E9014D1-93BF-48B6-A9CA-80EE46C63F2E}">
            <xm:f>ISNUMBER(SEARCH($D85,Dropdowns!$D$18))</xm:f>
            <x14:dxf>
              <fill>
                <patternFill>
                  <bgColor rgb="FFFFFF00"/>
                </patternFill>
              </fill>
            </x14:dxf>
          </x14:cfRule>
          <x14:cfRule type="expression" priority="557" id="{4B1F01AC-D432-45BB-992B-0DFC275C96C4}">
            <xm:f>ISNUMBER(SEARCH($D85,Dropdowns!$D$19))</xm:f>
            <x14:dxf>
              <fill>
                <patternFill>
                  <bgColor theme="6" tint="0.39994506668294322"/>
                </patternFill>
              </fill>
            </x14:dxf>
          </x14:cfRule>
          <x14:cfRule type="expression" priority="558" id="{FBFBF4E9-DBC6-42E8-A80E-96CDCCBA5209}">
            <xm:f>ISNUMBER(SEARCH($D85,Dropdowns!$D$20))</xm:f>
            <x14:dxf>
              <fill>
                <patternFill>
                  <bgColor theme="6" tint="0.39994506668294322"/>
                </patternFill>
              </fill>
            </x14:dxf>
          </x14:cfRule>
          <x14:cfRule type="expression" priority="559" id="{139EF38C-CB98-4C9B-885C-818EAD42F792}">
            <xm:f>ISNUMBER(SEARCH($D85,Dropdowns!$D$21))</xm:f>
            <x14:dxf>
              <fill>
                <patternFill>
                  <bgColor rgb="FFFFFF00"/>
                </patternFill>
              </fill>
            </x14:dxf>
          </x14:cfRule>
          <x14:cfRule type="expression" priority="560" id="{8DE1BC07-B2FE-4BCB-804F-F4CA35E13657}">
            <xm:f>ISNUMBER(SEARCH($D85,Dropdowns!$D$23))</xm:f>
            <x14:dxf>
              <fill>
                <patternFill>
                  <bgColor rgb="FFFFFF00"/>
                </patternFill>
              </fill>
            </x14:dxf>
          </x14:cfRule>
          <xm:sqref>D85:D87</xm:sqref>
        </x14:conditionalFormatting>
        <x14:conditionalFormatting xmlns:xm="http://schemas.microsoft.com/office/excel/2006/main">
          <x14:cfRule type="expression" priority="337" id="{EC9CEBC8-2209-4FF8-8FFB-64944138840E}">
            <xm:f>ISNUMBER(SEARCH($D89,Dropdowns!$D$18))</xm:f>
            <x14:dxf>
              <fill>
                <patternFill>
                  <bgColor rgb="FFFFFF00"/>
                </patternFill>
              </fill>
            </x14:dxf>
          </x14:cfRule>
          <x14:cfRule type="expression" priority="338" id="{29DA7198-B179-447B-A9C9-1D2ADA53BA86}">
            <xm:f>ISNUMBER(SEARCH($D89,Dropdowns!$D$19))</xm:f>
            <x14:dxf>
              <fill>
                <patternFill>
                  <bgColor theme="6" tint="0.39994506668294322"/>
                </patternFill>
              </fill>
            </x14:dxf>
          </x14:cfRule>
          <x14:cfRule type="expression" priority="339" id="{4E6D0D68-B411-4110-BC8D-8C8608740C7E}">
            <xm:f>ISNUMBER(SEARCH($D89,Dropdowns!$D$20))</xm:f>
            <x14:dxf>
              <fill>
                <patternFill>
                  <bgColor theme="6" tint="0.39994506668294322"/>
                </patternFill>
              </fill>
            </x14:dxf>
          </x14:cfRule>
          <x14:cfRule type="expression" priority="340" id="{02528689-8106-4FDB-B66A-EFAA237F0B69}">
            <xm:f>ISNUMBER(SEARCH($D89,Dropdowns!$D$21))</xm:f>
            <x14:dxf>
              <fill>
                <patternFill>
                  <bgColor rgb="FFFFFF00"/>
                </patternFill>
              </fill>
            </x14:dxf>
          </x14:cfRule>
          <x14:cfRule type="expression" priority="341" id="{13B164D8-54EF-4E24-8EAA-6FD66B7F44AD}">
            <xm:f>ISNUMBER(SEARCH($D89,Dropdowns!$D$23))</xm:f>
            <x14:dxf>
              <fill>
                <patternFill>
                  <bgColor rgb="FFFFFF00"/>
                </patternFill>
              </fill>
            </x14:dxf>
          </x14:cfRule>
          <xm:sqref>D89:D95</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Dropdowns!$C$3:$C$5</xm:f>
          </x14:formula1>
          <xm:sqref>E95</xm:sqref>
        </x14:dataValidation>
        <x14:dataValidation type="list" allowBlank="1" showInputMessage="1" showErrorMessage="1">
          <x14:formula1>
            <xm:f>Dropdowns!$C$16:$C$19</xm:f>
          </x14:formula1>
          <xm:sqref>E105 E107 V56:W56</xm:sqref>
        </x14:dataValidation>
        <x14:dataValidation type="list" allowBlank="1" showInputMessage="1" showErrorMessage="1">
          <x14:formula1>
            <xm:f>Dropdowns!$D$11:$D$13</xm:f>
          </x14:formula1>
          <xm:sqref>I105</xm:sqref>
        </x14:dataValidation>
        <x14:dataValidation type="list" allowBlank="1" showInputMessage="1" showErrorMessage="1">
          <x14:formula1>
            <xm:f>Dropdowns!$G$7:$G$9</xm:f>
          </x14:formula1>
          <xm:sqref>K105</xm:sqref>
        </x14:dataValidation>
        <x14:dataValidation type="list" allowBlank="1" showInputMessage="1" showErrorMessage="1">
          <x14:formula1>
            <xm:f>Dropdowns!$D$16:$D$23</xm:f>
          </x14:formula1>
          <xm:sqref>D21:D27 D19 D62:D63 D16:D17 D35 D29:D31 D37:D40 D46:D48 D50:D53 D85:D87 D69:D70 D72:D74 D76:D80 D58:D60 D89:D95 Q35</xm:sqref>
        </x14:dataValidation>
        <x14:dataValidation type="list" allowBlank="1" showInputMessage="1" showErrorMessage="1">
          <x14:formula1>
            <xm:f>Dropdowns!$F$9:$F$12</xm:f>
          </x14:formula1>
          <xm:sqref>N83 N66</xm:sqref>
        </x14:dataValidation>
        <x14:dataValidation type="list" allowBlank="1" showInputMessage="1" showErrorMessage="1">
          <x14:formula1>
            <xm:f>Dropdowns!$C$11:$C$13</xm:f>
          </x14:formula1>
          <xm:sqref>X10:X12 P12</xm:sqref>
        </x14:dataValidation>
        <x14:dataValidation type="list" allowBlank="1" showInputMessage="1" showErrorMessage="1">
          <x14:formula1>
            <xm:f>Dropdowns!$G$11:$G$16</xm:f>
          </x14:formula1>
          <xm:sqref>X8:X9 V83:W83 V57 V41:W41 V88 V68 V35:V36 V49:W49 V45:W45 V12:W12 V75 V71 V66:W66 V16 V18 V81:W81 V85 V80 W31:W33 V31 V33</xm:sqref>
        </x14:dataValidation>
        <x14:dataValidation type="list" allowBlank="1" showInputMessage="1" showErrorMessage="1">
          <x14:formula1>
            <xm:f>Dropdowns!$B$6:$B$8</xm:f>
          </x14:formula1>
          <xm:sqref>D32 D42:D44 N32 Q32 V32</xm:sqref>
        </x14:dataValidation>
        <x14:dataValidation type="list" allowBlank="1" showInputMessage="1" showErrorMessage="1">
          <x14:formula1>
            <xm:f>Dropdowns!$F$2:$F$7</xm:f>
          </x14:formula1>
          <xm:sqref>N88</xm:sqref>
        </x14:dataValidation>
        <x14:dataValidation type="list" allowBlank="1" showInputMessage="1" showErrorMessage="1">
          <x14:formula1>
            <xm:f>Dropdowns!$F$2:$F$8</xm:f>
          </x14:formula1>
          <xm:sqref>N16 N57 N49 N18 N35:N36 N41 N45</xm:sqref>
        </x14:dataValidation>
        <x14:dataValidation type="list" allowBlank="1" showInputMessage="1" showErrorMessage="1">
          <x14:formula1>
            <xm:f>Dropdowns!$E$11:$E$15</xm:f>
          </x14:formula1>
          <xm:sqref>Q58:Q60 Q29:Q30 Q19 Q16:Q17 Q21:Q27 Q37:Q40 Q42:Q44 Q46:Q48 Q50:Q53 Q62:Q63 Q89:Q95 Q72:Q74 Q76:Q80 Q85:Q87 Q69:Q70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F113"/>
  <sheetViews>
    <sheetView zoomScale="75" zoomScaleNormal="75" workbookViewId="0">
      <pane xSplit="4" ySplit="5" topLeftCell="S6" activePane="bottomRight" state="frozen"/>
      <selection activeCell="T10" sqref="T10"/>
      <selection pane="topRight" activeCell="T10" sqref="T10"/>
      <selection pane="bottomLeft" activeCell="T10" sqref="T10"/>
      <selection pane="bottomRight" activeCell="S8" sqref="S8"/>
    </sheetView>
  </sheetViews>
  <sheetFormatPr defaultColWidth="9.296875" defaultRowHeight="13" x14ac:dyDescent="0.3"/>
  <cols>
    <col min="1" max="1" width="10.69921875" style="1384" hidden="1" customWidth="1"/>
    <col min="2" max="2" width="41.796875" style="1384" customWidth="1"/>
    <col min="3" max="3" width="68.3984375" style="1384" customWidth="1"/>
    <col min="4" max="4" width="38.296875" style="1384" customWidth="1"/>
    <col min="5" max="5" width="18.19921875" style="1384" hidden="1" customWidth="1"/>
    <col min="6" max="6" width="15.69921875" style="1384" hidden="1" customWidth="1"/>
    <col min="7" max="7" width="12.69921875" style="1385" hidden="1" customWidth="1"/>
    <col min="8" max="8" width="12.796875" style="1384" hidden="1" customWidth="1"/>
    <col min="9" max="9" width="65.296875" style="1387" customWidth="1"/>
    <col min="10" max="10" width="11.296875" style="1384" hidden="1" customWidth="1"/>
    <col min="11" max="11" width="10.19921875" style="1384" hidden="1" customWidth="1"/>
    <col min="12" max="13" width="31.19921875" style="1384" customWidth="1"/>
    <col min="14" max="14" width="36.796875" style="1385" customWidth="1"/>
    <col min="15" max="15" width="10.69921875" style="1385" hidden="1" customWidth="1"/>
    <col min="16" max="16" width="50.3984375" style="1384" customWidth="1"/>
    <col min="17" max="17" width="34.796875" style="1384" customWidth="1"/>
    <col min="18" max="18" width="8.69921875" style="1384" hidden="1" customWidth="1"/>
    <col min="19" max="19" width="59.296875" style="1384" customWidth="1"/>
    <col min="20" max="20" width="31.69921875" style="1384" customWidth="1"/>
    <col min="21" max="21" width="42.69921875" style="1384" customWidth="1"/>
    <col min="22" max="22" width="32.19921875" style="1384" customWidth="1"/>
    <col min="23" max="23" width="10.69921875" style="1384" hidden="1" customWidth="1"/>
    <col min="24" max="24" width="52.69921875" style="1384" customWidth="1"/>
    <col min="25" max="25" width="30.796875" style="1384" customWidth="1"/>
    <col min="26" max="26" width="34.796875" style="1384" customWidth="1"/>
    <col min="27" max="16384" width="9.296875" style="1384"/>
  </cols>
  <sheetData>
    <row r="1" spans="1:28" ht="72" customHeight="1" x14ac:dyDescent="0.3">
      <c r="A1"/>
      <c r="B1" s="4521"/>
      <c r="C1" s="4521"/>
      <c r="D1" s="4521"/>
    </row>
    <row r="2" spans="1:28" ht="75" customHeight="1" x14ac:dyDescent="0.3">
      <c r="A2"/>
      <c r="B2" s="4398" t="s">
        <v>2280</v>
      </c>
      <c r="C2" s="4494"/>
      <c r="D2" s="4494"/>
    </row>
    <row r="3" spans="1:28" x14ac:dyDescent="0.3">
      <c r="A3"/>
      <c r="B3" s="4521"/>
      <c r="C3" s="4521"/>
      <c r="D3" s="4521"/>
    </row>
    <row r="4" spans="1:28" s="1526" customFormat="1" ht="45" customHeight="1" thickBot="1" x14ac:dyDescent="0.35">
      <c r="A4" s="4502" t="s">
        <v>1858</v>
      </c>
      <c r="B4" s="4502"/>
      <c r="C4" s="4502"/>
      <c r="D4" s="1106"/>
      <c r="E4" s="1521"/>
      <c r="F4" s="1522"/>
      <c r="G4" s="1523"/>
      <c r="H4" s="1522"/>
      <c r="I4" s="1524"/>
      <c r="J4" s="1523"/>
      <c r="K4" s="1525"/>
      <c r="N4" s="1525"/>
      <c r="O4" s="1525"/>
    </row>
    <row r="5" spans="1:28" s="1391" customFormat="1" ht="54.65" customHeight="1" thickTop="1" thickBot="1" x14ac:dyDescent="0.35">
      <c r="A5" s="484" t="s">
        <v>1159</v>
      </c>
      <c r="B5" s="1622" t="s">
        <v>1872</v>
      </c>
      <c r="C5" s="1622" t="s">
        <v>1873</v>
      </c>
      <c r="D5" s="1622" t="s">
        <v>1236</v>
      </c>
      <c r="E5" s="1528"/>
      <c r="F5" s="1528"/>
      <c r="G5" s="1529"/>
      <c r="H5" s="1528"/>
      <c r="I5" s="1622" t="s">
        <v>458</v>
      </c>
      <c r="J5" s="1623"/>
      <c r="K5" s="1623"/>
      <c r="L5" s="1622" t="s">
        <v>408</v>
      </c>
      <c r="M5" s="1622" t="s">
        <v>466</v>
      </c>
      <c r="N5" s="1623" t="s">
        <v>465</v>
      </c>
      <c r="O5" s="1623"/>
      <c r="P5" s="1622" t="s">
        <v>1221</v>
      </c>
      <c r="Q5" s="1622" t="s">
        <v>1212</v>
      </c>
      <c r="R5" s="1622"/>
      <c r="S5" s="1622" t="s">
        <v>396</v>
      </c>
      <c r="T5" s="1622" t="s">
        <v>409</v>
      </c>
      <c r="U5" s="1622" t="s">
        <v>1211</v>
      </c>
      <c r="V5" s="1622" t="s">
        <v>1824</v>
      </c>
      <c r="W5" s="1622"/>
      <c r="X5" s="1622" t="s">
        <v>10</v>
      </c>
      <c r="Y5" s="1622" t="s">
        <v>11</v>
      </c>
      <c r="Z5" s="1622" t="s">
        <v>12</v>
      </c>
      <c r="AA5" s="1530"/>
    </row>
    <row r="6" spans="1:28" s="3694" customFormat="1" ht="19" thickTop="1" x14ac:dyDescent="0.3">
      <c r="A6" s="4515" t="s">
        <v>1112</v>
      </c>
      <c r="B6" s="4516"/>
      <c r="C6" s="4516"/>
      <c r="D6" s="3997"/>
      <c r="E6" s="3998"/>
      <c r="F6" s="3998"/>
      <c r="G6" s="3999"/>
      <c r="H6" s="3998"/>
      <c r="I6" s="4000"/>
      <c r="J6" s="4001"/>
      <c r="K6" s="4001"/>
      <c r="L6" s="4002"/>
      <c r="M6" s="3782"/>
      <c r="N6" s="3813"/>
      <c r="O6" s="3813"/>
      <c r="P6" s="4003"/>
      <c r="Q6" s="4004"/>
      <c r="R6" s="4002"/>
      <c r="S6" s="4005"/>
      <c r="T6" s="4005"/>
      <c r="U6" s="4005"/>
      <c r="V6" s="4004"/>
      <c r="W6" s="4002"/>
      <c r="X6" s="4002"/>
      <c r="Y6" s="4006"/>
      <c r="Z6" s="4006"/>
    </row>
    <row r="7" spans="1:28" s="3640" customFormat="1" ht="21" customHeight="1" thickBot="1" x14ac:dyDescent="0.35">
      <c r="B7" s="3752"/>
      <c r="C7" s="3763"/>
      <c r="D7" s="3753"/>
      <c r="E7" s="3753"/>
      <c r="F7" s="3753"/>
      <c r="G7" s="4007"/>
      <c r="H7" s="3753"/>
      <c r="I7" s="3753"/>
      <c r="J7" s="4007"/>
      <c r="K7" s="4007"/>
      <c r="L7" s="3753"/>
      <c r="M7" s="3639"/>
      <c r="N7" s="4008"/>
      <c r="O7" s="4008"/>
      <c r="P7" s="3753"/>
      <c r="Q7" s="3770"/>
      <c r="R7" s="3770"/>
      <c r="S7" s="3770"/>
      <c r="T7" s="3769"/>
      <c r="U7" s="4009"/>
      <c r="V7" s="3753"/>
      <c r="W7" s="3753"/>
      <c r="X7" s="3987"/>
      <c r="Y7" s="3988"/>
      <c r="Z7" s="3989"/>
      <c r="AA7" s="3990"/>
    </row>
    <row r="8" spans="1:28" s="1394" customFormat="1" ht="44.5" thickTop="1" thickBot="1" x14ac:dyDescent="0.35">
      <c r="A8" s="57"/>
      <c r="B8" s="2409" t="s">
        <v>824</v>
      </c>
      <c r="C8" s="2185" t="s">
        <v>475</v>
      </c>
      <c r="D8" s="2414" t="s">
        <v>1233</v>
      </c>
      <c r="E8" s="911" t="b">
        <f>E16</f>
        <v>0</v>
      </c>
      <c r="F8" s="616"/>
      <c r="G8" s="426"/>
      <c r="H8" s="2418"/>
      <c r="I8" s="2420"/>
      <c r="J8" s="2421"/>
      <c r="K8" s="2422"/>
      <c r="L8" s="2423"/>
      <c r="M8" s="2424"/>
      <c r="N8" s="1916" t="s">
        <v>1233</v>
      </c>
      <c r="O8" s="582" t="b">
        <f>O16</f>
        <v>0</v>
      </c>
      <c r="P8" s="2434"/>
      <c r="Q8" s="797" t="s">
        <v>1233</v>
      </c>
      <c r="R8" s="729" t="b">
        <f>R16</f>
        <v>0</v>
      </c>
      <c r="S8" s="406"/>
      <c r="T8" s="406"/>
      <c r="U8" s="1211"/>
      <c r="V8" s="797" t="s">
        <v>1233</v>
      </c>
      <c r="W8" s="808" t="b">
        <f>W16</f>
        <v>0</v>
      </c>
      <c r="X8" s="405"/>
      <c r="Y8" s="1433"/>
      <c r="Z8" s="1434"/>
      <c r="AA8" s="1402"/>
    </row>
    <row r="9" spans="1:28" s="1394" customFormat="1" ht="30" thickTop="1" thickBot="1" x14ac:dyDescent="0.35">
      <c r="A9" s="57"/>
      <c r="B9" s="2410" t="s">
        <v>825</v>
      </c>
      <c r="C9" s="2026" t="s">
        <v>474</v>
      </c>
      <c r="D9" s="2087" t="s">
        <v>1233</v>
      </c>
      <c r="E9" s="2416" t="b">
        <f>E32</f>
        <v>0</v>
      </c>
      <c r="F9" s="361"/>
      <c r="G9" s="382"/>
      <c r="H9" s="2419"/>
      <c r="I9" s="2425"/>
      <c r="J9" s="2426"/>
      <c r="K9" s="1573"/>
      <c r="L9" s="2427"/>
      <c r="M9" s="2428"/>
      <c r="N9" s="1499" t="s">
        <v>1233</v>
      </c>
      <c r="O9" s="339" t="b">
        <f>O32</f>
        <v>0</v>
      </c>
      <c r="P9" s="2436"/>
      <c r="Q9" s="798" t="s">
        <v>1233</v>
      </c>
      <c r="R9" s="730" t="b">
        <f>R32</f>
        <v>0</v>
      </c>
      <c r="S9" s="471"/>
      <c r="T9" s="471"/>
      <c r="U9" s="1218"/>
      <c r="V9" s="798" t="s">
        <v>1233</v>
      </c>
      <c r="W9" s="162" t="b">
        <f>W32</f>
        <v>0</v>
      </c>
      <c r="X9" s="1232"/>
      <c r="Y9" s="1431"/>
      <c r="Z9" s="1432"/>
      <c r="AA9" s="1402"/>
    </row>
    <row r="10" spans="1:28" s="1394" customFormat="1" ht="44.5" thickTop="1" thickBot="1" x14ac:dyDescent="0.35">
      <c r="A10" s="57"/>
      <c r="B10" s="2413" t="s">
        <v>826</v>
      </c>
      <c r="C10" s="2026" t="s">
        <v>822</v>
      </c>
      <c r="D10" s="2087" t="s">
        <v>1233</v>
      </c>
      <c r="E10" s="2416" t="b">
        <f>E40</f>
        <v>0</v>
      </c>
      <c r="F10" s="361"/>
      <c r="G10" s="382"/>
      <c r="H10" s="419"/>
      <c r="I10" s="2431"/>
      <c r="J10" s="2432"/>
      <c r="K10" s="2433"/>
      <c r="L10" s="1051"/>
      <c r="M10" s="1002"/>
      <c r="N10" s="1499" t="s">
        <v>1233</v>
      </c>
      <c r="O10" s="339" t="b">
        <f>O40</f>
        <v>0</v>
      </c>
      <c r="P10" s="2437"/>
      <c r="Q10" s="798" t="s">
        <v>1233</v>
      </c>
      <c r="R10" s="730" t="b">
        <f>R40</f>
        <v>0</v>
      </c>
      <c r="S10" s="471"/>
      <c r="T10" s="471"/>
      <c r="U10" s="1218"/>
      <c r="V10" s="798" t="s">
        <v>1233</v>
      </c>
      <c r="W10" s="162" t="b">
        <f>W40</f>
        <v>0</v>
      </c>
      <c r="X10" s="1232"/>
      <c r="Y10" s="471"/>
      <c r="Z10" s="1406"/>
      <c r="AA10" s="1267"/>
    </row>
    <row r="11" spans="1:28" s="1394" customFormat="1" ht="30" thickTop="1" thickBot="1" x14ac:dyDescent="0.35">
      <c r="A11" s="57"/>
      <c r="B11" s="2411" t="s">
        <v>827</v>
      </c>
      <c r="C11" s="2412" t="s">
        <v>823</v>
      </c>
      <c r="D11" s="1868" t="s">
        <v>1233</v>
      </c>
      <c r="E11" s="2417" t="b">
        <f>E56</f>
        <v>0</v>
      </c>
      <c r="F11" s="258"/>
      <c r="G11" s="383"/>
      <c r="H11" s="421"/>
      <c r="I11" s="2138"/>
      <c r="J11" s="2429"/>
      <c r="K11" s="2430"/>
      <c r="L11" s="2221"/>
      <c r="M11" s="2330"/>
      <c r="N11" s="2322" t="s">
        <v>1233</v>
      </c>
      <c r="O11" s="583" t="b">
        <f>O56</f>
        <v>0</v>
      </c>
      <c r="P11" s="2435"/>
      <c r="Q11" s="799" t="s">
        <v>1233</v>
      </c>
      <c r="R11" s="731" t="b">
        <f>R56</f>
        <v>0</v>
      </c>
      <c r="S11" s="1224"/>
      <c r="T11" s="1224"/>
      <c r="U11" s="1225"/>
      <c r="V11" s="799" t="s">
        <v>1233</v>
      </c>
      <c r="W11" s="518" t="b">
        <f>W56</f>
        <v>0</v>
      </c>
      <c r="X11" s="1536"/>
      <c r="Y11" s="1537"/>
      <c r="Z11" s="1538"/>
      <c r="AA11" s="1267"/>
    </row>
    <row r="12" spans="1:28" s="1394" customFormat="1" ht="34.25" customHeight="1" thickTop="1" thickBot="1" x14ac:dyDescent="0.35">
      <c r="A12" s="57"/>
      <c r="B12" s="2119" t="s">
        <v>2043</v>
      </c>
      <c r="C12" s="2123" t="s">
        <v>2044</v>
      </c>
      <c r="D12" s="2415" t="s">
        <v>1233</v>
      </c>
      <c r="E12" s="2140" t="b">
        <f>E72</f>
        <v>0</v>
      </c>
      <c r="F12" s="245"/>
      <c r="G12" s="440"/>
      <c r="H12" s="245"/>
      <c r="I12" s="2138"/>
      <c r="J12" s="440"/>
      <c r="K12" s="440"/>
      <c r="L12" s="245"/>
      <c r="M12" s="2121"/>
      <c r="N12" s="1499" t="s">
        <v>1233</v>
      </c>
      <c r="O12" s="36" t="b">
        <f>O72</f>
        <v>0</v>
      </c>
      <c r="P12" s="2120"/>
      <c r="Q12" s="1499" t="s">
        <v>1233</v>
      </c>
      <c r="R12" s="219" t="b">
        <f>R72</f>
        <v>0</v>
      </c>
      <c r="S12" s="1033"/>
      <c r="T12" s="1437"/>
      <c r="U12" s="1437"/>
      <c r="V12" s="1820" t="s">
        <v>1233</v>
      </c>
      <c r="W12" s="36" t="b">
        <f>W72</f>
        <v>0</v>
      </c>
      <c r="X12" s="2122"/>
      <c r="Y12" s="1437"/>
      <c r="Z12" s="2120"/>
      <c r="AA12" s="1267"/>
    </row>
    <row r="13" spans="1:28" s="3640" customFormat="1" ht="21.65" customHeight="1" thickTop="1" x14ac:dyDescent="0.3">
      <c r="A13" s="3636"/>
      <c r="B13" s="3634"/>
      <c r="C13" s="3634"/>
      <c r="D13" s="3639"/>
      <c r="E13" s="3636"/>
      <c r="F13" s="3636"/>
      <c r="G13" s="3641"/>
      <c r="H13" s="3636"/>
      <c r="I13" s="3636"/>
      <c r="J13" s="3641"/>
      <c r="K13" s="3641"/>
      <c r="L13" s="3636"/>
      <c r="M13" s="3636"/>
      <c r="N13" s="3641"/>
      <c r="O13" s="3641"/>
      <c r="P13" s="3636"/>
      <c r="Q13" s="3639"/>
      <c r="R13" s="3639"/>
      <c r="S13" s="3639"/>
      <c r="T13" s="3639"/>
      <c r="U13" s="3639"/>
      <c r="V13" s="3639"/>
      <c r="W13" s="3639"/>
      <c r="X13" s="3639"/>
      <c r="Y13" s="3639"/>
      <c r="Z13" s="3639"/>
      <c r="AA13" s="3639"/>
    </row>
    <row r="14" spans="1:28" s="3640" customFormat="1" ht="18.649999999999999" customHeight="1" x14ac:dyDescent="0.3">
      <c r="A14" s="4482" t="s">
        <v>1135</v>
      </c>
      <c r="B14" s="4483"/>
      <c r="C14" s="4483"/>
      <c r="D14" s="4483"/>
      <c r="E14" s="4483"/>
      <c r="F14" s="4483"/>
      <c r="G14" s="4483"/>
      <c r="H14" s="4483"/>
      <c r="I14" s="4483"/>
      <c r="J14" s="4483"/>
      <c r="K14" s="4483"/>
      <c r="L14" s="4483"/>
      <c r="M14" s="4483"/>
      <c r="N14" s="4483"/>
      <c r="O14" s="3669"/>
      <c r="P14" s="3670"/>
      <c r="Q14" s="3670"/>
      <c r="R14" s="3670"/>
      <c r="S14" s="3671"/>
      <c r="T14" s="3672"/>
      <c r="U14" s="3672"/>
      <c r="V14" s="3673"/>
      <c r="W14" s="3673"/>
      <c r="X14" s="3674"/>
      <c r="Y14" s="3675"/>
      <c r="Z14" s="3676"/>
    </row>
    <row r="15" spans="1:28" s="3694" customFormat="1" ht="16" customHeight="1" thickBot="1" x14ac:dyDescent="0.35">
      <c r="C15" s="3768"/>
      <c r="D15" s="3734"/>
      <c r="E15" s="3737"/>
      <c r="F15" s="3737"/>
      <c r="G15" s="3736"/>
      <c r="H15" s="3737"/>
      <c r="I15" s="3731"/>
      <c r="J15" s="3736"/>
      <c r="K15" s="3736"/>
      <c r="L15" s="3734"/>
      <c r="M15" s="3734"/>
      <c r="N15" s="3736"/>
      <c r="O15" s="3736"/>
      <c r="P15" s="3734"/>
      <c r="Q15" s="3734"/>
      <c r="R15" s="3734"/>
      <c r="S15" s="3734"/>
      <c r="T15" s="3734"/>
      <c r="U15" s="3734"/>
    </row>
    <row r="16" spans="1:28" s="1430" customFormat="1" ht="35.5" customHeight="1" thickTop="1" thickBot="1" x14ac:dyDescent="0.35">
      <c r="A16" s="204">
        <v>6.1</v>
      </c>
      <c r="B16" s="1658" t="s">
        <v>1059</v>
      </c>
      <c r="C16" s="1659" t="s">
        <v>1222</v>
      </c>
      <c r="D16" s="1640" t="s">
        <v>565</v>
      </c>
      <c r="E16" s="573" t="b">
        <f>IF(AND(E17=TRUE,E19=TRUE,E20=TRUE),TRUE,FALSE)</f>
        <v>0</v>
      </c>
      <c r="F16" s="388">
        <f>SUM(F17,F21)</f>
        <v>0</v>
      </c>
      <c r="G16" s="1641">
        <f>SUM(G17,G21)</f>
        <v>0</v>
      </c>
      <c r="H16" s="388">
        <f>SUM(H17,H21)</f>
        <v>0</v>
      </c>
      <c r="I16" s="1642" t="str">
        <f xml:space="preserve">
IF(F16&gt;4,"Too Many Entries - Check Red Lines",
IF(G16&lt;F16,"Valid Entry required below - Check Amber Line/s",
IF(AND(E16=FALSE,G16=0,H16=0),"Nothing Entered below Yet",
IF(G16&lt;F16,"Valid Entry required below - Check Amber Line/s",
IF(AND(G16=0,H16&gt;0),"**Non-Valid Entry/ies below - Check Yellow Line/s",
IF(AND(G16&gt;0,H16&gt;0),"**Valid and Non-Valid Entries made below - Check Yellow Line/s",
IF(AND(E16=FALSE,F16&lt;4),"Not all requirements addressed below - Check Pink Line/s",
IF(AND(E16=FALSE,G16&lt;4,G16&gt;0,H16=0),"More entries to come",
IF(AND(E16,TRUE,G16=4,H16=0),"Valid Entries made below"
)))))))))</f>
        <v>Nothing Entered below Yet</v>
      </c>
      <c r="J16" s="1643">
        <f>SUM(J17,J21)</f>
        <v>0</v>
      </c>
      <c r="K16" s="1644">
        <f>SUM(K17,K21)</f>
        <v>0</v>
      </c>
      <c r="L16" s="1642" t="str">
        <f xml:space="preserve">
IF(J16&gt;4,"Too Many Entries - Check Red Lines",
IF(J16&lt;F16,"Valid Entry required below - Check Amber Line/s",
IF(AND(E16=FALSE,J16=0,K16=0),"Nothing Entered below Yet",
IF(AND(J16=0,K16&gt;0),"**Non-Valid Entry/ies below - Check Yellow Line/s",
IF(AND(J16&gt;0,K16&gt;0),"**Valid and Non-Valid Entries made below - Check Yellow Line/s",
IF(AND(E16=FALSE,J16&lt;4),"Not all requirements addressed below - Check Pink Line/s",
IF(AND(E16=FALSE,J16&lt;4,J16&gt;0,K16=0),"More entries to come",
IF(AND(E16,TRUE,J16=4,K16=0),"Valid Entries made below"
))))))))</f>
        <v>Nothing Entered below Yet</v>
      </c>
      <c r="M16" s="337"/>
      <c r="N16" s="4414" t="s">
        <v>3</v>
      </c>
      <c r="O16" s="4517" t="b">
        <f>IF(OR(N16="Compliant",N16="FE with work-a-round",N16="Functionally Equivalent"),TRUE,FALSE)</f>
        <v>0</v>
      </c>
      <c r="P16" s="337"/>
      <c r="Q16" s="1496" t="s">
        <v>565</v>
      </c>
      <c r="R16" s="397" t="b">
        <f>IF(AND(R17=TRUE,R18=TRUE,R20=TRUE),TRUE,FALSE)</f>
        <v>0</v>
      </c>
      <c r="S16" s="336"/>
      <c r="T16" s="336"/>
      <c r="U16" s="337"/>
      <c r="V16" s="4414" t="s">
        <v>3</v>
      </c>
      <c r="W16" s="4512" t="b">
        <f>IF(OR(V16="Compliant",V16="FE with work-a-round",V16="Functionally Equivalent",V16="Not Required/Applicable"),TRUE,FALSE)</f>
        <v>0</v>
      </c>
      <c r="X16" s="336"/>
      <c r="Y16" s="336"/>
      <c r="Z16" s="337"/>
      <c r="AA16" s="1429"/>
      <c r="AB16" s="1429"/>
    </row>
    <row r="17" spans="1:84" s="1539" customFormat="1" ht="29.5" thickTop="1" x14ac:dyDescent="0.3">
      <c r="A17" s="28">
        <v>6.2</v>
      </c>
      <c r="B17" s="1516" t="s">
        <v>1788</v>
      </c>
      <c r="C17" s="1660" t="s">
        <v>1224</v>
      </c>
      <c r="D17" s="1645" t="s">
        <v>565</v>
      </c>
      <c r="E17" s="1646" t="b">
        <f>IF(AND(E18=TRUE,E19=TRUE,E20=TRUE),TRUE,FALSE)</f>
        <v>0</v>
      </c>
      <c r="F17" s="429">
        <f>COUNTIF(E18:E20,TRUE)</f>
        <v>0</v>
      </c>
      <c r="G17" s="214">
        <f>COUNTIFS(E18:E20,TRUE,G18:G20,"Not Blank")</f>
        <v>0</v>
      </c>
      <c r="H17" s="15">
        <f>COUNTIFS(E18:E20,FALSE,G18:G20,"Not Blank")</f>
        <v>0</v>
      </c>
      <c r="I17" s="2155" t="str">
        <f xml:space="preserve">
IF(F17&gt;3,"Too Many Entries - Check Red Lines",
IF(G17&lt;F17,"Valid Entry required below - Check Amber Line/s",
IF(AND(E17=FALSE,G17=0,H17=0),"Nothing Entered below Yet",
IF(G17&lt;F17,"Valid Entry required below - Check Amber Line/s",
IF(AND(G17=0,H17&gt;0),"**Non-Valid Entry/ies below - Check Yellow Line/s",
IF(AND(G17&gt;0,H17&gt;0),"**Valid and Non-Valid Entries made below - Check Yellow Line/s",
IF(AND(E17=FALSE,F17&lt;3),"Not all requirements addressed below - Check Pink Line/s",
IF(AND(E17=FALSE,G17&lt;3,G17&gt;0,H17=0),"More entries to come",
IF(AND(E17,TRUE,G17=3,H17=0),"Valid Entries made below"
)))))))))</f>
        <v>Nothing Entered below Yet</v>
      </c>
      <c r="J17" s="2388">
        <f>COUNTIFS(E18:E20,TRUE,J18:J20,"Not Blank")</f>
        <v>0</v>
      </c>
      <c r="K17" s="2388">
        <f>COUNTIFS(E18:E20,FALSE,J18:J20,"Not Blank")</f>
        <v>0</v>
      </c>
      <c r="L17" s="2155" t="str">
        <f xml:space="preserve">
IF(J17&gt;3,"Too Many Entries - Check Red Lines",
IF(J17&lt;F17,"Valid Entry required below - Check Amber Line/s",
IF(AND(E17=FALSE,J17=0,K17=0),"Nothing Entered below Yet",
IF(AND(J17=0,K17&gt;0),"**Non-Valid Entry/ies below - Check Yellow Line/s",
IF(AND(J17&gt;0,K17&gt;0),"**Valid and Non-Valid Entries made below - Check Yellow Line/s",
IF(AND(E17=FALSE,J17&lt;3),"Not all requirements addressed below - Check Pink Line/s",
IF(AND(E17=FALSE,J17&lt;3,J17&gt;0,K17=0),"More entries to come",
IF(AND(E17,TRUE,J17=3,K17=0),"Valid Entries made below"
))))))))</f>
        <v>Nothing Entered below Yet</v>
      </c>
      <c r="M17" s="136"/>
      <c r="N17" s="4415"/>
      <c r="O17" s="4441"/>
      <c r="P17" s="823"/>
      <c r="Q17" s="2343" t="s">
        <v>565</v>
      </c>
      <c r="R17" s="814" t="b">
        <f>IF(AND(R18=TRUE,R19=TRUE,R21=TRUE),TRUE,FALSE)</f>
        <v>0</v>
      </c>
      <c r="S17" s="1540"/>
      <c r="T17" s="1540"/>
      <c r="U17" s="1081"/>
      <c r="V17" s="4415"/>
      <c r="W17" s="4513"/>
      <c r="X17" s="1540"/>
      <c r="Y17" s="1540"/>
      <c r="Z17" s="1081"/>
      <c r="AA17" s="1414"/>
      <c r="AB17" s="1414"/>
    </row>
    <row r="18" spans="1:84" s="1418" customFormat="1" ht="85.5" customHeight="1" x14ac:dyDescent="0.3">
      <c r="A18" s="57" t="s">
        <v>354</v>
      </c>
      <c r="B18" s="1661"/>
      <c r="C18" s="2386" t="s">
        <v>1116</v>
      </c>
      <c r="D18" s="445" t="s">
        <v>3</v>
      </c>
      <c r="E18" s="208" t="b">
        <f>IF(D18="Compliant",TRUE,FALSE)</f>
        <v>0</v>
      </c>
      <c r="F18" s="387"/>
      <c r="G18" s="1541" t="str">
        <f>IF(I18&lt;&gt;"", "Not Blank", "")</f>
        <v/>
      </c>
      <c r="H18" s="1542"/>
      <c r="I18" s="3431"/>
      <c r="J18" s="3429"/>
      <c r="K18" s="3429"/>
      <c r="L18" s="3429"/>
      <c r="M18" s="2177"/>
      <c r="N18" s="4415"/>
      <c r="O18" s="4441"/>
      <c r="P18" s="2389"/>
      <c r="Q18" s="1142" t="s">
        <v>3</v>
      </c>
      <c r="R18" s="1444" t="b">
        <f>IF(OR(Q18="Compliant",Q18="FE with work-a-round",Q18="Functionally Equivalent"),TRUE,FALSE)</f>
        <v>0</v>
      </c>
      <c r="S18" s="471"/>
      <c r="T18" s="471"/>
      <c r="U18" s="1406"/>
      <c r="V18" s="4415"/>
      <c r="W18" s="4513"/>
      <c r="X18" s="1421"/>
      <c r="Y18" s="1421"/>
      <c r="Z18" s="1422"/>
      <c r="AA18" s="1394"/>
      <c r="AB18" s="1394"/>
    </row>
    <row r="19" spans="1:84" s="1418" customFormat="1" ht="129" customHeight="1" x14ac:dyDescent="0.3">
      <c r="A19" s="57" t="s">
        <v>355</v>
      </c>
      <c r="B19" s="1661"/>
      <c r="C19" s="1662" t="s">
        <v>1127</v>
      </c>
      <c r="D19" s="445" t="s">
        <v>3</v>
      </c>
      <c r="E19" s="208" t="b">
        <f>IF(D19="Compliant",TRUE,FALSE)</f>
        <v>0</v>
      </c>
      <c r="F19" s="387"/>
      <c r="G19" s="1541" t="str">
        <f>IF(I19&lt;&gt;"", "Not Blank", "")</f>
        <v/>
      </c>
      <c r="H19" s="1542"/>
      <c r="I19" s="3431"/>
      <c r="J19" s="3429"/>
      <c r="K19" s="3429"/>
      <c r="L19" s="3429"/>
      <c r="M19" s="122"/>
      <c r="N19" s="4415"/>
      <c r="O19" s="4441"/>
      <c r="P19" s="1406"/>
      <c r="Q19" s="847" t="s">
        <v>3</v>
      </c>
      <c r="R19" s="737" t="b">
        <f>IF(OR(Q19="Compliant",Q19="FE with work-a-round",Q19="Functionally Equivalent"),TRUE,FALSE)</f>
        <v>0</v>
      </c>
      <c r="S19" s="471"/>
      <c r="T19" s="471"/>
      <c r="U19" s="1406"/>
      <c r="V19" s="4415"/>
      <c r="W19" s="4513"/>
      <c r="X19" s="1421"/>
      <c r="Y19" s="1421"/>
      <c r="Z19" s="1422"/>
      <c r="AA19" s="1394"/>
      <c r="AB19" s="1394"/>
    </row>
    <row r="20" spans="1:84" s="1418" customFormat="1" ht="67" customHeight="1" thickBot="1" x14ac:dyDescent="0.35">
      <c r="A20" s="57" t="s">
        <v>353</v>
      </c>
      <c r="B20" s="1663"/>
      <c r="C20" s="1662" t="s">
        <v>1129</v>
      </c>
      <c r="D20" s="886" t="s">
        <v>3</v>
      </c>
      <c r="E20" s="208" t="b">
        <f>IF(D20="Compliant",TRUE,FALSE)</f>
        <v>0</v>
      </c>
      <c r="F20" s="387"/>
      <c r="G20" s="1594" t="str">
        <f>IF(I20&lt;&gt;"", "Not Blank", "")</f>
        <v/>
      </c>
      <c r="H20" s="1595"/>
      <c r="I20" s="3431"/>
      <c r="J20" s="3429"/>
      <c r="K20" s="3429"/>
      <c r="L20" s="3429"/>
      <c r="M20" s="127"/>
      <c r="N20" s="4415"/>
      <c r="O20" s="4441"/>
      <c r="P20" s="1424"/>
      <c r="Q20" s="1380" t="s">
        <v>3</v>
      </c>
      <c r="R20" s="1543" t="b">
        <f>IF(OR(Q20="Compliant",Q20="FE with work-a-round",Q20="Functionally Equivalent"),TRUE,FALSE)</f>
        <v>0</v>
      </c>
      <c r="S20" s="1425"/>
      <c r="T20" s="1425"/>
      <c r="U20" s="1424"/>
      <c r="V20" s="4415"/>
      <c r="W20" s="4513"/>
      <c r="X20" s="1544"/>
      <c r="Y20" s="1544"/>
      <c r="Z20" s="1545"/>
      <c r="AA20" s="1394"/>
      <c r="AB20" s="1394"/>
    </row>
    <row r="21" spans="1:84" s="1546" customFormat="1" ht="59" thickTop="1" thickBot="1" x14ac:dyDescent="0.35">
      <c r="A21" s="1546">
        <v>6.1</v>
      </c>
      <c r="B21" s="1664" t="s">
        <v>1206</v>
      </c>
      <c r="C21" s="1665" t="s">
        <v>1225</v>
      </c>
      <c r="D21" s="1649" t="s">
        <v>565</v>
      </c>
      <c r="E21" s="1650" t="b">
        <f>IF(OR(E22=TRUE,E23=TRUE,E27=TRUE,E28=TRUE),TRUE,FALSE)</f>
        <v>0</v>
      </c>
      <c r="F21" s="1641">
        <f>COUNTIFS(E22:E23,"TRUE")+COUNTIFS(E27:E28,"TRUE")</f>
        <v>0</v>
      </c>
      <c r="G21" s="1641">
        <f>COUNTIFS(E22:E23,TRUE,G22:G23,"Not Blank")+COUNTIFS(E27,TRUE,G27,"Not Blank")</f>
        <v>0</v>
      </c>
      <c r="H21" s="1641">
        <f>COUNTIFS(E22,FALSE,G22,"Not Blank")+COUNTIFS(E24:E27,FALSE,G24:G27,"Not Blank")</f>
        <v>0</v>
      </c>
      <c r="I21" s="1651" t="str">
        <f xml:space="preserve">
IF(F21&gt;1,"Too Many Entries - Check Red Lines",
IF(G21&lt;F21,"Valid Entry required below - Check Amber Line/s",
IF(AND(E21=FALSE,G21=0,H21=0),"Nothing Entered below Yet",
IF(G21&lt;F21,"Valid Entry required below - Check Amber Line/s",
IF(AND(G21=0,H21&gt;0),"**Non-Valid Entry/ies below - Check Yellow Line/s",
IF(AND(G21&gt;0,H21&gt;0),"**Valid and Non-Valid Entries made below - Check Yellow Line/s",
IF(AND(E21=FALSE,F21&lt;1),"Not all requirements addressed below - Check Pink Line/s",
IF(AND(E21=FALSE,G21&lt;1,G21&gt;0,H21=0),"More entries to come",
IF(AND(E21,TRUE,G21=1,H21=0),"Valid Entries made below"
)))))))))</f>
        <v>Nothing Entered below Yet</v>
      </c>
      <c r="J21" s="1651">
        <f>COUNTIFS(E22,TRUE,J22,"Not Blank")+COUNTIFS(E24:E27,TRUE,J24:J27,"Not Blank")</f>
        <v>0</v>
      </c>
      <c r="K21" s="1652">
        <f>COUNTIFS(E22,FALSE,J22,"Not Blank")+COUNTIFS(E24:E27,FALSE,J24:J27,"Not Blank")</f>
        <v>0</v>
      </c>
      <c r="L21" s="1643" t="str">
        <f xml:space="preserve">
IF(J21&gt;1,"Too Many Entries - Check Red Lines",
IF(J21&lt;F21,"Valid Entry required below - Check Amber Line/s",
IF(AND(E21=FALSE,J21=0,K21=0),"Nothing Entered below Yet",
IF(AND(J21=0,K21&gt;0),"**Non-Valid Entry/ies below - Check Yellow Line/s",
IF(AND(J21&gt;0,K21&gt;0),"**Valid and Non-Valid Entries made below - Check Yellow Line/s",
IF(AND(E21=FALSE,J21&lt;1),"Not all requirements addressed below - Check Pink Line/s",
IF(AND(E21=FALSE,J21&lt;1,J21&gt;0,K21=0),"More entries to come",
IF(AND(E21,TRUE,J21=1,K21=0),"Valid Entries made below"
))))))))</f>
        <v>Nothing Entered below Yet</v>
      </c>
      <c r="M21" s="341"/>
      <c r="N21" s="4415"/>
      <c r="O21" s="4441"/>
      <c r="P21" s="341"/>
      <c r="Q21" s="1499" t="s">
        <v>565</v>
      </c>
      <c r="R21" s="892" t="b">
        <f>IF(AND(R22=TRUE,R23=TRUE,R25=TRUE),TRUE,FALSE)</f>
        <v>0</v>
      </c>
      <c r="S21" s="389"/>
      <c r="T21" s="389"/>
      <c r="U21" s="341"/>
      <c r="V21" s="4415"/>
      <c r="W21" s="4513"/>
      <c r="X21" s="389"/>
      <c r="Y21" s="389"/>
      <c r="Z21" s="341"/>
      <c r="AA21" s="1547"/>
      <c r="AB21" s="1547"/>
    </row>
    <row r="22" spans="1:84" s="1394" customFormat="1" ht="106.5" customHeight="1" thickTop="1" thickBot="1" x14ac:dyDescent="0.35">
      <c r="A22" s="1386" t="s">
        <v>1102</v>
      </c>
      <c r="B22" s="1666" t="s">
        <v>1190</v>
      </c>
      <c r="C22" s="1667" t="s">
        <v>1060</v>
      </c>
      <c r="D22" s="875" t="s">
        <v>3</v>
      </c>
      <c r="E22" s="1625" t="b">
        <f>IF(D22="Compliant",TRUE,FALSE)</f>
        <v>0</v>
      </c>
      <c r="F22" s="1626"/>
      <c r="G22" s="1630" t="str">
        <f>IF(I22&lt;&gt;"", "Not Blank", "")</f>
        <v/>
      </c>
      <c r="H22" s="57"/>
      <c r="I22" s="3431"/>
      <c r="J22" s="3429"/>
      <c r="K22" s="3429"/>
      <c r="L22" s="3429"/>
      <c r="M22" s="136"/>
      <c r="N22" s="4415"/>
      <c r="O22" s="4441"/>
      <c r="P22" s="1628"/>
      <c r="Q22" s="1139" t="s">
        <v>3</v>
      </c>
      <c r="R22" s="1265" t="b">
        <f>IF(OR(Q22="Compliant",Q22="FE with work-a-round",Q22="Functionally Equivalent"),TRUE,FALSE)</f>
        <v>0</v>
      </c>
      <c r="S22" s="1629"/>
      <c r="T22" s="1629"/>
      <c r="U22" s="1628"/>
      <c r="V22" s="4415"/>
      <c r="W22" s="4513"/>
      <c r="X22" s="1544"/>
      <c r="Y22" s="1544"/>
      <c r="Z22" s="1545"/>
    </row>
    <row r="23" spans="1:84" s="1549" customFormat="1" ht="78" customHeight="1" thickTop="1" x14ac:dyDescent="0.3">
      <c r="A23" s="1548" t="s">
        <v>1101</v>
      </c>
      <c r="B23" s="1668" t="s">
        <v>1191</v>
      </c>
      <c r="C23" s="2220" t="s">
        <v>1541</v>
      </c>
      <c r="D23" s="2376" t="s">
        <v>565</v>
      </c>
      <c r="E23" s="1377" t="b">
        <f>IF(OR(E24=TRUE,E25=TRUE,E26=TRUE),TRUE,FALSE)</f>
        <v>0</v>
      </c>
      <c r="F23" s="568">
        <f>COUNTIFS(E24:E26,"TRUE")</f>
        <v>0</v>
      </c>
      <c r="G23" s="1653">
        <f>COUNTIFS(E24:E26,TRUE,G24:G26,"Not Blank")</f>
        <v>0</v>
      </c>
      <c r="H23" s="568">
        <f>COUNTIFS(E24:E26,FALSE,G24:G26,"Not Blank")</f>
        <v>0</v>
      </c>
      <c r="I23" s="1654" t="str">
        <f xml:space="preserve">
IF(F23&gt;1,"Too Many Entries - Check Red Lines",
IF(AND(E23=FALSE,G23=0,H23=0,E21=TRUE),"Nothing Required Below",
IF(G23&lt;F23,"Valid Entry required below - Check Amber Line/s",
IF(AND(E23=FALSE,G23=0,H23=0),"Nothing Entered below Yet",
IF(G23&lt;F23,"Valid Entry required below - Check Amber Line/s",
IF(AND(G23=0,H23&gt;0),"**Non-Valid Entry/ies below - Check Yellow Line/s",
IF(AND(G23&gt;0,H23&gt;0),"**Valid and Non-Valid Entries made below - Check Yellow Line/s",
IF(AND(E23=FALSE,F23&lt;1),"Not all requirements addressed below - Check Pink Line/s",
IF(AND(E23=FALSE,G23&lt;1,G23&gt;0,H23=0),"More entries to come",
IF(AND(E23,TRUE,G23=1,H23=0),"Valid Entries made below"
))))))))))</f>
        <v>Nothing Entered below Yet</v>
      </c>
      <c r="J23" s="1655">
        <f>COUNTIFS(E24:E26,TRUE,J24:J26,"Not Blank")</f>
        <v>0</v>
      </c>
      <c r="K23" s="1656">
        <f>COUNTIFS(E24:E26,FALSE,J24:J26,"Not Blank")</f>
        <v>0</v>
      </c>
      <c r="L23" s="1657" t="str">
        <f xml:space="preserve">
IF(J23&gt;1,"Too Many Entries - Check Red Lines",
IF(AND(E23=FALSE,J23=0,K23=0,E21=TRUE),"Nothing Required Below",
IF(J23&lt;F23,"Valid Entry required below - Check Amber Line/s",
IF(AND(E23=FALSE,J23=0,K23=0),"Nothing Entered below Yet",
IF(AND(J23=0,K23&gt;0),"**Non-Valid Entry/ies below - Check Yellow Line/s",
IF(AND(J23&gt;0,K23&gt;0),"**Valid and Non-Valid Entries made below - Check Yellow Line/s",
IF(AND(E23=FALSE,J23&lt;1),"Not all requirements addressed below - Check Pink Line/s",
IF(AND(E23=FALSE,J23&lt;1,J23&gt;0,K23=0),"More entries to come",
IF(AND(E23,TRUE,J23=1,K23=0),"Valid Entries made below"
)))))))))</f>
        <v>Nothing Entered below Yet</v>
      </c>
      <c r="M23" s="809"/>
      <c r="N23" s="4415"/>
      <c r="O23" s="4441"/>
      <c r="P23" s="2390"/>
      <c r="Q23" s="1192" t="s">
        <v>565</v>
      </c>
      <c r="R23" s="814" t="b">
        <f>IF(AND(R24=TRUE,R25=TRUE,R27=TRUE),TRUE,FALSE)</f>
        <v>0</v>
      </c>
      <c r="S23" s="406"/>
      <c r="T23" s="406"/>
      <c r="U23" s="1398"/>
      <c r="V23" s="4415"/>
      <c r="W23" s="4513"/>
      <c r="X23" s="1433"/>
      <c r="Y23" s="1433"/>
      <c r="Z23" s="1434"/>
    </row>
    <row r="24" spans="1:84" s="1394" customFormat="1" ht="243" customHeight="1" x14ac:dyDescent="0.3">
      <c r="A24" s="1386"/>
      <c r="B24" s="1670"/>
      <c r="C24" s="1867" t="s">
        <v>1061</v>
      </c>
      <c r="D24" s="2096" t="s">
        <v>3</v>
      </c>
      <c r="E24" s="208" t="b">
        <f>IF(D24="Compliant",TRUE,FALSE)</f>
        <v>0</v>
      </c>
      <c r="F24" s="387"/>
      <c r="G24" s="432" t="str">
        <f>IF(I24&lt;&gt;"", "Not Blank", "")</f>
        <v/>
      </c>
      <c r="H24" s="433"/>
      <c r="I24" s="182"/>
      <c r="J24" s="434" t="str">
        <f>IF(L24&lt;&gt;"", "Not Blank", "")</f>
        <v/>
      </c>
      <c r="K24" s="1632"/>
      <c r="L24" s="183"/>
      <c r="M24" s="2177"/>
      <c r="N24" s="4415"/>
      <c r="O24" s="4441"/>
      <c r="P24" s="1550"/>
      <c r="Q24" s="2391" t="s">
        <v>3</v>
      </c>
      <c r="R24" s="1444" t="b">
        <f>IF(OR(Q24="Compliant",Q24="FE with work-a-round",Q24="Functionally Equivalent"),TRUE,FALSE)</f>
        <v>0</v>
      </c>
      <c r="S24" s="1551"/>
      <c r="T24" s="1551"/>
      <c r="U24" s="1550"/>
      <c r="V24" s="4415"/>
      <c r="W24" s="4513"/>
      <c r="X24" s="1421"/>
      <c r="Y24" s="1421"/>
      <c r="Z24" s="1422"/>
    </row>
    <row r="25" spans="1:84" s="1394" customFormat="1" ht="121.5" customHeight="1" x14ac:dyDescent="0.3">
      <c r="A25" s="1419"/>
      <c r="B25" s="1670"/>
      <c r="C25" s="1672" t="s">
        <v>1062</v>
      </c>
      <c r="D25" s="699" t="s">
        <v>3</v>
      </c>
      <c r="E25" s="208" t="b">
        <f>IF(D25="Compliant",TRUE,FALSE)</f>
        <v>0</v>
      </c>
      <c r="F25" s="387"/>
      <c r="G25" s="435" t="str">
        <f>IF(I25&lt;&gt;"", "Not Blank", "")</f>
        <v/>
      </c>
      <c r="H25" s="436"/>
      <c r="I25" s="183"/>
      <c r="J25" s="434" t="str">
        <f>IF(L25&lt;&gt;"", "Not Blank", "")</f>
        <v/>
      </c>
      <c r="K25" s="1633"/>
      <c r="L25" s="183"/>
      <c r="M25" s="122"/>
      <c r="N25" s="4415"/>
      <c r="O25" s="4441"/>
      <c r="P25" s="1406"/>
      <c r="Q25" s="847" t="s">
        <v>3</v>
      </c>
      <c r="R25" s="737" t="b">
        <f>IF(OR(Q25="Compliant",Q25="FE with work-a-round",Q25="Functionally Equivalent"),TRUE,FALSE)</f>
        <v>0</v>
      </c>
      <c r="S25" s="471"/>
      <c r="T25" s="471"/>
      <c r="U25" s="1406"/>
      <c r="V25" s="4415"/>
      <c r="W25" s="4513"/>
      <c r="X25" s="1431"/>
      <c r="Y25" s="1431"/>
      <c r="Z25" s="1432"/>
    </row>
    <row r="26" spans="1:84" s="1394" customFormat="1" ht="229.5" customHeight="1" thickBot="1" x14ac:dyDescent="0.35">
      <c r="A26" s="1419"/>
      <c r="B26" s="1673"/>
      <c r="C26" s="1674" t="s">
        <v>1117</v>
      </c>
      <c r="D26" s="700" t="s">
        <v>3</v>
      </c>
      <c r="E26" s="595" t="b">
        <f>IF(D26="Compliant",TRUE,FALSE)</f>
        <v>0</v>
      </c>
      <c r="F26" s="258"/>
      <c r="G26" s="437"/>
      <c r="H26" s="438"/>
      <c r="I26" s="195"/>
      <c r="J26" s="439"/>
      <c r="K26" s="1634"/>
      <c r="L26" s="195"/>
      <c r="M26" s="125"/>
      <c r="N26" s="4415"/>
      <c r="O26" s="4441"/>
      <c r="P26" s="1424"/>
      <c r="Q26" s="848" t="s">
        <v>3</v>
      </c>
      <c r="R26" s="1543" t="b">
        <f>IF(OR(Q26="Compliant",Q26="FE with work-a-round",Q26="Functionally Equivalent"),TRUE,FALSE)</f>
        <v>0</v>
      </c>
      <c r="S26" s="1425"/>
      <c r="T26" s="1425"/>
      <c r="U26" s="1424"/>
      <c r="V26" s="4415"/>
      <c r="W26" s="4513"/>
      <c r="X26" s="1426"/>
      <c r="Y26" s="1426"/>
      <c r="Z26" s="1427"/>
    </row>
    <row r="27" spans="1:84" s="1549" customFormat="1" ht="61" customHeight="1" thickTop="1" thickBot="1" x14ac:dyDescent="0.35">
      <c r="A27" s="1468" t="s">
        <v>613</v>
      </c>
      <c r="B27" s="2392" t="s">
        <v>1223</v>
      </c>
      <c r="C27" s="2393" t="s">
        <v>1540</v>
      </c>
      <c r="D27" s="832" t="s">
        <v>3</v>
      </c>
      <c r="E27" s="831"/>
      <c r="F27" s="465"/>
      <c r="G27" s="466" t="str">
        <f>IF(I27&lt;&gt;"", "Not Blank", "")</f>
        <v/>
      </c>
      <c r="H27" s="467"/>
      <c r="I27" s="467"/>
      <c r="J27" s="467" t="str">
        <f>IF(L27&lt;&gt;"", "Not Blank", "")</f>
        <v/>
      </c>
      <c r="K27" s="468"/>
      <c r="L27" s="467"/>
      <c r="M27" s="469"/>
      <c r="N27" s="4415"/>
      <c r="O27" s="4441"/>
      <c r="P27" s="1552"/>
      <c r="Q27" s="925" t="s">
        <v>3</v>
      </c>
      <c r="R27" s="892" t="b">
        <f>IF(OR(Q27="Compliant",Q27="FE with work-a-round",Q27="Functionally Equivalent"),TRUE,FALSE)</f>
        <v>0</v>
      </c>
      <c r="S27" s="821"/>
      <c r="T27" s="821"/>
      <c r="U27" s="1553"/>
      <c r="V27" s="4415"/>
      <c r="W27" s="4513"/>
      <c r="X27" s="1416"/>
      <c r="Y27" s="1416"/>
      <c r="Z27" s="1417"/>
    </row>
    <row r="28" spans="1:84" s="310" customFormat="1" ht="44.5" thickTop="1" thickBot="1" x14ac:dyDescent="0.35">
      <c r="A28" s="204" t="s">
        <v>342</v>
      </c>
      <c r="B28" s="1675" t="s">
        <v>1226</v>
      </c>
      <c r="C28" s="1946" t="s">
        <v>1227</v>
      </c>
      <c r="D28" s="1640" t="s">
        <v>1233</v>
      </c>
      <c r="E28" s="945" t="b">
        <f>E84</f>
        <v>0</v>
      </c>
      <c r="F28" s="975">
        <f>F84</f>
        <v>0</v>
      </c>
      <c r="G28" s="1676">
        <f>G84</f>
        <v>0</v>
      </c>
      <c r="H28" s="461">
        <f>H60</f>
        <v>0</v>
      </c>
      <c r="I28" s="1642" t="str">
        <f>I84</f>
        <v>Nothing Entered below Yet</v>
      </c>
      <c r="J28" s="1643">
        <f>J84</f>
        <v>0</v>
      </c>
      <c r="K28" s="1644">
        <f>K84</f>
        <v>0</v>
      </c>
      <c r="L28" s="1642" t="str">
        <f>L84</f>
        <v>Nothing Entered below Yet</v>
      </c>
      <c r="M28" s="1554"/>
      <c r="N28" s="4416"/>
      <c r="O28" s="4442"/>
      <c r="P28" s="337"/>
      <c r="Q28" s="1499" t="s">
        <v>565</v>
      </c>
      <c r="R28" s="1374" t="b">
        <f>R84</f>
        <v>0</v>
      </c>
      <c r="S28" s="1555"/>
      <c r="T28" s="1555"/>
      <c r="U28" s="1556"/>
      <c r="V28" s="4416"/>
      <c r="W28" s="4514"/>
      <c r="X28" s="336"/>
      <c r="Y28" s="336"/>
      <c r="Z28" s="337"/>
      <c r="AA28" s="308"/>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309"/>
    </row>
    <row r="29" spans="1:84" s="3634" customFormat="1" ht="18" customHeight="1" thickTop="1" x14ac:dyDescent="0.3">
      <c r="A29" s="3636"/>
      <c r="B29" s="3651"/>
      <c r="C29" s="4010"/>
      <c r="D29" s="4010"/>
      <c r="E29" s="4010"/>
      <c r="F29" s="3636"/>
      <c r="G29" s="3644"/>
      <c r="H29" s="3633"/>
      <c r="I29" s="3652"/>
      <c r="N29" s="3643"/>
      <c r="O29" s="3643"/>
      <c r="V29" s="3635"/>
      <c r="W29" s="3635"/>
    </row>
    <row r="30" spans="1:84" s="3640" customFormat="1" ht="18.649999999999999" customHeight="1" x14ac:dyDescent="0.3">
      <c r="A30" s="4482" t="s">
        <v>1137</v>
      </c>
      <c r="B30" s="4483"/>
      <c r="C30" s="4483"/>
      <c r="D30" s="4483"/>
      <c r="E30" s="4483"/>
      <c r="F30" s="4483"/>
      <c r="G30" s="4483"/>
      <c r="H30" s="4483"/>
      <c r="I30" s="4483"/>
      <c r="J30" s="4483"/>
      <c r="K30" s="4483"/>
      <c r="L30" s="4483"/>
      <c r="M30" s="4483"/>
      <c r="N30" s="4483"/>
      <c r="O30" s="3669"/>
      <c r="P30" s="3670"/>
      <c r="Q30" s="3670"/>
      <c r="R30" s="3670"/>
      <c r="S30" s="3671"/>
      <c r="T30" s="3672"/>
      <c r="U30" s="3672"/>
      <c r="V30" s="3673"/>
      <c r="W30" s="3673"/>
      <c r="X30" s="3674"/>
      <c r="Y30" s="3675"/>
      <c r="Z30" s="3676"/>
    </row>
    <row r="31" spans="1:84" s="3640" customFormat="1" ht="18" customHeight="1" thickBot="1" x14ac:dyDescent="0.35">
      <c r="A31" s="3636"/>
      <c r="B31" s="3637"/>
      <c r="C31" s="3634"/>
      <c r="D31" s="3634"/>
      <c r="E31" s="3636"/>
      <c r="F31" s="3636"/>
      <c r="G31" s="3641"/>
      <c r="H31" s="3636"/>
      <c r="I31" s="3634"/>
      <c r="J31" s="3643"/>
      <c r="K31" s="3643"/>
      <c r="L31" s="3634"/>
      <c r="M31" s="3634"/>
      <c r="N31" s="3714"/>
      <c r="O31" s="3714"/>
      <c r="P31" s="3642"/>
      <c r="Q31" s="3642"/>
      <c r="R31" s="3642"/>
      <c r="S31" s="3642"/>
      <c r="T31" s="3642"/>
      <c r="U31" s="3642"/>
      <c r="V31" s="3660"/>
      <c r="W31" s="3660"/>
      <c r="X31" s="3660"/>
      <c r="Y31" s="3660"/>
      <c r="Z31" s="3660"/>
    </row>
    <row r="32" spans="1:84" s="310" customFormat="1" ht="32.15" customHeight="1" thickTop="1" thickBot="1" x14ac:dyDescent="0.35">
      <c r="A32" s="204">
        <v>11</v>
      </c>
      <c r="B32" s="1678" t="s">
        <v>474</v>
      </c>
      <c r="C32" s="2394" t="s">
        <v>1539</v>
      </c>
      <c r="D32" s="1846" t="s">
        <v>565</v>
      </c>
      <c r="E32" s="578" t="b">
        <f>IF(AND(E33=TRUE,E34=TRUE,E36=TRUE),TRUE,FALSE)</f>
        <v>0</v>
      </c>
      <c r="F32" s="568">
        <f>COUNTIF(E33:E36,TRUE)</f>
        <v>0</v>
      </c>
      <c r="G32" s="1653">
        <f>COUNTIFS(E33:E36,TRUE,G33:G36,"Not Blank")</f>
        <v>0</v>
      </c>
      <c r="H32" s="568">
        <f>COUNTIFS(E33:E36,FALSE,G33:G36,"Not Blank")</f>
        <v>0</v>
      </c>
      <c r="I32" s="1642" t="str">
        <f xml:space="preserve">
IF(F32&gt;4,"Too Many Entries - Check Red Lines",
IF(AND(E32=FALSE,G32=0,H32=0,E32=TRUE),"Nothing Required Below",
IF(G32&lt;F32,"Valid Entry required below - Check Amber Line/s",
IF(AND(E32=FALSE,G32=0,H32=0),"Nothing Entered below Yet",
IF(G32&lt;F32,"Valid Entry required below - Check Amber Line/s",
IF(AND(G32=0,H32&gt;0),"**Non-Valid Entry/ies below - Check Yellow Line/s",
IF(AND(G32&gt;0,H32&gt;0),"**Valid and Non-Valid Entries made below - Check Yellow Line/s",
IF(AND(E32=FALSE,F32&lt;4),"Not all requirements addressed below - Check Pink Line/s",
IF(AND(E32=FALSE,G32&lt;4,G32&gt;0,H32=0),"More entries to come",
IF(AND(E32,TRUE,G32=4,H32=0),"Valid Entries made below"
))))))))))</f>
        <v>Nothing Entered below Yet</v>
      </c>
      <c r="J32" s="1643">
        <f>COUNTIFS(E33:E36,TRUE,J33:J36,"Not Blank")</f>
        <v>0</v>
      </c>
      <c r="K32" s="1643">
        <f>COUNTIFS(E33:E36,FALSE,J33:J36,"Not Blank")</f>
        <v>0</v>
      </c>
      <c r="L32" s="1709" t="str">
        <f xml:space="preserve">
IF(J32&gt;4,"Too Many Entries - Check Red Lines",
IF(AND(E32=FALSE,J32=0,K32=0,E32=TRUE),"Nothing Required Below",
IF(J32&lt;F32,"Valid Entry required below - Check Amber Line/s",
IF(AND(E32=FALSE,J32=0,K32=0),"Nothing Entered below Yet",
IF(AND(J32=0,K32&gt;0),"**Non-Valid Entry/ies below - Check Yellow Line/s",
IF(AND(J32&gt;0,K32&gt;0),"**Valid and Non-Valid Entries made below - Check Yellow Line/s",
IF(AND(E32=FALSE,J32&lt;4),"Not all requirements addressed below - Check Pink Line/s",
IF(AND(E32=FALSE,J32&lt;4,J32&gt;0,K32=0),"More entries to come",
IF(AND(E32,TRUE,J32=4,K32=0),"Valid Entries made below"
)))))))))</f>
        <v>Nothing Entered below Yet</v>
      </c>
      <c r="M32" s="337"/>
      <c r="N32" s="4506" t="s">
        <v>3</v>
      </c>
      <c r="O32" s="4487" t="b">
        <f>IF(OR(N32="Compliant",N32="FE with work-a-round",N32="Functionally Equivalent"),TRUE,FALSE)</f>
        <v>0</v>
      </c>
      <c r="P32" s="807"/>
      <c r="Q32" s="1192" t="s">
        <v>565</v>
      </c>
      <c r="R32" s="814" t="b">
        <f>IF(AND(R33=TRUE,R34=TRUE,R35=TRUE,R36=TRUE),TRUE,FALSE)</f>
        <v>0</v>
      </c>
      <c r="S32" s="111"/>
      <c r="T32" s="111"/>
      <c r="U32" s="120"/>
      <c r="V32" s="4506" t="s">
        <v>3</v>
      </c>
      <c r="W32" s="4469" t="b">
        <f>IF(OR(V32="Compliant",V32="FE with work-a-round",V32="Functionally Equivalent",V32="Not Required/Applicable"),TRUE,FALSE)</f>
        <v>0</v>
      </c>
      <c r="X32" s="338"/>
      <c r="Y32" s="186"/>
      <c r="Z32" s="306"/>
      <c r="AA32" s="308"/>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309"/>
    </row>
    <row r="33" spans="1:84" s="27" customFormat="1" ht="58.5" thickTop="1" x14ac:dyDescent="0.3">
      <c r="A33" s="28" t="s">
        <v>1106</v>
      </c>
      <c r="B33" s="1679"/>
      <c r="C33" s="1904" t="s">
        <v>1105</v>
      </c>
      <c r="D33" s="1035" t="s">
        <v>3</v>
      </c>
      <c r="E33" s="824" t="b">
        <f>IF(D33="Compliant",TRUE,FALSE)</f>
        <v>0</v>
      </c>
      <c r="F33" s="825"/>
      <c r="G33" s="1560" t="str">
        <f>IF(I33&lt;&gt;"", "Not Blank", "")</f>
        <v/>
      </c>
      <c r="H33" s="1561"/>
      <c r="I33" s="3462"/>
      <c r="J33" s="2395" t="str">
        <f>IF(L33&lt;&gt;"", "Not Blank", "")</f>
        <v/>
      </c>
      <c r="K33" s="529"/>
      <c r="L33" s="144"/>
      <c r="M33" s="128"/>
      <c r="N33" s="4507"/>
      <c r="O33" s="4488"/>
      <c r="P33" s="120"/>
      <c r="Q33" s="1143" t="s">
        <v>3</v>
      </c>
      <c r="R33" s="732" t="b">
        <f>IF(OR(Q33="Compliant",Q33="FE with work-a-round",Q33="Functionally Equivalent"),TRUE,FALSE)</f>
        <v>0</v>
      </c>
      <c r="S33" s="44"/>
      <c r="T33" s="44"/>
      <c r="U33" s="122"/>
      <c r="V33" s="4507"/>
      <c r="W33" s="4435"/>
      <c r="X33" s="67"/>
      <c r="Y33" s="44"/>
      <c r="Z33" s="122"/>
      <c r="AA33" s="65"/>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40"/>
    </row>
    <row r="34" spans="1:84" s="27" customFormat="1" ht="58" x14ac:dyDescent="0.3">
      <c r="A34" s="28" t="s">
        <v>1106</v>
      </c>
      <c r="B34" s="1679"/>
      <c r="C34" s="1680" t="s">
        <v>1950</v>
      </c>
      <c r="D34" s="699" t="s">
        <v>3</v>
      </c>
      <c r="E34" s="824" t="b">
        <f>IF(D34="Compliant",TRUE,FALSE)</f>
        <v>0</v>
      </c>
      <c r="F34" s="825"/>
      <c r="G34" s="1560" t="str">
        <f>IF(I34&lt;&gt;"", "Not Blank", "")</f>
        <v/>
      </c>
      <c r="H34" s="1561"/>
      <c r="I34" s="3462"/>
      <c r="J34" s="826" t="str">
        <f>IF(L34&lt;&gt;"", "Not Blank", "")</f>
        <v/>
      </c>
      <c r="K34" s="456"/>
      <c r="L34" s="68"/>
      <c r="M34" s="122"/>
      <c r="N34" s="4507"/>
      <c r="O34" s="4488"/>
      <c r="P34" s="122"/>
      <c r="Q34" s="847" t="s">
        <v>3</v>
      </c>
      <c r="R34" s="732" t="b">
        <f>IF(OR(Q34="Compliant",Q34="FE with work-a-round",Q34="Functionally Equivalent"),TRUE,FALSE)</f>
        <v>0</v>
      </c>
      <c r="S34" s="44"/>
      <c r="T34" s="44"/>
      <c r="U34" s="122"/>
      <c r="V34" s="4507"/>
      <c r="W34" s="4435"/>
      <c r="X34" s="67"/>
      <c r="Y34" s="44"/>
      <c r="Z34" s="122"/>
      <c r="AA34" s="65"/>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40"/>
    </row>
    <row r="35" spans="1:84" s="27" customFormat="1" ht="312" customHeight="1" x14ac:dyDescent="0.3">
      <c r="A35" s="28">
        <v>7.5</v>
      </c>
      <c r="B35" s="1679"/>
      <c r="C35" s="1680" t="s">
        <v>1114</v>
      </c>
      <c r="D35" s="699" t="s">
        <v>3</v>
      </c>
      <c r="E35" s="824" t="b">
        <f>IF(D35="Compliant",TRUE,FALSE)</f>
        <v>0</v>
      </c>
      <c r="F35" s="825"/>
      <c r="G35" s="1560" t="str">
        <f>IF(I35&lt;&gt;"", "Not Blank", "")</f>
        <v/>
      </c>
      <c r="H35" s="1561"/>
      <c r="I35" s="3462"/>
      <c r="J35" s="826" t="str">
        <f>IF(L35&lt;&gt;"", "Not Blank", "")</f>
        <v/>
      </c>
      <c r="K35" s="456"/>
      <c r="L35" s="68"/>
      <c r="M35" s="122"/>
      <c r="N35" s="4507"/>
      <c r="O35" s="4488"/>
      <c r="P35" s="122"/>
      <c r="Q35" s="847" t="s">
        <v>3</v>
      </c>
      <c r="R35" s="737" t="b">
        <f>IF(OR(Q35="Compliant",Q35="FE with work-a-round",Q35="Functionally Equivalent"),TRUE,FALSE)</f>
        <v>0</v>
      </c>
      <c r="S35" s="44"/>
      <c r="T35" s="44"/>
      <c r="U35" s="122"/>
      <c r="V35" s="4507"/>
      <c r="W35" s="4435"/>
      <c r="X35" s="67"/>
      <c r="Y35" s="44"/>
      <c r="Z35" s="122"/>
      <c r="AA35" s="65"/>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40"/>
    </row>
    <row r="36" spans="1:84" s="27" customFormat="1" ht="55" customHeight="1" thickBot="1" x14ac:dyDescent="0.35">
      <c r="A36" s="1419" t="s">
        <v>1103</v>
      </c>
      <c r="B36" s="1679"/>
      <c r="C36" s="1681" t="s">
        <v>1104</v>
      </c>
      <c r="D36" s="700" t="s">
        <v>3</v>
      </c>
      <c r="E36" s="827" t="b">
        <f>IF(D36="Compliant",TRUE,FALSE)</f>
        <v>0</v>
      </c>
      <c r="F36" s="828"/>
      <c r="G36" s="1562" t="str">
        <f>IF(I36&lt;&gt;"", "Not Blank", "")</f>
        <v/>
      </c>
      <c r="H36" s="1563"/>
      <c r="I36" s="3463"/>
      <c r="J36" s="448" t="str">
        <f>IF(L36&lt;&gt;"", "Not Blank", "")</f>
        <v/>
      </c>
      <c r="K36" s="829"/>
      <c r="L36" s="246"/>
      <c r="M36" s="125"/>
      <c r="N36" s="4508"/>
      <c r="O36" s="4489"/>
      <c r="P36" s="125"/>
      <c r="Q36" s="848" t="s">
        <v>3</v>
      </c>
      <c r="R36" s="738" t="b">
        <f>IF(OR(Q36="Compliant",Q36="FE with work-a-round",Q36="Functionally Equivalent"),TRUE,FALSE)</f>
        <v>0</v>
      </c>
      <c r="S36" s="124"/>
      <c r="T36" s="124"/>
      <c r="U36" s="125"/>
      <c r="V36" s="4508"/>
      <c r="W36" s="4470"/>
      <c r="X36" s="161"/>
      <c r="Y36" s="124"/>
      <c r="Z36" s="125"/>
      <c r="AA36" s="65"/>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40"/>
    </row>
    <row r="37" spans="1:84" s="3716" customFormat="1" ht="19" customHeight="1" thickTop="1" x14ac:dyDescent="0.3">
      <c r="A37" s="3651"/>
      <c r="B37" s="3634"/>
      <c r="C37" s="3661"/>
      <c r="D37" s="3634"/>
      <c r="E37" s="3636"/>
      <c r="F37" s="3636"/>
      <c r="G37" s="3662"/>
      <c r="H37" s="3663"/>
      <c r="I37" s="3664"/>
      <c r="J37" s="3643"/>
      <c r="K37" s="3643"/>
      <c r="L37" s="3634"/>
      <c r="M37" s="3634"/>
      <c r="N37" s="3643"/>
      <c r="O37" s="3643"/>
      <c r="P37" s="3634"/>
      <c r="Q37" s="3634"/>
      <c r="R37" s="3634"/>
      <c r="S37" s="3634"/>
      <c r="T37" s="3634"/>
      <c r="U37" s="3634"/>
      <c r="V37" s="3639"/>
      <c r="W37" s="3639"/>
      <c r="X37" s="3634"/>
      <c r="Y37" s="3634"/>
      <c r="Z37" s="3634"/>
      <c r="AA37" s="3634"/>
      <c r="AB37" s="3634"/>
      <c r="AC37" s="3634"/>
      <c r="AD37" s="3634"/>
      <c r="AE37" s="3634"/>
      <c r="AF37" s="3634"/>
      <c r="AG37" s="3634"/>
      <c r="AH37" s="3634"/>
      <c r="AI37" s="3634"/>
      <c r="AJ37" s="3634"/>
      <c r="AK37" s="3634"/>
      <c r="AL37" s="3634"/>
      <c r="AM37" s="3634"/>
      <c r="AN37" s="3634"/>
      <c r="AO37" s="3634"/>
      <c r="AP37" s="3634"/>
      <c r="AQ37" s="3634"/>
      <c r="AR37" s="3634"/>
      <c r="AS37" s="3634"/>
      <c r="AT37" s="3634"/>
      <c r="AU37" s="3634"/>
      <c r="AV37" s="3634"/>
      <c r="AW37" s="3634"/>
      <c r="AX37" s="3634"/>
      <c r="AY37" s="3634"/>
      <c r="AZ37" s="3634"/>
      <c r="BA37" s="3634"/>
      <c r="BB37" s="3634"/>
      <c r="BC37" s="3634"/>
      <c r="BD37" s="3634"/>
      <c r="BE37" s="3634"/>
      <c r="BF37" s="3634"/>
      <c r="BG37" s="3634"/>
      <c r="BH37" s="3634"/>
      <c r="BI37" s="3634"/>
      <c r="BJ37" s="3634"/>
      <c r="BK37" s="3634"/>
      <c r="BL37" s="3634"/>
      <c r="BM37" s="3634"/>
      <c r="BN37" s="3634"/>
      <c r="BO37" s="3634"/>
      <c r="BP37" s="3634"/>
      <c r="BQ37" s="3634"/>
      <c r="BR37" s="3634"/>
      <c r="BS37" s="3634"/>
      <c r="BT37" s="3634"/>
      <c r="BU37" s="3634"/>
      <c r="BV37" s="3634"/>
      <c r="BW37" s="3634"/>
      <c r="BX37" s="3634"/>
      <c r="BY37" s="3634"/>
      <c r="BZ37" s="3634"/>
      <c r="CA37" s="3634"/>
      <c r="CB37" s="3634"/>
      <c r="CC37" s="3634"/>
      <c r="CD37" s="3634"/>
      <c r="CE37" s="3634"/>
      <c r="CF37" s="3785"/>
    </row>
    <row r="38" spans="1:84" s="3640" customFormat="1" ht="18.649999999999999" customHeight="1" x14ac:dyDescent="0.3">
      <c r="A38" s="4482" t="s">
        <v>1138</v>
      </c>
      <c r="B38" s="4483"/>
      <c r="C38" s="4483"/>
      <c r="D38" s="4483"/>
      <c r="E38" s="4483"/>
      <c r="F38" s="4483"/>
      <c r="G38" s="4483"/>
      <c r="H38" s="4483"/>
      <c r="I38" s="4483"/>
      <c r="J38" s="4483"/>
      <c r="K38" s="4483"/>
      <c r="L38" s="4483"/>
      <c r="M38" s="4483"/>
      <c r="N38" s="4483"/>
      <c r="O38" s="3669"/>
      <c r="P38" s="3670"/>
      <c r="Q38" s="3670"/>
      <c r="R38" s="3670"/>
      <c r="S38" s="3671"/>
      <c r="T38" s="3672"/>
      <c r="U38" s="3672"/>
      <c r="V38" s="3673"/>
      <c r="W38" s="3673"/>
      <c r="X38" s="3674"/>
      <c r="Y38" s="3675"/>
      <c r="Z38" s="3676"/>
    </row>
    <row r="39" spans="1:84" s="3991" customFormat="1" ht="23.15" customHeight="1" thickBot="1" x14ac:dyDescent="0.35">
      <c r="A39" s="3634"/>
      <c r="B39" s="3638"/>
      <c r="C39" s="3980"/>
      <c r="D39" s="3638"/>
      <c r="E39" s="3637"/>
      <c r="F39" s="3637"/>
      <c r="G39" s="3736"/>
      <c r="H39" s="3737"/>
      <c r="I39" s="3638"/>
      <c r="J39" s="3738"/>
      <c r="K39" s="3738"/>
      <c r="L39" s="3638"/>
      <c r="M39" s="3638"/>
      <c r="N39" s="3714"/>
      <c r="O39" s="3714"/>
      <c r="P39" s="3638"/>
      <c r="Q39" s="3638"/>
      <c r="R39" s="3638"/>
      <c r="S39" s="3638"/>
      <c r="T39" s="3638"/>
      <c r="U39" s="3638"/>
      <c r="V39" s="3642"/>
      <c r="W39" s="3642"/>
      <c r="X39" s="3638"/>
      <c r="Y39" s="3638"/>
      <c r="Z39" s="3638"/>
      <c r="AA39" s="3634"/>
      <c r="AB39" s="3634"/>
      <c r="AC39" s="3634"/>
      <c r="AD39" s="3634"/>
      <c r="AE39" s="3634"/>
      <c r="AF39" s="3634"/>
      <c r="AG39" s="3634"/>
      <c r="AH39" s="3634"/>
      <c r="AI39" s="3634"/>
      <c r="AJ39" s="3634"/>
      <c r="AK39" s="3634"/>
      <c r="AL39" s="3634"/>
      <c r="AM39" s="3634"/>
      <c r="AN39" s="3634"/>
      <c r="AO39" s="3634"/>
      <c r="AP39" s="3634"/>
      <c r="AQ39" s="3634"/>
      <c r="AR39" s="3634"/>
      <c r="AS39" s="3634"/>
      <c r="AT39" s="3634"/>
      <c r="AU39" s="3634"/>
      <c r="AV39" s="3634"/>
      <c r="AW39" s="3634"/>
      <c r="AX39" s="3634"/>
      <c r="AY39" s="3634"/>
      <c r="AZ39" s="3634"/>
      <c r="BA39" s="3634"/>
      <c r="BB39" s="3634"/>
      <c r="BC39" s="3634"/>
      <c r="BD39" s="3634"/>
      <c r="BE39" s="3634"/>
      <c r="BF39" s="3634"/>
      <c r="BG39" s="3634"/>
      <c r="BH39" s="3634"/>
      <c r="BI39" s="3634"/>
      <c r="BJ39" s="3634"/>
      <c r="BK39" s="3634"/>
      <c r="BL39" s="3634"/>
      <c r="BM39" s="3634"/>
      <c r="BN39" s="3634"/>
      <c r="BO39" s="3634"/>
      <c r="BP39" s="3634"/>
      <c r="BQ39" s="3634"/>
      <c r="BR39" s="3634"/>
      <c r="BS39" s="3634"/>
      <c r="BT39" s="3634"/>
      <c r="BU39" s="3634"/>
      <c r="BV39" s="3634"/>
      <c r="BW39" s="3634"/>
      <c r="BX39" s="3634"/>
      <c r="BY39" s="3634"/>
      <c r="BZ39" s="3634"/>
      <c r="CA39" s="3634"/>
      <c r="CB39" s="3634"/>
      <c r="CC39" s="3634"/>
      <c r="CD39" s="3634"/>
      <c r="CE39" s="3634"/>
      <c r="CF39" s="3785"/>
    </row>
    <row r="40" spans="1:84" s="310" customFormat="1" ht="37" customHeight="1" thickTop="1" thickBot="1" x14ac:dyDescent="0.35">
      <c r="A40" s="204">
        <v>8</v>
      </c>
      <c r="B40" s="1678" t="s">
        <v>1365</v>
      </c>
      <c r="C40" s="1684" t="s">
        <v>1240</v>
      </c>
      <c r="D40" s="1640" t="s">
        <v>565</v>
      </c>
      <c r="E40" s="1377" t="b">
        <f>IF(AND(E41=TRUE,E42=TRUE,E43=TRUE,E44=TRUE,E48=TRUE,E52=TRUE),TRUE,FALSE)</f>
        <v>0</v>
      </c>
      <c r="F40" s="858">
        <f>COUNTIF(E41:E43,TRUE)</f>
        <v>0</v>
      </c>
      <c r="G40" s="1682">
        <f>COUNTIFS(E41:E43,TRUE,G41:G43,"Not Blank")</f>
        <v>0</v>
      </c>
      <c r="H40" s="410">
        <f>COUNTIFS(E41:E43,FALSE,G41:G43,"Not Blank")</f>
        <v>0</v>
      </c>
      <c r="I40" s="1519" t="str">
        <f xml:space="preserve">
IF(F40&gt;6,"Too Many Entries - Check Red Lines",
IF(AND(E40=FALSE,G40=0,H40=0,E40=TRUE),"Nothing Required Below",
IF(G40&lt;F40,"Valid Entry required below - Check Amber Line/s",
IF(AND(E40=FALSE,G40=0,H40=0),"Nothing Entered below Yet",
IF(G40&lt;F40,"Valid Entry required below - Check Amber Line/s",
IF(AND(G40=0,H40&gt;0),"**Non-Valid Entry/ies below - Check Yellow Line/s",
IF(AND(G40&gt;0,H40&gt;0),"**Valid and Non-Valid Entries made below - Check Yellow Line/s",
IF(AND(E40=FALSE,F40&lt;6),"Not all requirements addressed below - Check Pink Line/s",
IF(AND(E40=FALSE,G40&lt;6,G40&gt;0,H40=0),"More entries to come",
IF(AND(E40,TRUE,G40=6,H40=0),"Valid Entries made below"
))))))))))</f>
        <v>Nothing Entered below Yet</v>
      </c>
      <c r="J40" s="1520">
        <f>COUNTIFS(E41:E43,TRUE,J41:J43,"Not Blank")</f>
        <v>0</v>
      </c>
      <c r="K40" s="1520">
        <f>COUNTIFS(E41:E43,FALSE,J41:J43,"Not Blank")</f>
        <v>0</v>
      </c>
      <c r="L40" s="1683" t="str">
        <f xml:space="preserve">
IF(J40&gt;6,"Too Many Entries - Check Red Lines",
IF(AND(E40=FALSE,J40=0,K40=0,E40=TRUE),"Nothing Required Below",
IF(J40&lt;F40,"Valid Entry required below - Check Amber Line/s",
IF(AND(E40=FALSE,J40=0,K40=0),"Nothing Entered below Yet",
IF(AND(J40=0,K40&gt;0),"**Non-Valid Entry/ies below - Check Yellow Line/s",
IF(AND(J40&gt;0,K40&gt;0),"**Valid and Non-Valid Entries made below - Check Yellow Line/s",
IF(AND(E40=FALSE,J40&lt;6),"Not all requirements addressed below - Check Pink Line/s",
IF(AND(E40=FALSE,J40&lt;6,J40&gt;0,K40=0),"More entries to come",
IF(AND(E40,TRUE,J40=6,K40=0),"Valid Entries made below"
)))))))))</f>
        <v>Nothing Entered below Yet</v>
      </c>
      <c r="M40" s="809"/>
      <c r="N40" s="698" t="s">
        <v>565</v>
      </c>
      <c r="O40" s="897" t="b">
        <f>IF(AND(O41=TRUE,O44=TRUE,O48=TRUE,O52=TRUE),TRUE,FALSE)</f>
        <v>0</v>
      </c>
      <c r="P40" s="1565"/>
      <c r="Q40" s="698" t="s">
        <v>565</v>
      </c>
      <c r="R40" s="1373" t="b">
        <f>IF(AND(R41=TRUE,R42=TRUE,R43=TRUE,R44=TRUE,R48=TRUE,R52=TRUE),TRUE,FALSE)</f>
        <v>0</v>
      </c>
      <c r="S40" s="418"/>
      <c r="T40" s="418"/>
      <c r="U40" s="1009"/>
      <c r="V40" s="698" t="s">
        <v>565</v>
      </c>
      <c r="W40" s="473" t="b">
        <f>IF(AND(W41=TRUE,W44=TRUE,W48=TRUE,W52=TRUE),TRUE,FALSE)</f>
        <v>0</v>
      </c>
      <c r="X40" s="822"/>
      <c r="Y40" s="746"/>
      <c r="Z40" s="823"/>
      <c r="AA40" s="308"/>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309"/>
    </row>
    <row r="41" spans="1:84" s="27" customFormat="1" ht="119.5" customHeight="1" thickTop="1" x14ac:dyDescent="0.3">
      <c r="A41" s="28" t="s">
        <v>1109</v>
      </c>
      <c r="B41" s="1679"/>
      <c r="C41" s="1685" t="s">
        <v>1108</v>
      </c>
      <c r="D41" s="1035" t="s">
        <v>3</v>
      </c>
      <c r="E41" s="1032" t="b">
        <f>IF(D41="Compliant",TRUE,FALSE)</f>
        <v>0</v>
      </c>
      <c r="F41" s="616"/>
      <c r="G41" s="1397" t="str">
        <f>IF(I41&lt;&gt;"", "Not Blank", "")</f>
        <v/>
      </c>
      <c r="H41" s="1395"/>
      <c r="I41" s="3464"/>
      <c r="J41" s="3446"/>
      <c r="K41" s="3446"/>
      <c r="L41" s="3429"/>
      <c r="M41" s="120"/>
      <c r="N41" s="4414" t="s">
        <v>3</v>
      </c>
      <c r="O41" s="4477" t="b">
        <f>IF(OR(N41="Compliant",N41="FE with work-a-round",N41="Functionally Equivalent"),TRUE,FALSE)</f>
        <v>0</v>
      </c>
      <c r="P41" s="138"/>
      <c r="Q41" s="1143" t="s">
        <v>3</v>
      </c>
      <c r="R41" s="814" t="b">
        <f>IF(OR(Q41="Compliant",Q41="FE with work-a-round",Q41="Functionally Equivalent"),TRUE,FALSE)</f>
        <v>0</v>
      </c>
      <c r="S41" s="111"/>
      <c r="T41" s="111"/>
      <c r="U41" s="139"/>
      <c r="V41" s="4414" t="s">
        <v>3</v>
      </c>
      <c r="W41" s="4509" t="b">
        <f>IF(OR(V41="Compliant",V41="FE with work-a-round",V41="Functionally Equivalent",V41="Not Required/Applicable"),TRUE,FALSE)</f>
        <v>0</v>
      </c>
      <c r="X41" s="138"/>
      <c r="Y41" s="111"/>
      <c r="Z41" s="120"/>
      <c r="AA41" s="65"/>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40"/>
    </row>
    <row r="42" spans="1:84" s="27" customFormat="1" ht="79" customHeight="1" x14ac:dyDescent="0.3">
      <c r="A42" s="28">
        <v>7.4</v>
      </c>
      <c r="B42" s="1679"/>
      <c r="C42" s="1686" t="s">
        <v>1115</v>
      </c>
      <c r="D42" s="699" t="s">
        <v>3</v>
      </c>
      <c r="E42" s="594" t="b">
        <f>IF(D42="Compliant",TRUE,FALSE)</f>
        <v>0</v>
      </c>
      <c r="F42" s="361"/>
      <c r="G42" s="1566"/>
      <c r="H42" s="1567"/>
      <c r="I42" s="3431"/>
      <c r="J42" s="3429"/>
      <c r="K42" s="3429"/>
      <c r="L42" s="3465"/>
      <c r="M42" s="122"/>
      <c r="N42" s="4415"/>
      <c r="O42" s="4450"/>
      <c r="P42" s="41"/>
      <c r="Q42" s="847" t="s">
        <v>3</v>
      </c>
      <c r="R42" s="737" t="b">
        <f>IF(OR(Q42="Compliant",Q42="FE with work-a-round",Q42="Functionally Equivalent"),TRUE,FALSE)</f>
        <v>0</v>
      </c>
      <c r="S42" s="42"/>
      <c r="T42" s="42"/>
      <c r="U42" s="140"/>
      <c r="V42" s="4415"/>
      <c r="W42" s="4510"/>
      <c r="X42" s="41"/>
      <c r="Y42" s="42"/>
      <c r="Z42" s="128"/>
      <c r="AA42" s="65"/>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40"/>
    </row>
    <row r="43" spans="1:84" s="27" customFormat="1" ht="194.15" customHeight="1" thickBot="1" x14ac:dyDescent="0.35">
      <c r="A43" s="1419" t="s">
        <v>1083</v>
      </c>
      <c r="B43" s="1679"/>
      <c r="C43" s="1687" t="s">
        <v>1084</v>
      </c>
      <c r="D43" s="700" t="s">
        <v>3</v>
      </c>
      <c r="E43" s="595" t="b">
        <f>IF(D43="Compliant",TRUE,FALSE)</f>
        <v>0</v>
      </c>
      <c r="F43" s="258"/>
      <c r="G43" s="1568" t="str">
        <f>IF(I43&lt;&gt;"", "Not Blank", "")</f>
        <v/>
      </c>
      <c r="H43" s="1569"/>
      <c r="I43" s="3436"/>
      <c r="J43" s="3434"/>
      <c r="K43" s="3434"/>
      <c r="L43" s="3434"/>
      <c r="M43" s="125"/>
      <c r="N43" s="4416"/>
      <c r="O43" s="4478"/>
      <c r="P43" s="161"/>
      <c r="Q43" s="848" t="s">
        <v>3</v>
      </c>
      <c r="R43" s="738" t="b">
        <f>IF(OR(Q43="Compliant",Q43="FE with work-a-round",Q43="Functionally Equivalent"),TRUE,FALSE)</f>
        <v>0</v>
      </c>
      <c r="S43" s="124"/>
      <c r="T43" s="124"/>
      <c r="U43" s="641"/>
      <c r="V43" s="4416"/>
      <c r="W43" s="4511"/>
      <c r="X43" s="161"/>
      <c r="Y43" s="124"/>
      <c r="Z43" s="125"/>
      <c r="AA43" s="65"/>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40"/>
    </row>
    <row r="44" spans="1:84" s="27" customFormat="1" ht="50.15" customHeight="1" thickTop="1" thickBot="1" x14ac:dyDescent="0.35">
      <c r="A44" s="28">
        <v>8.3000000000000007</v>
      </c>
      <c r="B44" s="1693"/>
      <c r="C44" s="1697" t="s">
        <v>1085</v>
      </c>
      <c r="D44" s="1499" t="s">
        <v>565</v>
      </c>
      <c r="E44" s="1688" t="b">
        <f>IF(AND(E45=TRUE,E46=TRUE,E47=TRUE),TRUE,FALSE)</f>
        <v>0</v>
      </c>
      <c r="F44" s="158">
        <f>COUNTIF(E45:E47,TRUE)</f>
        <v>0</v>
      </c>
      <c r="G44" s="1689">
        <f>COUNTIFS(E45:E47,TRUE,G45:G47,"Not Blank")</f>
        <v>0</v>
      </c>
      <c r="H44" s="2396">
        <f>COUNTIFS(E45:E47,FALSE,G45:G47,"Not Blank")</f>
        <v>0</v>
      </c>
      <c r="I44" s="2288" t="str">
        <f xml:space="preserve">
IF(F44&gt;3,"Too Many Entries - Check Red Lines",
IF(AND(E44=FALSE,G44=0,H44=0,E44=TRUE),"Nothing Required Below",
IF(G44&lt;F44,"Valid Entry required below - Check Amber Line/s",
IF(AND(E44=FALSE,G44=0,H44=0),"Nothing Entered below Yet",
IF(G44&lt;F44,"Valid Entry required below - Check Amber Line/s",
IF(AND(G44=0,H44&gt;0),"**Non-Valid Entry/ies below - Check Yellow Line/s",
IF(AND(G44&gt;0,H44&gt;0),"**Valid and Non-Valid Entries made below - Check Yellow Line/s",
IF(AND(E44=FALSE,F44&lt;3),"Not all requirements addressed below - Check Pink Line/s",
IF(AND(E44=FALSE,G44&lt;3,G44&gt;0,H44=0),"More entries to come",
IF(AND(E44,TRUE,G44=3,H44=0),"Valid Entries made below"
))))))))))</f>
        <v>Nothing Entered below Yet</v>
      </c>
      <c r="J44" s="1498">
        <f>COUNTIFS(E45:E47,TRUE,J45:J47,"Not Blank")</f>
        <v>0</v>
      </c>
      <c r="K44" s="1498">
        <f>COUNTIFS(E45:E47,FALSE,J45:J47,"Not Blank")</f>
        <v>0</v>
      </c>
      <c r="L44" s="2397" t="str">
        <f xml:space="preserve">
IF(J44&gt;3,"Too Many Entries - Check Red Lines",
IF(AND(E44=FALSE,J44=0,K44=0,E44=TRUE),"Nothing Required Below",
IF(J44&lt;F44,"Valid Entry required below - Check Amber Line/s",
IF(AND(E44=FALSE,J44=0,K44=0),"Nothing Entered below Yet",
IF(AND(J44=0,K44&gt;0),"**Non-Valid Entry/ies below - Check Yellow Line/s",
IF(AND(J44&gt;0,K44&gt;0),"**Valid and Non-Valid Entries made below - Check Yellow Line/s",
IF(AND(E44=FALSE,J44&lt;3),"Not all requirements addressed below - Check Pink Line/s",
IF(AND(E44=FALSE,J44&lt;3,J44&gt;0,K44=0),"More entries to come",
IF(AND(E44,TRUE,J44=3,K44=0),"Valid Entries made below"
)))))))))</f>
        <v>Nothing Entered below Yet</v>
      </c>
      <c r="M44" s="134"/>
      <c r="N44" s="4506" t="s">
        <v>3</v>
      </c>
      <c r="O44" s="4477" t="b">
        <f>IF(OR(N44="Compliant",N44="FE with work-a-round",N44="Functionally Equivalent"),TRUE,FALSE)</f>
        <v>0</v>
      </c>
      <c r="P44" s="2139"/>
      <c r="Q44" s="698" t="s">
        <v>565</v>
      </c>
      <c r="R44" s="814" t="b">
        <f>IF(AND(R45=TRUE,R46=TRUE,R47=TRUE),TRUE,FALSE)</f>
        <v>0</v>
      </c>
      <c r="S44" s="111"/>
      <c r="T44" s="111"/>
      <c r="U44" s="139"/>
      <c r="V44" s="4506" t="s">
        <v>3</v>
      </c>
      <c r="W44" s="4469" t="b">
        <f>IF(OR(V44="Compliant",V44="FE with work-a-round",V44="Functionally Equivalent",V44="Not Required/Applicable"),TRUE,FALSE)</f>
        <v>0</v>
      </c>
      <c r="X44" s="138"/>
      <c r="Y44" s="111"/>
      <c r="Z44" s="120"/>
      <c r="AA44" s="65"/>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40"/>
    </row>
    <row r="45" spans="1:84" s="27" customFormat="1" ht="70" customHeight="1" thickTop="1" x14ac:dyDescent="0.3">
      <c r="A45" s="28"/>
      <c r="B45" s="1694"/>
      <c r="C45" s="1702" t="s">
        <v>1086</v>
      </c>
      <c r="D45" s="2096" t="s">
        <v>3</v>
      </c>
      <c r="E45" s="594" t="b">
        <f>IF(D45="Compliant",TRUE,FALSE)</f>
        <v>0</v>
      </c>
      <c r="F45" s="361"/>
      <c r="G45" s="1405" t="str">
        <f>IF(I45&lt;&gt;"", "Not Blank", "")</f>
        <v/>
      </c>
      <c r="H45" s="1403"/>
      <c r="I45" s="3435"/>
      <c r="J45" s="391" t="str">
        <f>IF(L45&lt;&gt;"", "Not Blank", "")</f>
        <v/>
      </c>
      <c r="K45" s="391"/>
      <c r="L45" s="144"/>
      <c r="M45" s="128"/>
      <c r="N45" s="4507"/>
      <c r="O45" s="4450"/>
      <c r="P45" s="120"/>
      <c r="Q45" s="1143" t="s">
        <v>3</v>
      </c>
      <c r="R45" s="737" t="b">
        <f>IF(OR(Q45="Compliant",Q45="FE with work-a-round",Q45="Functionally Equivalent"),TRUE,FALSE)</f>
        <v>0</v>
      </c>
      <c r="S45" s="44"/>
      <c r="T45" s="44"/>
      <c r="U45" s="141"/>
      <c r="V45" s="4507"/>
      <c r="W45" s="4435"/>
      <c r="X45" s="67"/>
      <c r="Y45" s="44"/>
      <c r="Z45" s="122"/>
      <c r="AA45" s="65"/>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40"/>
    </row>
    <row r="46" spans="1:84" s="27" customFormat="1" ht="37.5" customHeight="1" x14ac:dyDescent="0.3">
      <c r="A46" s="28"/>
      <c r="B46" s="1679"/>
      <c r="C46" s="1686" t="s">
        <v>1087</v>
      </c>
      <c r="D46" s="699" t="s">
        <v>3</v>
      </c>
      <c r="E46" s="594" t="b">
        <f>IF(D46="Compliant",TRUE,FALSE)</f>
        <v>0</v>
      </c>
      <c r="F46" s="361"/>
      <c r="G46" s="1405" t="str">
        <f>IF(I46&lt;&gt;"", "Not Blank", "")</f>
        <v/>
      </c>
      <c r="H46" s="1403"/>
      <c r="I46" s="3435"/>
      <c r="J46" s="216" t="str">
        <f>IF(L46&lt;&gt;"", "Not Blank", "")</f>
        <v/>
      </c>
      <c r="K46" s="216"/>
      <c r="L46" s="68"/>
      <c r="M46" s="122"/>
      <c r="N46" s="4507"/>
      <c r="O46" s="4450"/>
      <c r="P46" s="67"/>
      <c r="Q46" s="847" t="s">
        <v>3</v>
      </c>
      <c r="R46" s="737" t="b">
        <f>IF(OR(Q46="Compliant",Q46="FE with work-a-round",Q46="Functionally Equivalent"),TRUE,FALSE)</f>
        <v>0</v>
      </c>
      <c r="S46" s="44"/>
      <c r="T46" s="44"/>
      <c r="U46" s="141"/>
      <c r="V46" s="4507"/>
      <c r="W46" s="4435"/>
      <c r="X46" s="67"/>
      <c r="Y46" s="44"/>
      <c r="Z46" s="122"/>
      <c r="AA46" s="65"/>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40"/>
    </row>
    <row r="47" spans="1:84" s="27" customFormat="1" ht="90.65" customHeight="1" thickBot="1" x14ac:dyDescent="0.35">
      <c r="A47" s="28"/>
      <c r="B47" s="1679"/>
      <c r="C47" s="1687" t="s">
        <v>1088</v>
      </c>
      <c r="D47" s="700" t="s">
        <v>3</v>
      </c>
      <c r="E47" s="595" t="b">
        <f>IF(D47="Compliant",TRUE,FALSE)</f>
        <v>0</v>
      </c>
      <c r="F47" s="258"/>
      <c r="G47" s="1571" t="str">
        <f>IF(I47&lt;&gt;"", "Not Blank", "")</f>
        <v/>
      </c>
      <c r="H47" s="1446"/>
      <c r="I47" s="3466"/>
      <c r="J47" s="218" t="str">
        <f>IF(L47&lt;&gt;"", "Not Blank", "")</f>
        <v/>
      </c>
      <c r="K47" s="218"/>
      <c r="L47" s="246"/>
      <c r="M47" s="125"/>
      <c r="N47" s="4508"/>
      <c r="O47" s="4478"/>
      <c r="P47" s="161"/>
      <c r="Q47" s="848" t="s">
        <v>3</v>
      </c>
      <c r="R47" s="738" t="b">
        <f>IF(OR(Q47="Compliant",Q47="FE with work-a-round",Q47="Functionally Equivalent"),TRUE,FALSE)</f>
        <v>0</v>
      </c>
      <c r="S47" s="124"/>
      <c r="T47" s="124"/>
      <c r="U47" s="641"/>
      <c r="V47" s="4508"/>
      <c r="W47" s="4470"/>
      <c r="X47" s="161"/>
      <c r="Y47" s="124"/>
      <c r="Z47" s="125"/>
      <c r="AA47" s="65"/>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40"/>
    </row>
    <row r="48" spans="1:84" s="27" customFormat="1" ht="50.15" customHeight="1" thickTop="1" thickBot="1" x14ac:dyDescent="0.35">
      <c r="A48" s="28">
        <v>8.4</v>
      </c>
      <c r="B48" s="1695"/>
      <c r="C48" s="2398" t="s">
        <v>1040</v>
      </c>
      <c r="D48" s="1192" t="s">
        <v>565</v>
      </c>
      <c r="E48" s="1691" t="b">
        <f>IF(AND(E49=TRUE,E50=TRUE,E51=TRUE,E52=TRUE),TRUE,FALSE)</f>
        <v>0</v>
      </c>
      <c r="F48" s="398">
        <f>COUNTIF(E49:E52,TRUE)</f>
        <v>0</v>
      </c>
      <c r="G48" s="449">
        <f>COUNTIFS(E49:E52,TRUE,G49:G52,"Not Blank")</f>
        <v>0</v>
      </c>
      <c r="H48" s="450">
        <f>COUNTIFS(E49:E52,FALSE,G49:G52,"Not Blank")</f>
        <v>0</v>
      </c>
      <c r="I48" s="1497" t="str">
        <f xml:space="preserve">
IF(F48&gt;4,"Too Many Entries - Check Red Lines",
IF(AND(E48=FALSE,G48=0,H48=0,E48=TRUE),"Nothing Required Below",
IF(G48&lt;F48,"Valid Entry required below - Check Amber Line/s",
IF(AND(E48=FALSE,G48=0,H48=0),"Nothing Entered below Yet",
IF(G48&lt;F48,"Valid Entry required below - Check Amber Line/s",
IF(AND(G48=0,H48&gt;0),"**Non-Valid Entry/ies below - Check Yellow Line/s",
IF(AND(G48&gt;0,H48&gt;0),"**Valid and Non-Valid Entries made below - Check Yellow Line/s",
IF(AND(E48=FALSE,F48&lt;4),"Not all requirements addressed below - Check Pink Line/s",
IF(AND(E48=FALSE,G48&lt;4,G48&gt;0,H48=0),"More entries to come",
IF(AND(E48,TRUE,G48=4,H48=0),"Valid Entries made below"
))))))))))</f>
        <v>Nothing Entered below Yet</v>
      </c>
      <c r="J48" s="1498">
        <f>COUNTIFS(E49:E52,TRUE,J49:J52,"Not Blank")</f>
        <v>0</v>
      </c>
      <c r="K48" s="1498">
        <f>COUNTIFS(E49:E52,FALSE,J49:J52,"Not Blank")</f>
        <v>0</v>
      </c>
      <c r="L48" s="2397" t="str">
        <f xml:space="preserve">
IF(J48&gt;4,"Too Many Entries - Check Red Lines",
IF(AND(E48=FALSE,J48=0,K48=0,E48=TRUE),"Nothing Required Below",
IF(J48&lt;F48,"Valid Entry required below - Check Amber Line/s",
IF(AND(E48=FALSE,J48=0,K48=0),"Nothing Entered below Yet",
IF(AND(J48=0,K48&gt;0),"**Non-Valid Entry/ies below - Check Yellow Line/s",
IF(AND(J48&gt;0,K48&gt;0),"**Valid and Non-Valid Entries made below - Check Yellow Line/s",
IF(AND(E48=FALSE,J48&lt;4),"Not all requirements addressed below - Check Pink Line/s",
IF(AND(E48=FALSE,J48&lt;4,J48&gt;0,K48=0),"More entries to come",
IF(AND(E48,TRUE,J48=4,K48=0),"Valid Entries made below"
)))))))))</f>
        <v>Nothing Entered below Yet</v>
      </c>
      <c r="M48" s="134"/>
      <c r="N48" s="4522" t="s">
        <v>3</v>
      </c>
      <c r="O48" s="4449" t="b">
        <f>IF(OR(N48="Compliant",N48="FE with work-a-round",N48="Functionally Equivalent"),TRUE,FALSE)</f>
        <v>0</v>
      </c>
      <c r="P48" s="818"/>
      <c r="Q48" s="1197" t="s">
        <v>565</v>
      </c>
      <c r="R48" s="1444" t="b">
        <f>IF(AND(R49=TRUE,R50=TRUE,R51=TRUE),TRUE,FALSE)</f>
        <v>0</v>
      </c>
      <c r="S48" s="42"/>
      <c r="T48" s="42"/>
      <c r="U48" s="140"/>
      <c r="V48" s="4522" t="s">
        <v>3</v>
      </c>
      <c r="W48" s="4434" t="b">
        <f>IF(OR(V48="Compliant",V48="FE with work-a-round",V48="Functionally Equivalent",V48="Not Required/Applicable"),TRUE,FALSE)</f>
        <v>0</v>
      </c>
      <c r="X48" s="41"/>
      <c r="Y48" s="42"/>
      <c r="Z48" s="128"/>
      <c r="AA48" s="65"/>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40"/>
    </row>
    <row r="49" spans="1:84" s="27" customFormat="1" ht="74.5" customHeight="1" thickTop="1" x14ac:dyDescent="0.3">
      <c r="A49" s="28"/>
      <c r="B49" s="540"/>
      <c r="C49" s="1685" t="s">
        <v>1089</v>
      </c>
      <c r="D49" s="1035" t="s">
        <v>3</v>
      </c>
      <c r="E49" s="594" t="b">
        <f>IF(D49="Compliant",TRUE,FALSE)</f>
        <v>0</v>
      </c>
      <c r="F49" s="361"/>
      <c r="G49" s="1405" t="str">
        <f>IF(I49&lt;&gt;"", "Not Blank", "")</f>
        <v/>
      </c>
      <c r="H49" s="1403"/>
      <c r="I49" s="3470"/>
      <c r="J49" s="3432"/>
      <c r="K49" s="3432"/>
      <c r="L49" s="3461"/>
      <c r="M49" s="3467"/>
      <c r="N49" s="4507"/>
      <c r="O49" s="4450"/>
      <c r="P49" s="120"/>
      <c r="Q49" s="1142" t="s">
        <v>3</v>
      </c>
      <c r="R49" s="737" t="b">
        <f>IF(OR(Q49="Compliant",Q49="FE with work-a-round",Q49="Functionally Equivalent"),TRUE,FALSE)</f>
        <v>0</v>
      </c>
      <c r="S49" s="44"/>
      <c r="T49" s="44"/>
      <c r="U49" s="141"/>
      <c r="V49" s="4507"/>
      <c r="W49" s="4435"/>
      <c r="X49" s="67"/>
      <c r="Y49" s="44"/>
      <c r="Z49" s="122"/>
      <c r="AA49" s="65"/>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40"/>
    </row>
    <row r="50" spans="1:84" s="27" customFormat="1" ht="65.5" customHeight="1" x14ac:dyDescent="0.3">
      <c r="A50" s="28"/>
      <c r="B50" s="540"/>
      <c r="C50" s="1686" t="s">
        <v>1090</v>
      </c>
      <c r="D50" s="699" t="s">
        <v>3</v>
      </c>
      <c r="E50" s="594" t="b">
        <f>IF(D50="Compliant",TRUE,FALSE)</f>
        <v>0</v>
      </c>
      <c r="F50" s="361"/>
      <c r="G50" s="1405" t="str">
        <f>IF(I50&lt;&gt;"", "Not Blank", "")</f>
        <v/>
      </c>
      <c r="H50" s="1403"/>
      <c r="I50" s="3435"/>
      <c r="J50" s="3432"/>
      <c r="K50" s="3432"/>
      <c r="L50" s="3432"/>
      <c r="M50" s="3468"/>
      <c r="N50" s="4507"/>
      <c r="O50" s="4450"/>
      <c r="P50" s="67"/>
      <c r="Q50" s="847" t="s">
        <v>3</v>
      </c>
      <c r="R50" s="737" t="b">
        <f>IF(OR(Q50="Compliant",Q50="FE with work-a-round",Q50="Functionally Equivalent"),TRUE,FALSE)</f>
        <v>0</v>
      </c>
      <c r="S50" s="44"/>
      <c r="T50" s="44"/>
      <c r="U50" s="141"/>
      <c r="V50" s="4507"/>
      <c r="W50" s="4435"/>
      <c r="X50" s="67"/>
      <c r="Y50" s="44"/>
      <c r="Z50" s="122"/>
      <c r="AA50" s="65"/>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40"/>
    </row>
    <row r="51" spans="1:84" s="27" customFormat="1" ht="65.5" customHeight="1" thickBot="1" x14ac:dyDescent="0.35">
      <c r="A51" s="28"/>
      <c r="B51" s="540"/>
      <c r="C51" s="1687" t="s">
        <v>1091</v>
      </c>
      <c r="D51" s="700" t="s">
        <v>3</v>
      </c>
      <c r="E51" s="595" t="b">
        <f>IF(D51="Compliant",TRUE,FALSE)</f>
        <v>0</v>
      </c>
      <c r="F51" s="258"/>
      <c r="G51" s="1571" t="str">
        <f>IF(I51&lt;&gt;"", "Not Blank", "")</f>
        <v/>
      </c>
      <c r="H51" s="1446"/>
      <c r="I51" s="3471"/>
      <c r="J51" s="3430"/>
      <c r="K51" s="3430"/>
      <c r="L51" s="3430"/>
      <c r="M51" s="3469"/>
      <c r="N51" s="4508"/>
      <c r="O51" s="4450"/>
      <c r="P51" s="161"/>
      <c r="Q51" s="848" t="s">
        <v>3</v>
      </c>
      <c r="R51" s="738" t="b">
        <f>IF(OR(Q51="Compliant",Q51="FE with work-a-round",Q51="Functionally Equivalent"),TRUE,FALSE)</f>
        <v>0</v>
      </c>
      <c r="S51" s="124"/>
      <c r="T51" s="124"/>
      <c r="U51" s="641"/>
      <c r="V51" s="4508"/>
      <c r="W51" s="4470"/>
      <c r="X51" s="161"/>
      <c r="Y51" s="124"/>
      <c r="Z51" s="125"/>
      <c r="AA51" s="65"/>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40"/>
    </row>
    <row r="52" spans="1:84" s="27" customFormat="1" ht="144.65" customHeight="1" thickTop="1" thickBot="1" x14ac:dyDescent="0.35">
      <c r="A52" s="1419" t="s">
        <v>1113</v>
      </c>
      <c r="B52" s="1696"/>
      <c r="C52" s="1697" t="s">
        <v>1051</v>
      </c>
      <c r="D52" s="876" t="s">
        <v>3</v>
      </c>
      <c r="E52" s="974" t="b">
        <f>IF(D52="Compliant",TRUE,FALSE)</f>
        <v>0</v>
      </c>
      <c r="F52" s="396"/>
      <c r="G52" s="1573" t="str">
        <f>IF(I52&lt;&gt;"", "Not Blank", "")</f>
        <v/>
      </c>
      <c r="H52" s="1448"/>
      <c r="I52" s="3444"/>
      <c r="J52" s="3440"/>
      <c r="K52" s="3440"/>
      <c r="L52" s="3440"/>
      <c r="M52" s="3047"/>
      <c r="N52" s="925" t="s">
        <v>3</v>
      </c>
      <c r="O52" s="812" t="b">
        <f>IF(OR(N52="Compliant",N52="FE with work-a-round",N52="Functionally Equivalent"),TRUE,FALSE)</f>
        <v>0</v>
      </c>
      <c r="P52" s="231"/>
      <c r="Q52" s="925" t="s">
        <v>3</v>
      </c>
      <c r="R52" s="892" t="b">
        <f>IF(OR(Q52="Compliant",Q52="FE with work-a-round",Q52="Functionally Equivalent"),TRUE,FALSE)</f>
        <v>0</v>
      </c>
      <c r="S52" s="133"/>
      <c r="T52" s="133"/>
      <c r="U52" s="134"/>
      <c r="V52" s="925" t="s">
        <v>3</v>
      </c>
      <c r="W52" s="460" t="b">
        <f>IF(OR(V52="Compliant",V52="FE with work-a-round",V52="Functionally Equivalent",V52="Not Required/Applicable"),TRUE,FALSE)</f>
        <v>0</v>
      </c>
      <c r="X52" s="231"/>
      <c r="Y52" s="133"/>
      <c r="Z52" s="134"/>
      <c r="AA52" s="65"/>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40"/>
    </row>
    <row r="53" spans="1:84" s="3668" customFormat="1" ht="19" customHeight="1" thickTop="1" x14ac:dyDescent="0.3">
      <c r="A53" s="3651"/>
      <c r="B53" s="3634"/>
      <c r="C53" s="3634"/>
      <c r="D53" s="3634"/>
      <c r="E53" s="3636"/>
      <c r="F53" s="3636"/>
      <c r="G53" s="3662"/>
      <c r="H53" s="3663"/>
      <c r="I53" s="3664"/>
      <c r="J53" s="3643"/>
      <c r="K53" s="3643"/>
      <c r="L53" s="3634"/>
      <c r="M53" s="3634"/>
      <c r="N53" s="3641"/>
      <c r="O53" s="3641"/>
      <c r="P53" s="3634"/>
      <c r="Q53" s="3634"/>
      <c r="R53" s="3634"/>
      <c r="S53" s="3634"/>
      <c r="T53" s="3634"/>
      <c r="U53" s="3634"/>
      <c r="V53" s="3639"/>
      <c r="W53" s="3639"/>
      <c r="X53" s="3634"/>
      <c r="Y53" s="3634"/>
      <c r="Z53" s="3634"/>
      <c r="AA53" s="3634"/>
      <c r="AB53" s="3634"/>
      <c r="AC53" s="3634"/>
      <c r="AD53" s="3634"/>
      <c r="AE53" s="3634"/>
      <c r="AF53" s="3634"/>
      <c r="AG53" s="3634"/>
      <c r="AH53" s="3634"/>
      <c r="AI53" s="3634"/>
      <c r="AJ53" s="3634"/>
      <c r="AK53" s="3634"/>
      <c r="AL53" s="3634"/>
      <c r="AM53" s="3634"/>
      <c r="AN53" s="3634"/>
      <c r="AO53" s="3634"/>
      <c r="AP53" s="3634"/>
      <c r="AQ53" s="3634"/>
      <c r="AR53" s="3634"/>
      <c r="AS53" s="3634"/>
      <c r="AT53" s="3634"/>
      <c r="AU53" s="3634"/>
      <c r="AV53" s="3634"/>
      <c r="AW53" s="3634"/>
      <c r="AX53" s="3634"/>
      <c r="AY53" s="3634"/>
      <c r="AZ53" s="3634"/>
      <c r="BA53" s="3634"/>
      <c r="BB53" s="3634"/>
      <c r="BC53" s="3634"/>
      <c r="BD53" s="3634"/>
      <c r="BE53" s="3634"/>
      <c r="BF53" s="3634"/>
      <c r="BG53" s="3634"/>
      <c r="BH53" s="3634"/>
      <c r="BI53" s="3634"/>
      <c r="BJ53" s="3634"/>
      <c r="BK53" s="3634"/>
      <c r="BL53" s="3634"/>
      <c r="BM53" s="3634"/>
      <c r="BN53" s="3634"/>
      <c r="BO53" s="3634"/>
      <c r="BP53" s="3634"/>
      <c r="BQ53" s="3634"/>
      <c r="BR53" s="3634"/>
      <c r="BS53" s="3634"/>
      <c r="BT53" s="3634"/>
      <c r="BU53" s="3634"/>
      <c r="BV53" s="3634"/>
      <c r="BW53" s="3634"/>
      <c r="BX53" s="3634"/>
      <c r="BY53" s="3634"/>
      <c r="BZ53" s="3634"/>
      <c r="CA53" s="3634"/>
      <c r="CB53" s="3634"/>
      <c r="CC53" s="3634"/>
      <c r="CD53" s="3634"/>
      <c r="CE53" s="3634"/>
      <c r="CF53" s="3634"/>
    </row>
    <row r="54" spans="1:84" s="3640" customFormat="1" ht="18.649999999999999" customHeight="1" x14ac:dyDescent="0.3">
      <c r="A54" s="4482" t="s">
        <v>1139</v>
      </c>
      <c r="B54" s="4483"/>
      <c r="C54" s="4483"/>
      <c r="D54" s="4483"/>
      <c r="E54" s="4483"/>
      <c r="F54" s="4483"/>
      <c r="G54" s="4483"/>
      <c r="H54" s="4483"/>
      <c r="I54" s="4483"/>
      <c r="J54" s="4483"/>
      <c r="K54" s="4483"/>
      <c r="L54" s="4483"/>
      <c r="M54" s="4483"/>
      <c r="N54" s="4483"/>
      <c r="O54" s="3669"/>
      <c r="P54" s="3670"/>
      <c r="Q54" s="3670"/>
      <c r="R54" s="3670"/>
      <c r="S54" s="3671"/>
      <c r="T54" s="3672"/>
      <c r="U54" s="3672"/>
      <c r="V54" s="3673"/>
      <c r="W54" s="3673"/>
      <c r="X54" s="3674"/>
      <c r="Y54" s="3675"/>
      <c r="Z54" s="3676"/>
    </row>
    <row r="55" spans="1:84" s="3678" customFormat="1" ht="23.15" customHeight="1" thickBot="1" x14ac:dyDescent="0.35">
      <c r="A55" s="3634"/>
      <c r="B55" s="3638"/>
      <c r="C55" s="3638"/>
      <c r="D55" s="3638"/>
      <c r="E55" s="3637"/>
      <c r="F55" s="3637"/>
      <c r="G55" s="3736"/>
      <c r="H55" s="3737"/>
      <c r="I55" s="3638"/>
      <c r="J55" s="3738"/>
      <c r="K55" s="3738"/>
      <c r="L55" s="3638"/>
      <c r="M55" s="3638"/>
      <c r="N55" s="3714"/>
      <c r="O55" s="3714"/>
      <c r="P55" s="3638"/>
      <c r="Q55" s="3638"/>
      <c r="R55" s="3638"/>
      <c r="S55" s="3638"/>
      <c r="T55" s="3638"/>
      <c r="U55" s="3638"/>
      <c r="V55" s="3642"/>
      <c r="W55" s="3639"/>
      <c r="X55" s="3634"/>
      <c r="Y55" s="3634"/>
      <c r="Z55" s="3634"/>
      <c r="AA55" s="3634"/>
      <c r="AB55" s="3634"/>
      <c r="AC55" s="3634"/>
      <c r="AD55" s="3634"/>
      <c r="AE55" s="3634"/>
      <c r="AF55" s="3634"/>
      <c r="AG55" s="3634"/>
      <c r="AH55" s="3634"/>
      <c r="AI55" s="3634"/>
      <c r="AJ55" s="3634"/>
      <c r="AK55" s="3634"/>
      <c r="AL55" s="3634"/>
      <c r="AM55" s="3634"/>
      <c r="AN55" s="3634"/>
      <c r="AO55" s="3634"/>
      <c r="AP55" s="3634"/>
      <c r="AQ55" s="3634"/>
      <c r="AR55" s="3634"/>
      <c r="AS55" s="3634"/>
      <c r="AT55" s="3634"/>
      <c r="AU55" s="3634"/>
      <c r="AV55" s="3634"/>
      <c r="AW55" s="3634"/>
      <c r="AX55" s="3634"/>
      <c r="AY55" s="3634"/>
      <c r="AZ55" s="3634"/>
      <c r="BA55" s="3634"/>
      <c r="BB55" s="3634"/>
      <c r="BC55" s="3634"/>
      <c r="BD55" s="3634"/>
      <c r="BE55" s="3634"/>
      <c r="BF55" s="3634"/>
      <c r="BG55" s="3634"/>
      <c r="BH55" s="3634"/>
      <c r="BI55" s="3634"/>
      <c r="BJ55" s="3634"/>
      <c r="BK55" s="3634"/>
      <c r="BL55" s="3634"/>
      <c r="BM55" s="3634"/>
      <c r="BN55" s="3634"/>
      <c r="BO55" s="3634"/>
      <c r="BP55" s="3634"/>
      <c r="BQ55" s="3634"/>
      <c r="BR55" s="3634"/>
      <c r="BS55" s="3634"/>
      <c r="BT55" s="3634"/>
      <c r="BU55" s="3634"/>
      <c r="BV55" s="3634"/>
      <c r="BW55" s="3634"/>
      <c r="BX55" s="3634"/>
      <c r="BY55" s="3634"/>
      <c r="BZ55" s="3634"/>
      <c r="CA55" s="3634"/>
      <c r="CB55" s="3634"/>
      <c r="CC55" s="3634"/>
      <c r="CD55" s="3634"/>
      <c r="CE55" s="3634"/>
      <c r="CF55" s="3634"/>
    </row>
    <row r="56" spans="1:84" s="310" customFormat="1" ht="36.65" customHeight="1" thickTop="1" thickBot="1" x14ac:dyDescent="0.35">
      <c r="A56" s="204">
        <v>8.5</v>
      </c>
      <c r="B56" s="2401" t="s">
        <v>1369</v>
      </c>
      <c r="C56" s="1701" t="s">
        <v>1542</v>
      </c>
      <c r="D56" s="1846" t="s">
        <v>565</v>
      </c>
      <c r="E56" s="91" t="b">
        <f>IF(AND(E57=TRUE,E58=TRUE,E59=TRUE,E60=TRUE),TRUE,FALSE)</f>
        <v>0</v>
      </c>
      <c r="F56" s="461">
        <f>COUNTIF(E57:E59,TRUE)</f>
        <v>0</v>
      </c>
      <c r="G56" s="1698">
        <f>COUNTIFS(E57:E59,TRUE,G57:G59,"Not Blank")</f>
        <v>0</v>
      </c>
      <c r="H56" s="1699">
        <f>COUNTIFS(E57:E59,FALSE,G57:G59,"Not Blank")</f>
        <v>0</v>
      </c>
      <c r="I56" s="1642" t="str">
        <f xml:space="preserve">
IF(F56&gt;4,"Too Many Entries - Check Red Lines",
IF(AND(E56=FALSE,G56=0,H56=0,E56=TRUE),"Nothing Required Below",
IF(G56&lt;F56,"Valid Entry required below - Check Amber Line/s",
IF(AND(E56=FALSE,G56=0,H56=0),"Nothing Entered below Yet",
IF(G56&lt;F56,"Valid Entry required below - Check Amber Line/s",
IF(AND(G56=0,H56&gt;0),"**Non-Valid Entry/ies below - Check Yellow Line/s",
IF(AND(G56&gt;0,H56&gt;0),"**Valid and Non-Valid Entries made below - Check Yellow Line/s",
IF(AND(E56=FALSE,F56&lt;4),"Not all requirements addressed below - Check Pink Line/s",
IF(AND(E56=FALSE,G56&lt;4,G56&gt;0,H56=0),"More entries to come",
IF(AND(E56,TRUE,G56=4,H56=0),"Valid Entries made below"
))))))))))</f>
        <v>Nothing Entered below Yet</v>
      </c>
      <c r="J56" s="1643">
        <f>COUNTIFS(E57:E59,TRUE,J57:J59,"Not Blank")</f>
        <v>0</v>
      </c>
      <c r="K56" s="1643">
        <f>COUNTIFS(E57:E59,FALSE,J57:J59,"Not Blank")</f>
        <v>0</v>
      </c>
      <c r="L56" s="1700" t="str">
        <f xml:space="preserve">
IF(J56&gt;4,"Too Many Entries - Check Red Lines",
IF(AND(E56=FALSE,J56=0,K56=0,E56=TRUE),"Nothing Required Below",
IF(J56&lt;F56,"Valid Entry required below - Check Amber Line/s",
IF(AND(E56=FALSE,J56=0,K56=0),"Nothing Entered below Yet",
IF(AND(J56=0,K56&gt;0),"**Non-Valid Entry/ies below - Check Yellow Line/s",
IF(AND(J56&gt;0,K56&gt;0),"**Valid and Non-Valid Entries made below - Check Yellow Line/s",
IF(AND(E56=FALSE,J56&lt;4),"Not all requirements addressed below - Check Pink Line/s",
IF(AND(E56=FALSE,J56&lt;4,J56&gt;0,K56=0),"More entries to come",
IF(AND(E56,TRUE,J56=4,K56=0),"Valid Entries made below"
)))))))))</f>
        <v>Nothing Entered below Yet</v>
      </c>
      <c r="M56" s="640"/>
      <c r="N56" s="1197" t="s">
        <v>565</v>
      </c>
      <c r="O56" s="88" t="b">
        <f>IF(AND(O57=TRUE,O60=TRUE),TRUE,FALSE)</f>
        <v>0</v>
      </c>
      <c r="P56" s="335"/>
      <c r="Q56" s="1197" t="s">
        <v>565</v>
      </c>
      <c r="R56" s="892" t="b">
        <f>IF(AND(R57=TRUE,R58=TRUE,R59=TRUE,R60=TRUE),TRUE,FALSE)</f>
        <v>0</v>
      </c>
      <c r="S56" s="336"/>
      <c r="T56" s="336"/>
      <c r="U56" s="640"/>
      <c r="V56" s="1197" t="s">
        <v>565</v>
      </c>
      <c r="W56" s="703" t="b">
        <f>IF(AND(W57=TRUE,W60=TRUE),TRUE,FALSE)</f>
        <v>0</v>
      </c>
      <c r="X56" s="464"/>
      <c r="Y56" s="336"/>
      <c r="Z56" s="337"/>
      <c r="AA56" s="308"/>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309"/>
    </row>
    <row r="57" spans="1:84" s="27" customFormat="1" ht="39" customHeight="1" thickTop="1" x14ac:dyDescent="0.3">
      <c r="A57" s="28" t="s">
        <v>1110</v>
      </c>
      <c r="B57" s="1694"/>
      <c r="C57" s="1702" t="s">
        <v>1001</v>
      </c>
      <c r="D57" s="1035" t="s">
        <v>3</v>
      </c>
      <c r="E57" s="838" t="b">
        <f>IF(D57="Compliant",TRUE,FALSE)</f>
        <v>0</v>
      </c>
      <c r="F57" s="390"/>
      <c r="G57" s="1566" t="str">
        <f>IF(I57&lt;&gt;"", "Not Blank", "")</f>
        <v/>
      </c>
      <c r="H57" s="1567"/>
      <c r="I57" s="42"/>
      <c r="J57" s="391" t="str">
        <f>IF(L57&lt;&gt;"", "Not Blank", "")</f>
        <v/>
      </c>
      <c r="K57" s="391"/>
      <c r="L57" s="144"/>
      <c r="M57" s="144"/>
      <c r="N57" s="4414" t="s">
        <v>3</v>
      </c>
      <c r="O57" s="4519" t="b">
        <f>IF(OR(N57="Compliant",N57="FE with work-a-round",N57="Functionally Equivalent"),TRUE,FALSE)</f>
        <v>0</v>
      </c>
      <c r="P57" s="834"/>
      <c r="Q57" s="1143" t="s">
        <v>3</v>
      </c>
      <c r="R57" s="1444" t="b">
        <f>IF(OR(Q57="Compliant",Q57="FE with work-a-round",Q57="Functionally Equivalent"),TRUE,FALSE)</f>
        <v>0</v>
      </c>
      <c r="S57" s="42"/>
      <c r="T57" s="42"/>
      <c r="U57" s="144"/>
      <c r="V57" s="4415" t="s">
        <v>3</v>
      </c>
      <c r="W57" s="4418" t="b">
        <f>IF(OR(V57="Compliant",V57="FE with work-a-round",V57="Functionally Equivalent",V57="Not Required/Applicable"),TRUE,FALSE)</f>
        <v>0</v>
      </c>
      <c r="X57" s="41"/>
      <c r="Y57" s="705"/>
      <c r="Z57" s="136"/>
      <c r="AA57" s="65"/>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40"/>
    </row>
    <row r="58" spans="1:84" s="38" customFormat="1" ht="57.65" customHeight="1" x14ac:dyDescent="0.3">
      <c r="A58" s="28"/>
      <c r="B58" s="1679"/>
      <c r="C58" s="1686" t="s">
        <v>1565</v>
      </c>
      <c r="D58" s="699" t="s">
        <v>3</v>
      </c>
      <c r="E58" s="594" t="b">
        <f>IF(D58="Compliant",TRUE,FALSE)</f>
        <v>0</v>
      </c>
      <c r="F58" s="361"/>
      <c r="G58" s="1405" t="str">
        <f>IF(I58&lt;&gt;"", "Not Blank", "")</f>
        <v/>
      </c>
      <c r="H58" s="1403"/>
      <c r="I58" s="44"/>
      <c r="J58" s="216" t="str">
        <f>IF(L58&lt;&gt;"", "Not Blank", "")</f>
        <v/>
      </c>
      <c r="K58" s="216"/>
      <c r="L58" s="68"/>
      <c r="M58" s="68"/>
      <c r="N58" s="4415"/>
      <c r="O58" s="4519"/>
      <c r="P58" s="121"/>
      <c r="Q58" s="847" t="s">
        <v>3</v>
      </c>
      <c r="R58" s="737" t="b">
        <f>IF(OR(Q58="Compliant",Q58="FE with work-a-round",Q58="Functionally Equivalent"),TRUE,FALSE)</f>
        <v>0</v>
      </c>
      <c r="S58" s="44"/>
      <c r="T58" s="44"/>
      <c r="U58" s="68"/>
      <c r="V58" s="4415"/>
      <c r="W58" s="4418"/>
      <c r="X58" s="67"/>
      <c r="Y58" s="44"/>
      <c r="Z58" s="127"/>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1579" customFormat="1" ht="220.5" customHeight="1" thickBot="1" x14ac:dyDescent="0.35">
      <c r="A59" s="1383" t="s">
        <v>1107</v>
      </c>
      <c r="B59" s="1679"/>
      <c r="C59" s="1703" t="s">
        <v>1821</v>
      </c>
      <c r="D59" s="700" t="s">
        <v>3</v>
      </c>
      <c r="E59" s="1034" t="b">
        <f>IF(D59="Compliant",TRUE,FALSE)</f>
        <v>0</v>
      </c>
      <c r="F59" s="408"/>
      <c r="G59" s="409" t="str">
        <f>IF(I59&lt;&gt;"", "Not Blank", "")</f>
        <v/>
      </c>
      <c r="H59" s="160"/>
      <c r="I59" s="160"/>
      <c r="J59" s="188" t="str">
        <f>IF(L59&lt;&gt;"", "Not Blank", "")</f>
        <v/>
      </c>
      <c r="K59" s="124"/>
      <c r="L59" s="246"/>
      <c r="M59" s="246"/>
      <c r="N59" s="4416"/>
      <c r="O59" s="4520"/>
      <c r="P59" s="1574"/>
      <c r="Q59" s="848" t="s">
        <v>3</v>
      </c>
      <c r="R59" s="738" t="b">
        <f>IF(OR(Q59="Compliant",Q59="FE with work-a-round",Q59="Functionally Equivalent"),TRUE,FALSE)</f>
        <v>0</v>
      </c>
      <c r="S59" s="1575"/>
      <c r="T59" s="1575"/>
      <c r="U59" s="1575"/>
      <c r="V59" s="4416"/>
      <c r="W59" s="4419"/>
      <c r="X59" s="1576"/>
      <c r="Y59" s="1577"/>
      <c r="Z59" s="1578"/>
    </row>
    <row r="60" spans="1:84" s="1453" customFormat="1" ht="38.5" customHeight="1" thickTop="1" thickBot="1" x14ac:dyDescent="0.35">
      <c r="A60" s="1419"/>
      <c r="B60" s="1693" t="s">
        <v>1383</v>
      </c>
      <c r="C60" s="2399" t="s">
        <v>1186</v>
      </c>
      <c r="D60" s="1499" t="s">
        <v>565</v>
      </c>
      <c r="E60" s="1688" t="b">
        <f>IF(AND(E61=TRUE,E62=TRUE,E63=TRUE,E64=TRUE,E65=TRUE,E66=TRUE,E67=TRUE,E68=TRUE),TRUE,FALSE)</f>
        <v>0</v>
      </c>
      <c r="F60" s="158">
        <f>COUNTIF(E61:E68,TRUE)</f>
        <v>0</v>
      </c>
      <c r="G60" s="378">
        <f>COUNTIFS(E61:E68,TRUE,G61:G68,"Not Blank")</f>
        <v>0</v>
      </c>
      <c r="H60" s="378">
        <f>COUNTIFS(E61:E68,FALSE,G61:G68,"Not Blank")</f>
        <v>0</v>
      </c>
      <c r="I60" s="1497" t="str">
        <f xml:space="preserve">
IF(F60&gt;8,"Too Many Entries - Check Red Lines",
IF(AND(E60=FALSE,G60=0,H60=0,E60=TRUE),"Nothing Required Below",
IF(G60&lt;F60,"Valid Entry required below - Check Amber Line/s",
IF(AND(E60=FALSE,G60=0,H60=0),"Nothing Entered below Yet",
IF(G60&lt;F60,"Valid Entry required below - Check Amber Line/s",
IF(AND(G60=0,H60&gt;0),"**Non-Valid Entry/ies below - Check Yellow Line/s",
IF(AND(G60&gt;0,H60&gt;0),"**Valid and Non-Valid Entries made below - Check Yellow Line/s",
IF(AND(E60=FALSE,F60&lt;8),"Not all requirements addressed below - Check Pink Line/s",
IF(AND(E60=FALSE,G60&lt;8,G60&gt;0,H60=0),"More entries to come",
IF(AND(E60,TRUE,G60=8,H60=0),"Valid Entries made below"
))))))))))</f>
        <v>Nothing Entered below Yet</v>
      </c>
      <c r="J60" s="1498">
        <f>COUNTIFS(E61:E68,TRUE,J61:J68,"Not Blank")</f>
        <v>0</v>
      </c>
      <c r="K60" s="1498">
        <f>COUNTIFS(E61:E68,FALSE,J61:J68,"Not Blank")</f>
        <v>0</v>
      </c>
      <c r="L60" s="1809" t="str">
        <f xml:space="preserve">
IF(J60&gt;8,"Too Many Entries - Check Red Lines",
IF(AND(E60=FALSE,J60=0,K60=0,E60=TRUE),"Nothing Required Below",
IF(J60&lt;F60,"Valid Entry required below - Check Amber Line/s",
IF(AND(E60=FALSE,J60=0,K60=0),"Nothing Entered below Yet",
IF(AND(J60=0,K60&gt;0),"**Non-Valid Entry/ies below - Check Yellow Line/s",
IF(AND(J60&gt;0,K60&gt;0),"**Valid and Non-Valid Entries made below - Check Yellow Line/s",
IF(AND(E60=FALSE,J60&lt;8),"Not all requirements addressed below - Check Pink Line/s",
IF(AND(E60=FALSE,J60&lt;8,J60&gt;0,K60=0),"More entries to come",
IF(AND(E60,TRUE,J60=8,K60=0),"Valid Entries made below"
)))))))))</f>
        <v>Nothing Entered below Yet</v>
      </c>
      <c r="M60" s="134"/>
      <c r="N60" s="4414" t="s">
        <v>3</v>
      </c>
      <c r="O60" s="4518" t="b">
        <f>IF(OR(N60="Compliant",N60="FE with work-a-round",N60="Functionally Equivalent"),TRUE,FALSE)</f>
        <v>0</v>
      </c>
      <c r="P60" s="2402"/>
      <c r="Q60" s="1197" t="s">
        <v>565</v>
      </c>
      <c r="R60" s="1373" t="b">
        <f>IF(AND(R61=TRUE,R65=TRUE,R84=TRUE),TRUE,FALSE)</f>
        <v>0</v>
      </c>
      <c r="S60" s="1452"/>
      <c r="T60" s="1452"/>
      <c r="U60" s="1580"/>
      <c r="V60" s="4414" t="s">
        <v>3</v>
      </c>
      <c r="W60" s="4417" t="b">
        <f>IF(OR(V60="Compliant",V60="FE with work-a-round",V60="Functionally Equivalent",V60="Not Required/Applicable"),TRUE,FALSE)</f>
        <v>0</v>
      </c>
      <c r="X60" s="1581"/>
      <c r="Y60" s="1452"/>
      <c r="Z60" s="1450"/>
    </row>
    <row r="61" spans="1:84" s="1453" customFormat="1" ht="30" customHeight="1" thickTop="1" x14ac:dyDescent="0.3">
      <c r="A61" s="1419"/>
      <c r="B61" s="1694"/>
      <c r="C61" s="2400" t="s">
        <v>91</v>
      </c>
      <c r="D61" s="2096" t="s">
        <v>3</v>
      </c>
      <c r="E61" s="838" t="b">
        <f t="shared" ref="E61:E68" si="0">IF(D61="Compliant",TRUE,FALSE)</f>
        <v>0</v>
      </c>
      <c r="F61" s="390"/>
      <c r="G61" s="1567" t="str">
        <f t="shared" ref="G61:G68" si="1">IF(I61&lt;&gt;"", "Not Blank", "")</f>
        <v/>
      </c>
      <c r="H61" s="1567"/>
      <c r="I61" s="391"/>
      <c r="J61" s="391"/>
      <c r="K61" s="391"/>
      <c r="L61" s="2387"/>
      <c r="M61" s="3467"/>
      <c r="N61" s="4415"/>
      <c r="O61" s="4519"/>
      <c r="P61" s="2403"/>
      <c r="Q61" s="1142" t="s">
        <v>3</v>
      </c>
      <c r="R61" s="814" t="b">
        <f t="shared" ref="R61:R68" si="2">IF(OR(Q61="Compliant",Q61="FE with work-a-round",Q61="Functionally Equivalent"),TRUE,FALSE)</f>
        <v>0</v>
      </c>
      <c r="S61" s="1455"/>
      <c r="T61" s="1455"/>
      <c r="U61" s="1583"/>
      <c r="V61" s="4415"/>
      <c r="W61" s="4418"/>
      <c r="X61" s="1584"/>
      <c r="Y61" s="1455"/>
      <c r="Z61" s="1454"/>
    </row>
    <row r="62" spans="1:84" s="1453" customFormat="1" ht="30" customHeight="1" x14ac:dyDescent="0.3">
      <c r="A62" s="1419"/>
      <c r="B62" s="1679"/>
      <c r="C62" s="1704" t="s">
        <v>92</v>
      </c>
      <c r="D62" s="699" t="s">
        <v>3</v>
      </c>
      <c r="E62" s="838" t="b">
        <f t="shared" si="0"/>
        <v>0</v>
      </c>
      <c r="F62" s="390"/>
      <c r="G62" s="1567" t="str">
        <f t="shared" si="1"/>
        <v/>
      </c>
      <c r="H62" s="1567"/>
      <c r="I62" s="391"/>
      <c r="J62" s="391"/>
      <c r="K62" s="391"/>
      <c r="L62" s="2387"/>
      <c r="M62" s="3468"/>
      <c r="N62" s="4415"/>
      <c r="O62" s="4519"/>
      <c r="P62" s="1582"/>
      <c r="Q62" s="847" t="s">
        <v>3</v>
      </c>
      <c r="R62" s="737" t="b">
        <f t="shared" si="2"/>
        <v>0</v>
      </c>
      <c r="S62" s="1455"/>
      <c r="T62" s="1455"/>
      <c r="U62" s="1583"/>
      <c r="V62" s="4415"/>
      <c r="W62" s="4418"/>
      <c r="X62" s="1584"/>
      <c r="Y62" s="1455"/>
      <c r="Z62" s="1454"/>
    </row>
    <row r="63" spans="1:84" s="1453" customFormat="1" ht="30" customHeight="1" x14ac:dyDescent="0.3">
      <c r="A63" s="1419"/>
      <c r="B63" s="1679"/>
      <c r="C63" s="1704" t="s">
        <v>93</v>
      </c>
      <c r="D63" s="699" t="s">
        <v>3</v>
      </c>
      <c r="E63" s="838" t="b">
        <f t="shared" si="0"/>
        <v>0</v>
      </c>
      <c r="F63" s="390"/>
      <c r="G63" s="1567" t="str">
        <f t="shared" si="1"/>
        <v/>
      </c>
      <c r="H63" s="1567"/>
      <c r="I63" s="391"/>
      <c r="J63" s="391"/>
      <c r="K63" s="391"/>
      <c r="L63" s="2387"/>
      <c r="M63" s="3468"/>
      <c r="N63" s="4415"/>
      <c r="O63" s="4519"/>
      <c r="P63" s="1582"/>
      <c r="Q63" s="847" t="s">
        <v>3</v>
      </c>
      <c r="R63" s="737" t="b">
        <f t="shared" si="2"/>
        <v>0</v>
      </c>
      <c r="S63" s="1455"/>
      <c r="T63" s="1455"/>
      <c r="U63" s="1583"/>
      <c r="V63" s="4415"/>
      <c r="W63" s="4418"/>
      <c r="X63" s="1584"/>
      <c r="Y63" s="1455"/>
      <c r="Z63" s="1454"/>
    </row>
    <row r="64" spans="1:84" s="1453" customFormat="1" ht="30" customHeight="1" x14ac:dyDescent="0.3">
      <c r="A64" s="1419"/>
      <c r="B64" s="1679"/>
      <c r="C64" s="1704" t="s">
        <v>94</v>
      </c>
      <c r="D64" s="699" t="s">
        <v>3</v>
      </c>
      <c r="E64" s="838" t="b">
        <f t="shared" si="0"/>
        <v>0</v>
      </c>
      <c r="F64" s="390"/>
      <c r="G64" s="1567" t="str">
        <f t="shared" si="1"/>
        <v/>
      </c>
      <c r="H64" s="1567"/>
      <c r="I64" s="391"/>
      <c r="J64" s="391"/>
      <c r="K64" s="391"/>
      <c r="L64" s="2387"/>
      <c r="M64" s="3468"/>
      <c r="N64" s="4415"/>
      <c r="O64" s="4519"/>
      <c r="P64" s="1582"/>
      <c r="Q64" s="847" t="s">
        <v>3</v>
      </c>
      <c r="R64" s="737" t="b">
        <f t="shared" si="2"/>
        <v>0</v>
      </c>
      <c r="S64" s="1455"/>
      <c r="T64" s="1455"/>
      <c r="U64" s="1583"/>
      <c r="V64" s="4415"/>
      <c r="W64" s="4418"/>
      <c r="X64" s="1584"/>
      <c r="Y64" s="1455"/>
      <c r="Z64" s="1454"/>
    </row>
    <row r="65" spans="1:84" s="1453" customFormat="1" ht="72.5" x14ac:dyDescent="0.3">
      <c r="A65" s="1419"/>
      <c r="B65" s="1679"/>
      <c r="C65" s="1704" t="s">
        <v>1241</v>
      </c>
      <c r="D65" s="699" t="s">
        <v>3</v>
      </c>
      <c r="E65" s="838" t="b">
        <f t="shared" si="0"/>
        <v>0</v>
      </c>
      <c r="F65" s="390"/>
      <c r="G65" s="1567" t="str">
        <f t="shared" si="1"/>
        <v/>
      </c>
      <c r="H65" s="1567"/>
      <c r="I65" s="391"/>
      <c r="J65" s="391"/>
      <c r="K65" s="391"/>
      <c r="L65" s="2387"/>
      <c r="M65" s="3468"/>
      <c r="N65" s="4415"/>
      <c r="O65" s="4519"/>
      <c r="P65" s="1582"/>
      <c r="Q65" s="847" t="s">
        <v>3</v>
      </c>
      <c r="R65" s="737" t="b">
        <f t="shared" si="2"/>
        <v>0</v>
      </c>
      <c r="S65" s="1455"/>
      <c r="T65" s="1455"/>
      <c r="U65" s="1583"/>
      <c r="V65" s="4415"/>
      <c r="W65" s="4418"/>
      <c r="X65" s="1584"/>
      <c r="Y65" s="1455"/>
      <c r="Z65" s="1454"/>
    </row>
    <row r="66" spans="1:84" s="1462" customFormat="1" ht="43.5" x14ac:dyDescent="0.3">
      <c r="A66" s="1456"/>
      <c r="B66" s="1679"/>
      <c r="C66" s="1705" t="s">
        <v>134</v>
      </c>
      <c r="D66" s="699" t="s">
        <v>3</v>
      </c>
      <c r="E66" s="1585" t="b">
        <f t="shared" si="0"/>
        <v>0</v>
      </c>
      <c r="F66" s="1458"/>
      <c r="G66" s="1458" t="str">
        <f t="shared" si="1"/>
        <v/>
      </c>
      <c r="H66" s="1458"/>
      <c r="I66" s="3472"/>
      <c r="J66" s="3472"/>
      <c r="K66" s="3472"/>
      <c r="L66" s="3473"/>
      <c r="M66" s="3474"/>
      <c r="N66" s="4415"/>
      <c r="O66" s="4519"/>
      <c r="P66" s="1587"/>
      <c r="Q66" s="847" t="s">
        <v>3</v>
      </c>
      <c r="R66" s="737" t="b">
        <f t="shared" si="2"/>
        <v>0</v>
      </c>
      <c r="S66" s="1459"/>
      <c r="T66" s="1459"/>
      <c r="U66" s="1586"/>
      <c r="V66" s="4415"/>
      <c r="W66" s="4418"/>
      <c r="X66" s="1588"/>
      <c r="Y66" s="1459"/>
      <c r="Z66" s="1461"/>
    </row>
    <row r="67" spans="1:84" s="1419" customFormat="1" ht="35.5" customHeight="1" x14ac:dyDescent="0.3">
      <c r="B67" s="1679"/>
      <c r="C67" s="1705" t="s">
        <v>141</v>
      </c>
      <c r="D67" s="699" t="s">
        <v>3</v>
      </c>
      <c r="E67" s="1585" t="b">
        <f t="shared" si="0"/>
        <v>0</v>
      </c>
      <c r="F67" s="1458"/>
      <c r="G67" s="1458" t="str">
        <f t="shared" si="1"/>
        <v/>
      </c>
      <c r="H67" s="1458"/>
      <c r="I67" s="3472"/>
      <c r="J67" s="3472"/>
      <c r="K67" s="3472"/>
      <c r="L67" s="3473"/>
      <c r="M67" s="3474"/>
      <c r="N67" s="4415"/>
      <c r="O67" s="4519"/>
      <c r="P67" s="1457"/>
      <c r="Q67" s="847" t="s">
        <v>3</v>
      </c>
      <c r="R67" s="737" t="b">
        <f t="shared" si="2"/>
        <v>0</v>
      </c>
      <c r="S67" s="1458"/>
      <c r="T67" s="1458"/>
      <c r="U67" s="1589"/>
      <c r="V67" s="4415"/>
      <c r="W67" s="4418"/>
      <c r="X67" s="1585"/>
      <c r="Y67" s="1458"/>
      <c r="Z67" s="1463"/>
    </row>
    <row r="68" spans="1:84" s="1419" customFormat="1" ht="31" customHeight="1" thickBot="1" x14ac:dyDescent="0.35">
      <c r="B68" s="1706"/>
      <c r="C68" s="1707" t="s">
        <v>142</v>
      </c>
      <c r="D68" s="700" t="s">
        <v>3</v>
      </c>
      <c r="E68" s="1590" t="b">
        <f t="shared" si="0"/>
        <v>0</v>
      </c>
      <c r="F68" s="1464"/>
      <c r="G68" s="1464" t="str">
        <f t="shared" si="1"/>
        <v/>
      </c>
      <c r="H68" s="1464"/>
      <c r="I68" s="1466"/>
      <c r="J68" s="3475"/>
      <c r="K68" s="1466"/>
      <c r="L68" s="3476"/>
      <c r="M68" s="3477"/>
      <c r="N68" s="4416"/>
      <c r="O68" s="4520"/>
      <c r="P68" s="1591"/>
      <c r="Q68" s="848" t="s">
        <v>3</v>
      </c>
      <c r="R68" s="738" t="b">
        <f t="shared" si="2"/>
        <v>0</v>
      </c>
      <c r="S68" s="1464"/>
      <c r="T68" s="1464"/>
      <c r="U68" s="1592"/>
      <c r="V68" s="4416"/>
      <c r="W68" s="4419"/>
      <c r="X68" s="1593"/>
      <c r="Y68" s="1464"/>
      <c r="Z68" s="1467"/>
    </row>
    <row r="69" spans="1:84" s="3694" customFormat="1" ht="13.5" thickTop="1" x14ac:dyDescent="0.3">
      <c r="A69" s="3636"/>
      <c r="B69" s="3639"/>
      <c r="G69" s="3662"/>
      <c r="I69" s="3664"/>
      <c r="N69" s="3662"/>
      <c r="O69" s="3662"/>
    </row>
    <row r="70" spans="1:84" s="3650" customFormat="1" ht="18.649999999999999" customHeight="1" x14ac:dyDescent="0.3">
      <c r="A70" s="4482" t="s">
        <v>2042</v>
      </c>
      <c r="B70" s="4483"/>
      <c r="C70" s="4483"/>
      <c r="D70" s="4483"/>
      <c r="E70" s="4483"/>
      <c r="F70" s="4483"/>
      <c r="G70" s="4483"/>
      <c r="H70" s="4483"/>
      <c r="I70" s="4483"/>
      <c r="J70" s="4483"/>
      <c r="K70" s="4483"/>
      <c r="L70" s="4483"/>
      <c r="M70" s="4483"/>
      <c r="N70" s="4483"/>
      <c r="O70" s="3669"/>
      <c r="P70" s="3683"/>
      <c r="Q70" s="3683"/>
      <c r="R70" s="3683"/>
      <c r="S70" s="3684"/>
      <c r="T70" s="3685"/>
      <c r="U70" s="3685"/>
      <c r="V70" s="3669"/>
      <c r="W70" s="3669"/>
      <c r="X70" s="3683"/>
      <c r="Y70" s="3684"/>
      <c r="Z70" s="3685"/>
    </row>
    <row r="71" spans="1:84" s="3650" customFormat="1" ht="18.649999999999999" customHeight="1" thickBot="1" x14ac:dyDescent="0.35">
      <c r="A71" s="3755"/>
      <c r="B71" s="3755"/>
      <c r="C71" s="3755"/>
      <c r="D71" s="3755"/>
      <c r="E71" s="3755"/>
      <c r="F71" s="3755"/>
      <c r="G71" s="3755"/>
      <c r="H71" s="3755"/>
      <c r="I71" s="3755"/>
      <c r="J71" s="3755"/>
      <c r="K71" s="3755"/>
      <c r="L71" s="3755"/>
      <c r="M71" s="3755"/>
      <c r="N71" s="3755"/>
      <c r="O71" s="3755"/>
      <c r="P71" s="3755"/>
      <c r="Q71" s="3755"/>
      <c r="R71" s="3755"/>
      <c r="S71" s="3755"/>
      <c r="T71" s="3755"/>
      <c r="U71" s="3755"/>
      <c r="V71" s="3755"/>
      <c r="W71" s="3755"/>
      <c r="X71" s="3755"/>
      <c r="Y71" s="3755"/>
      <c r="Z71" s="3755"/>
    </row>
    <row r="72" spans="1:84" s="27" customFormat="1" ht="28.5" customHeight="1" thickTop="1" thickBot="1" x14ac:dyDescent="0.35">
      <c r="A72" s="1419"/>
      <c r="B72" s="1693"/>
      <c r="C72" s="1701" t="s">
        <v>1961</v>
      </c>
      <c r="D72" s="1499" t="s">
        <v>565</v>
      </c>
      <c r="E72" s="1710" t="b">
        <f>IF(AND(E73,TRUE,E74,TRUE,E75,TRUE,E76,TRUE,E77,TRUE,E78,TRUE,E79,TRUE),TRUE,FALSE)</f>
        <v>0</v>
      </c>
      <c r="F72" s="1729">
        <f>COUNTIF(E73:E79,TRUE)</f>
        <v>0</v>
      </c>
      <c r="G72" s="1730">
        <f>COUNTIFS(E73:E79,TRUE,G73:G79,"Not Blank")</f>
        <v>0</v>
      </c>
      <c r="H72" s="1731">
        <f>COUNTIFS(E73:E79,FALSE,G73:G79,"Not Blank")</f>
        <v>0</v>
      </c>
      <c r="I72" s="1497" t="str">
        <f xml:space="preserve">
IF(F72&gt;7,"Too Many Entries - Check Red Lines",
IF(AND(E72=FALSE,G72=0,H72=0,E64=TRUE),"Nothing Required Below",
IF(G72&lt;F72,"Valid Entry required below - Check Amber Line/s",
IF(AND(E72=FALSE,G72=0,H72=0),"Nothing Entered below Yet",
IF(G72&lt;F72,"Valid Entry required below - Check Amber Line/s",
IF(AND(G72=0,H72&gt;0),"**Non-Valid Entry/ies below - Check Yellow Line/s",
IF(AND(G72&gt;0,H72&gt;0),"**Valid and Non-Valid Entries made below - Check Yellow Line/s",
IF(AND(E72=FALSE,F72&lt;7),"Not all requirements addressed below - Check Pink Line/s",
IF(AND(E72=FALSE,G72&lt;7,G72&gt;0,H72=0),"More entries to come",
IF(AND(E72,TRUE,G72=7,H72=0),"Valid Entries made below"
))))))))))</f>
        <v>Nothing Entered below Yet</v>
      </c>
      <c r="J72" s="1732">
        <f>COUNTIFS(E73:E79,TRUE,J73:J79,"Not Blank")</f>
        <v>0</v>
      </c>
      <c r="K72" s="1733">
        <f>COUNTIFS(E73:E79,FALSE,J73:J79,"Not Blank")</f>
        <v>0</v>
      </c>
      <c r="L72" s="1497" t="str">
        <f xml:space="preserve">
IF(J72&gt;7,"Too Many Entries - Check Red Lines",
IF(AND(E72=FALSE,J72=0,K72=0,E64=TRUE),"Nothing Required Below",
IF(J72&lt;F72,"Valid Entry required below - Check Amber Line/s",
IF(AND(E72=FALSE,J72=0,K72=0),"Nothing Entered below Yet",
IF(AND(J72=0,K72&gt;0),"**Non-Valid Entry/ies below - Check Yellow Line/s",
IF(AND(J72&gt;0,K72&gt;0),"**Valid and Non-Valid Entries made below - Check Yellow Line/s",
IF(AND(E72=FALSE,J72&lt;7),"Not all requirements addressed below - Check Pink Line/s",
IF(AND(E72=FALSE,J72&lt;7,J72&gt;0,K72=0),"More entries to come",
IF(AND(E72,TRUE,J72=7,K72=0),"Valid Entries made below"
)))))))))</f>
        <v>Nothing Entered below Yet</v>
      </c>
      <c r="M72" s="134"/>
      <c r="N72" s="4414" t="s">
        <v>3</v>
      </c>
      <c r="O72" s="4518" t="b">
        <f>IF(OR(N72="Compliant",N72="FE with work-a-round",N72="Functionally Equivalent"),TRUE,FALSE)</f>
        <v>0</v>
      </c>
      <c r="P72" s="897"/>
      <c r="Q72" s="698" t="s">
        <v>565</v>
      </c>
      <c r="R72" s="1030" t="b">
        <f>IF(AND(R73,TRUE,R74,TRUE,R75,TRUE,R76,TRUE,R77,TRUE,R78,TRUE,R79,TRUE),TRUE,FALSE)</f>
        <v>0</v>
      </c>
      <c r="S72" s="111"/>
      <c r="T72" s="111"/>
      <c r="U72" s="211"/>
      <c r="V72" s="4414" t="s">
        <v>3</v>
      </c>
      <c r="W72" s="4503" t="b">
        <f>IF(OR(V72="Compliant",V72="FE with work-a-round",V72="Functionally Equivalent",V72="Not Required/Applicable"),TRUE,FALSE)</f>
        <v>0</v>
      </c>
      <c r="X72" s="111"/>
      <c r="Y72" s="111"/>
      <c r="Z72" s="120"/>
      <c r="AA72" s="65"/>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40"/>
    </row>
    <row r="73" spans="1:84" s="27" customFormat="1" ht="151" customHeight="1" thickTop="1" x14ac:dyDescent="0.3">
      <c r="A73" s="57" t="s">
        <v>346</v>
      </c>
      <c r="B73" s="1694"/>
      <c r="C73" s="1718" t="s">
        <v>1128</v>
      </c>
      <c r="D73" s="445" t="s">
        <v>3</v>
      </c>
      <c r="E73" s="208" t="b">
        <f t="shared" ref="E73:E80" si="3">IF(D73="Compliant",TRUE,FALSE)</f>
        <v>0</v>
      </c>
      <c r="F73" s="387"/>
      <c r="G73" s="1604" t="str">
        <f t="shared" ref="G73:G80" si="4">IF(I73&lt;&gt;"", "Not Blank", "")</f>
        <v/>
      </c>
      <c r="H73" s="1605"/>
      <c r="I73" s="1612"/>
      <c r="J73" s="192"/>
      <c r="K73" s="193"/>
      <c r="L73" s="28"/>
      <c r="M73" s="128"/>
      <c r="N73" s="4415"/>
      <c r="O73" s="4519"/>
      <c r="P73" s="229"/>
      <c r="Q73" s="1143" t="s">
        <v>3</v>
      </c>
      <c r="R73" s="814" t="b">
        <f t="shared" ref="R73:R80" si="5">IF(OR(Q73="Compliant",Q73="FE with work-a-round",Q73="Functionally Equivalent"),TRUE,FALSE)</f>
        <v>0</v>
      </c>
      <c r="S73" s="44"/>
      <c r="T73" s="44"/>
      <c r="U73" s="68"/>
      <c r="V73" s="4415"/>
      <c r="W73" s="4504"/>
      <c r="X73" s="44"/>
      <c r="Y73" s="44"/>
      <c r="Z73" s="122"/>
      <c r="AA73" s="65"/>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34.5" customHeight="1" x14ac:dyDescent="0.3">
      <c r="A74" s="57" t="s">
        <v>347</v>
      </c>
      <c r="B74" s="1679"/>
      <c r="C74" s="1719" t="s">
        <v>1076</v>
      </c>
      <c r="D74" s="445" t="s">
        <v>3</v>
      </c>
      <c r="E74" s="208" t="b">
        <f t="shared" si="3"/>
        <v>0</v>
      </c>
      <c r="F74" s="387"/>
      <c r="G74" s="1604" t="str">
        <f t="shared" si="4"/>
        <v/>
      </c>
      <c r="H74" s="1605"/>
      <c r="I74" s="1606"/>
      <c r="J74" s="192"/>
      <c r="K74" s="193"/>
      <c r="L74" s="340"/>
      <c r="M74" s="122"/>
      <c r="N74" s="4415"/>
      <c r="O74" s="4519"/>
      <c r="P74" s="121"/>
      <c r="Q74" s="847" t="s">
        <v>3</v>
      </c>
      <c r="R74" s="737" t="b">
        <f t="shared" si="5"/>
        <v>0</v>
      </c>
      <c r="S74" s="44"/>
      <c r="T74" s="44"/>
      <c r="U74" s="68"/>
      <c r="V74" s="4415"/>
      <c r="W74" s="4504"/>
      <c r="X74" s="44"/>
      <c r="Y74" s="44"/>
      <c r="Z74" s="122"/>
      <c r="AA74" s="65"/>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27" customFormat="1" ht="51" customHeight="1" x14ac:dyDescent="0.3">
      <c r="A75" s="57" t="s">
        <v>348</v>
      </c>
      <c r="B75" s="1679"/>
      <c r="C75" s="1719" t="s">
        <v>1077</v>
      </c>
      <c r="D75" s="445" t="s">
        <v>3</v>
      </c>
      <c r="E75" s="208" t="b">
        <f t="shared" si="3"/>
        <v>0</v>
      </c>
      <c r="F75" s="387"/>
      <c r="G75" s="1604" t="str">
        <f t="shared" si="4"/>
        <v/>
      </c>
      <c r="H75" s="1605"/>
      <c r="I75" s="1606"/>
      <c r="J75" s="192"/>
      <c r="K75" s="193"/>
      <c r="L75" s="340"/>
      <c r="M75" s="122"/>
      <c r="N75" s="4415"/>
      <c r="O75" s="4519"/>
      <c r="P75" s="121"/>
      <c r="Q75" s="847" t="s">
        <v>3</v>
      </c>
      <c r="R75" s="737" t="b">
        <f t="shared" si="5"/>
        <v>0</v>
      </c>
      <c r="S75" s="44"/>
      <c r="T75" s="44"/>
      <c r="U75" s="68"/>
      <c r="V75" s="4415"/>
      <c r="W75" s="4504"/>
      <c r="X75" s="44"/>
      <c r="Y75" s="44"/>
      <c r="Z75" s="122"/>
      <c r="AA75" s="65"/>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27" customFormat="1" ht="236.5" customHeight="1" x14ac:dyDescent="0.3">
      <c r="A76" s="57" t="s">
        <v>349</v>
      </c>
      <c r="B76" s="1679"/>
      <c r="C76" s="1719" t="s">
        <v>1078</v>
      </c>
      <c r="D76" s="445" t="s">
        <v>3</v>
      </c>
      <c r="E76" s="208" t="b">
        <f t="shared" si="3"/>
        <v>0</v>
      </c>
      <c r="F76" s="387"/>
      <c r="G76" s="1604" t="str">
        <f t="shared" si="4"/>
        <v/>
      </c>
      <c r="H76" s="1605"/>
      <c r="I76" s="1606"/>
      <c r="J76" s="192"/>
      <c r="K76" s="193"/>
      <c r="L76" s="340"/>
      <c r="M76" s="122"/>
      <c r="N76" s="4415"/>
      <c r="O76" s="4519"/>
      <c r="P76" s="121"/>
      <c r="Q76" s="847" t="s">
        <v>3</v>
      </c>
      <c r="R76" s="737" t="b">
        <f t="shared" si="5"/>
        <v>0</v>
      </c>
      <c r="S76" s="44"/>
      <c r="T76" s="44"/>
      <c r="U76" s="68"/>
      <c r="V76" s="4415"/>
      <c r="W76" s="4504"/>
      <c r="X76" s="44"/>
      <c r="Y76" s="44"/>
      <c r="Z76" s="122"/>
      <c r="AA76" s="65"/>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40"/>
    </row>
    <row r="77" spans="1:84" s="27" customFormat="1" ht="134.5" customHeight="1" x14ac:dyDescent="0.3">
      <c r="A77" s="57" t="s">
        <v>350</v>
      </c>
      <c r="B77" s="1679"/>
      <c r="C77" s="1719" t="s">
        <v>1079</v>
      </c>
      <c r="D77" s="445" t="s">
        <v>3</v>
      </c>
      <c r="E77" s="208" t="b">
        <f t="shared" si="3"/>
        <v>0</v>
      </c>
      <c r="F77" s="387"/>
      <c r="G77" s="1604" t="str">
        <f t="shared" si="4"/>
        <v/>
      </c>
      <c r="H77" s="1605"/>
      <c r="I77" s="1606"/>
      <c r="J77" s="192"/>
      <c r="K77" s="193"/>
      <c r="L77" s="340"/>
      <c r="M77" s="122"/>
      <c r="N77" s="4415"/>
      <c r="O77" s="4519"/>
      <c r="P77" s="121"/>
      <c r="Q77" s="847" t="s">
        <v>3</v>
      </c>
      <c r="R77" s="737" t="b">
        <f t="shared" si="5"/>
        <v>0</v>
      </c>
      <c r="S77" s="44"/>
      <c r="T77" s="44"/>
      <c r="U77" s="68"/>
      <c r="V77" s="4415"/>
      <c r="W77" s="4504"/>
      <c r="X77" s="44"/>
      <c r="Y77" s="44"/>
      <c r="Z77" s="122"/>
      <c r="AA77" s="65"/>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40"/>
    </row>
    <row r="78" spans="1:84" s="27" customFormat="1" ht="147.65" customHeight="1" x14ac:dyDescent="0.3">
      <c r="A78" s="57" t="s">
        <v>351</v>
      </c>
      <c r="B78" s="1679"/>
      <c r="C78" s="1719" t="s">
        <v>1080</v>
      </c>
      <c r="D78" s="445" t="s">
        <v>3</v>
      </c>
      <c r="E78" s="208" t="b">
        <f t="shared" si="3"/>
        <v>0</v>
      </c>
      <c r="F78" s="387"/>
      <c r="G78" s="1604" t="str">
        <f t="shared" si="4"/>
        <v/>
      </c>
      <c r="H78" s="1605"/>
      <c r="I78" s="1606"/>
      <c r="J78" s="192"/>
      <c r="K78" s="193"/>
      <c r="L78" s="340"/>
      <c r="M78" s="122"/>
      <c r="N78" s="4415"/>
      <c r="O78" s="4519"/>
      <c r="P78" s="121"/>
      <c r="Q78" s="847" t="s">
        <v>3</v>
      </c>
      <c r="R78" s="737" t="b">
        <f t="shared" si="5"/>
        <v>0</v>
      </c>
      <c r="S78" s="44"/>
      <c r="T78" s="44"/>
      <c r="U78" s="68"/>
      <c r="V78" s="4415"/>
      <c r="W78" s="4504"/>
      <c r="X78" s="44"/>
      <c r="Y78" s="44"/>
      <c r="Z78" s="122"/>
      <c r="AA78" s="65"/>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40"/>
    </row>
    <row r="79" spans="1:84" s="27" customFormat="1" ht="93" customHeight="1" thickBot="1" x14ac:dyDescent="0.35">
      <c r="A79" s="57" t="s">
        <v>352</v>
      </c>
      <c r="B79" s="1679"/>
      <c r="C79" s="1723" t="s">
        <v>1081</v>
      </c>
      <c r="D79" s="445" t="s">
        <v>3</v>
      </c>
      <c r="E79" s="208" t="b">
        <f t="shared" si="3"/>
        <v>0</v>
      </c>
      <c r="F79" s="387"/>
      <c r="G79" s="1604" t="str">
        <f t="shared" si="4"/>
        <v/>
      </c>
      <c r="H79" s="1605"/>
      <c r="I79" s="1606"/>
      <c r="J79" s="192"/>
      <c r="K79" s="193"/>
      <c r="L79" s="340"/>
      <c r="M79" s="127"/>
      <c r="N79" s="4415"/>
      <c r="O79" s="4519"/>
      <c r="P79" s="895"/>
      <c r="Q79" s="1380" t="s">
        <v>3</v>
      </c>
      <c r="R79" s="1543" t="b">
        <f t="shared" si="5"/>
        <v>0</v>
      </c>
      <c r="S79" s="79"/>
      <c r="T79" s="79"/>
      <c r="U79" s="143"/>
      <c r="V79" s="4415"/>
      <c r="W79" s="4504"/>
      <c r="X79" s="79"/>
      <c r="Y79" s="79"/>
      <c r="Z79" s="127"/>
      <c r="AA79" s="65"/>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40"/>
    </row>
    <row r="80" spans="1:84" s="27" customFormat="1" ht="247.5" customHeight="1" thickTop="1" thickBot="1" x14ac:dyDescent="0.35">
      <c r="A80" s="57" t="s">
        <v>343</v>
      </c>
      <c r="B80" s="1679"/>
      <c r="C80" s="1735" t="s">
        <v>1082</v>
      </c>
      <c r="D80" s="887" t="s">
        <v>3</v>
      </c>
      <c r="E80" s="1031" t="b">
        <f t="shared" si="3"/>
        <v>0</v>
      </c>
      <c r="F80" s="1000"/>
      <c r="G80" s="1618" t="str">
        <f t="shared" si="4"/>
        <v/>
      </c>
      <c r="H80" s="1619"/>
      <c r="I80" s="1620"/>
      <c r="J80" s="1378"/>
      <c r="K80" s="1001"/>
      <c r="L80" s="664"/>
      <c r="M80" s="1024"/>
      <c r="N80" s="781" t="s">
        <v>3</v>
      </c>
      <c r="O80" s="1025" t="b">
        <f>IF(OR(N80="Compliant",N80="FE with work-a-round",N80="Functionally Equivalent"),TRUE,FALSE)</f>
        <v>0</v>
      </c>
      <c r="P80" s="1026"/>
      <c r="Q80" s="781" t="s">
        <v>3</v>
      </c>
      <c r="R80" s="1102" t="b">
        <f t="shared" si="5"/>
        <v>0</v>
      </c>
      <c r="S80" s="1001"/>
      <c r="T80" s="1001"/>
      <c r="U80" s="1027"/>
      <c r="V80" s="781" t="s">
        <v>3</v>
      </c>
      <c r="W80" s="1621" t="b">
        <f>IF(OR(V80="Compliant",V80="FE with work-a-round",V80="Functionally Equivalent",V80="Not Required/Applicable"),TRUE,FALSE)</f>
        <v>0</v>
      </c>
      <c r="X80" s="1001"/>
      <c r="Y80" s="1001"/>
      <c r="Z80" s="1024"/>
      <c r="AA80" s="65"/>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40"/>
    </row>
    <row r="81" spans="1:84" s="3694" customFormat="1" ht="13.5" thickTop="1" x14ac:dyDescent="0.3">
      <c r="A81" s="3636"/>
      <c r="B81" s="3639"/>
      <c r="G81" s="3662"/>
      <c r="I81" s="3664"/>
      <c r="N81" s="3662"/>
      <c r="O81" s="3662"/>
    </row>
    <row r="82" spans="1:84" s="3650" customFormat="1" ht="18.649999999999999" customHeight="1" x14ac:dyDescent="0.3">
      <c r="A82" s="4482" t="s">
        <v>1245</v>
      </c>
      <c r="B82" s="4483"/>
      <c r="C82" s="4483"/>
      <c r="D82" s="4483"/>
      <c r="E82" s="4483"/>
      <c r="F82" s="4483"/>
      <c r="G82" s="4483"/>
      <c r="H82" s="4483"/>
      <c r="I82" s="4483"/>
      <c r="J82" s="4483"/>
      <c r="K82" s="4483"/>
      <c r="L82" s="4483"/>
      <c r="M82" s="4483"/>
      <c r="N82" s="4483"/>
      <c r="O82" s="3669"/>
      <c r="P82" s="3683"/>
      <c r="Q82" s="3683"/>
      <c r="R82" s="3683"/>
      <c r="S82" s="3684"/>
      <c r="T82" s="3685"/>
      <c r="U82" s="3685"/>
      <c r="V82" s="3669"/>
      <c r="W82" s="3669"/>
      <c r="X82" s="3683"/>
      <c r="Y82" s="3684"/>
      <c r="Z82" s="3685"/>
    </row>
    <row r="83" spans="1:84" s="3694" customFormat="1" ht="13.5" thickBot="1" x14ac:dyDescent="0.35">
      <c r="G83" s="3662"/>
      <c r="I83" s="3664"/>
      <c r="N83" s="3662"/>
      <c r="O83" s="3662"/>
    </row>
    <row r="84" spans="1:84" s="310" customFormat="1" ht="30" thickTop="1" thickBot="1" x14ac:dyDescent="0.35">
      <c r="A84" s="204" t="s">
        <v>342</v>
      </c>
      <c r="B84" s="1815" t="s">
        <v>1544</v>
      </c>
      <c r="C84" s="1701" t="s">
        <v>1543</v>
      </c>
      <c r="D84" s="1499" t="s">
        <v>565</v>
      </c>
      <c r="E84" s="975" t="b">
        <f>IF(AND(E85=TRUE,E86=TRUE,E87=TRUE),TRUE,FALSE)</f>
        <v>0</v>
      </c>
      <c r="F84" s="461">
        <f>COUNTIF(E85:E86,TRUE)+SUM(F87)</f>
        <v>0</v>
      </c>
      <c r="G84" s="1676">
        <f>COUNTIFS(E85:E112,TRUE,G85:G112,"Not Blank")</f>
        <v>0</v>
      </c>
      <c r="H84" s="461">
        <f>COUNTIFS(E85:E112,FALSE,G85:G112,"Not Blank")</f>
        <v>0</v>
      </c>
      <c r="I84" s="1642" t="str">
        <f xml:space="preserve">
IF(F84&gt;29,"Too Many Entries - Check Red Lines",
IF(AND(F84&gt;0,F84&lt;29,F21&gt;0),"This Group Not Required - Check Red Lines",
IF(AND(F84&gt;0,F84=29,F21&gt;1),"This Group Not Required - Check Red Lines",
IF(AND(E84=FALSE,G84=0,H84=0,E21=TRUE),"Nothing Required Below",
IF(G84&lt;F84,"Valid Entry required below - Check Amber Line/s",
IF(AND(E84=FALSE,G84=0,H84=0),"Nothing Entered below Yet",
IF(G84&lt;F84,"Valid Entry required below - Check Amber Line/s",
IF(AND(G84=0,H84&gt;0),"**Non-Valid Entry/ies below - Check Yellow Line/s",
IF(AND(G84&gt;0,H84&gt;0),"**Valid and Non-Valid Entries made below - Check Yellow Line/s",
IF(AND(E84=FALSE,F84&lt;29),"Not all requirements addressed below - Check Pink Line/s",
IF(AND(E84=FALSE,G84&lt;29,G84&gt;0,H84=0),"More entries to come",
IF(AND(E84,TRUE,G84=29,H84=0),"Valid Entries made below"
))))))))))))</f>
        <v>Nothing Entered below Yet</v>
      </c>
      <c r="J84" s="1643">
        <f>COUNTIFS(E85:E112,TRUE,J85:J112,"Not Blank")</f>
        <v>0</v>
      </c>
      <c r="K84" s="1643">
        <f>COUNTIFS(E85:E112,FALSE,J85:J112,"Not Blank")</f>
        <v>0</v>
      </c>
      <c r="L84" s="1709" t="str">
        <f xml:space="preserve">
IF(J84&gt;29,"Too Many Entries - Check Red Lines",
IF(AND(E84=FALSE,J84=0,K84=0,E21=TRUE),"Nothing Required Below",
IF(J84&lt;F84,"Valid Entry required below - Check Amber Line/s",
IF(AND(E84=FALSE,J84=0,K84=0),"Nothing Entered below Yet",
IF(AND(J84=0,K84&gt;0),"**Non-Valid Entry/ies below - Check Yellow Line/s",
IF(AND(J84&gt;0,K84&gt;0),"**Valid and Non-Valid Entries made below - Check Yellow Line/s",
IF(AND(E84=FALSE,J84&lt;29),"Not all requirements addressed below - Check Pink Line/s",
IF(AND(E84=FALSE,J84&lt;29,J84&gt;0,K84=0),"More entries to come",
IF(AND(E84,TRUE,J84=29,K84=0),"Valid Entries made below"
)))))))))</f>
        <v>Nothing Entered below Yet</v>
      </c>
      <c r="M84" s="337"/>
      <c r="N84" s="1197" t="s">
        <v>565</v>
      </c>
      <c r="O84" s="88" t="b">
        <f>IF(AND(O85=TRUE,O87=TRUE),TRUE,FALSE)</f>
        <v>0</v>
      </c>
      <c r="P84" s="335"/>
      <c r="Q84" s="1197" t="s">
        <v>565</v>
      </c>
      <c r="R84" s="892" t="b">
        <f>IF(AND(R85=TRUE,R86=TRUE,R87=TRUE),TRUE,FALSE)</f>
        <v>0</v>
      </c>
      <c r="S84" s="336"/>
      <c r="T84" s="336"/>
      <c r="U84" s="336"/>
      <c r="V84" s="1197" t="s">
        <v>565</v>
      </c>
      <c r="W84" s="821" t="b">
        <f>IF(AND(W85=TRUE,W87=TRUE),TRUE,FALSE)</f>
        <v>0</v>
      </c>
      <c r="X84" s="336"/>
      <c r="Y84" s="336"/>
      <c r="Z84" s="337"/>
      <c r="AA84" s="308"/>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309"/>
    </row>
    <row r="85" spans="1:84" s="27" customFormat="1" ht="101.4" customHeight="1" thickTop="1" x14ac:dyDescent="0.3">
      <c r="A85" s="57" t="s">
        <v>1111</v>
      </c>
      <c r="B85" s="1661"/>
      <c r="C85" s="1718" t="s">
        <v>1063</v>
      </c>
      <c r="D85" s="1635" t="s">
        <v>3</v>
      </c>
      <c r="E85" s="1625" t="b">
        <f>IF(D85="Compliant",TRUE,FALSE)</f>
        <v>0</v>
      </c>
      <c r="F85" s="1626"/>
      <c r="G85" s="1636" t="str">
        <f>IF(I85&lt;&gt;"", "Not Blank", "")</f>
        <v/>
      </c>
      <c r="H85" s="1637"/>
      <c r="I85" s="1638"/>
      <c r="J85" s="209" t="str">
        <f>IF(L85&lt;&gt;"", "Not Blank", "")</f>
        <v/>
      </c>
      <c r="K85" s="1627"/>
      <c r="L85" s="209"/>
      <c r="M85" s="128"/>
      <c r="N85" s="4414" t="s">
        <v>3</v>
      </c>
      <c r="O85" s="4518" t="b">
        <f>IF(OR(N85="Compliant",N85="FE with work-a-round",N85="Functionally Equivalent"),TRUE,FALSE)</f>
        <v>0</v>
      </c>
      <c r="P85" s="834"/>
      <c r="Q85" s="1142" t="s">
        <v>3</v>
      </c>
      <c r="R85" s="1444" t="b">
        <f>IF(OR(Q85="Compliant",Q85="FE with work-a-round",Q85="Functionally Equivalent"),TRUE,FALSE)</f>
        <v>0</v>
      </c>
      <c r="S85" s="42"/>
      <c r="T85" s="42"/>
      <c r="U85" s="144"/>
      <c r="V85" s="4414" t="s">
        <v>3</v>
      </c>
      <c r="W85" s="4509" t="b">
        <f>IF(OR(V85="Compliant",V85="FE with work-a-round",V85="Functionally Equivalent",V85="Not Required/Applicable"),TRUE,FALSE)</f>
        <v>0</v>
      </c>
      <c r="X85" s="42"/>
      <c r="Y85" s="42"/>
      <c r="Z85" s="128"/>
      <c r="AA85" s="65"/>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40"/>
    </row>
    <row r="86" spans="1:84" s="27" customFormat="1" ht="144.65" customHeight="1" thickBot="1" x14ac:dyDescent="0.35">
      <c r="A86" s="57" t="s">
        <v>356</v>
      </c>
      <c r="B86" s="1661"/>
      <c r="C86" s="1719" t="s">
        <v>1064</v>
      </c>
      <c r="D86" s="886" t="s">
        <v>3</v>
      </c>
      <c r="E86" s="208" t="b">
        <f>IF(D86="Compliant",TRUE,FALSE)</f>
        <v>0</v>
      </c>
      <c r="F86" s="387"/>
      <c r="G86" s="1594" t="str">
        <f>IF(I86&lt;&gt;"", "Not Blank", "")</f>
        <v/>
      </c>
      <c r="H86" s="1595"/>
      <c r="I86" s="1596"/>
      <c r="J86" s="596" t="str">
        <f>IF(L86&lt;&gt;"", "Not Blank", "")</f>
        <v/>
      </c>
      <c r="K86" s="193"/>
      <c r="L86" s="28"/>
      <c r="M86" s="127"/>
      <c r="N86" s="4416"/>
      <c r="O86" s="4520"/>
      <c r="P86" s="895"/>
      <c r="Q86" s="1380" t="s">
        <v>3</v>
      </c>
      <c r="R86" s="1543" t="b">
        <f>IF(OR(Q86="Compliant",Q86="FE with work-a-round",Q86="Functionally Equivalent"),TRUE,FALSE)</f>
        <v>0</v>
      </c>
      <c r="S86" s="79"/>
      <c r="T86" s="79"/>
      <c r="U86" s="143"/>
      <c r="V86" s="4416"/>
      <c r="W86" s="4511"/>
      <c r="X86" s="79"/>
      <c r="Y86" s="79"/>
      <c r="Z86" s="127"/>
      <c r="AA86" s="65"/>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40"/>
    </row>
    <row r="87" spans="1:84" s="27" customFormat="1" ht="44.5" thickTop="1" thickBot="1" x14ac:dyDescent="0.35">
      <c r="A87" s="28" t="s">
        <v>342</v>
      </c>
      <c r="B87" s="1661"/>
      <c r="C87" s="1697" t="s">
        <v>1132</v>
      </c>
      <c r="D87" s="1499" t="s">
        <v>565</v>
      </c>
      <c r="E87" s="1710" t="b">
        <f>IF(AND(E88=TRUE,E91=TRUE,E97=TRUE,E104=TRUE),TRUE,FALSE)</f>
        <v>0</v>
      </c>
      <c r="F87" s="1711">
        <f>SUM(F88,F91,F97,F104)</f>
        <v>0</v>
      </c>
      <c r="G87" s="1712">
        <f>COUNTIFS(E88:E112,TRUE,G88:G112,"Not Blank")</f>
        <v>0</v>
      </c>
      <c r="H87" s="689">
        <f>COUNTIFS(E88:E112,FALSE,G88:G112,"Not Blank")</f>
        <v>0</v>
      </c>
      <c r="I87" s="1514" t="str">
        <f xml:space="preserve">
IF(F87&gt;28,"Too Many Entries - Check Red Lines",
IF(AND(E87=FALSE,G87=0,H87=0,E87=TRUE),"Nothing Required Below",
IF(G87&lt;F87,"Valid Entry required below - Check Amber Line/s",
IF(AND(E87=FALSE,G87=0,H87=0),"Nothing Entered below Yet",
IF(G87&lt;F87,"Valid Entry required below - Check Amber Line/s",
IF(AND(G87=0,H87&gt;0),"**Non-Valid Entry/ies below - Check Yellow Line/s",
IF(AND(G87&gt;0,H87&gt;0),"**Valid and Non-Valid Entries made below - Check Yellow Line/s",
IF(AND(E87=FALSE,F87&lt;28),"Not all requirements addressed below - Check Pink Line/s",
IF(AND(E87=FALSE,G87&lt;28,G87&gt;0,H87=0),"More entries to come",
IF(AND(E87,TRUE,G87=28,H87=0),"Valid Entries made below"
))))))))))</f>
        <v>Nothing Entered below Yet</v>
      </c>
      <c r="J87" s="1515">
        <f>COUNTIFS(E88:E96,TRUE,J88:J96,"Not Blank")</f>
        <v>0</v>
      </c>
      <c r="K87" s="1515">
        <f>COUNTIFS(E88:E96,FALSE,J88:J96,"Not Blank")</f>
        <v>0</v>
      </c>
      <c r="L87" s="1809" t="str">
        <f xml:space="preserve">
IF(J87&gt;28,"Too Many Entries - Check Red Lines",
IF(AND(E87=FALSE,J87=0,K87=0,E87=TRUE),"Nothing Required Below",
IF(J87&lt;F87,"Valid Entry required below - Check Amber Line/s",
IF(AND(E87=FALSE,J87=0,K87=0),"Nothing Entered below Yet",
IF(AND(J87=0,K87&gt;0),"**Non-Valid Entry/ies below - Check Yellow Line/s",
IF(AND(J87&gt;0,K87&gt;0),"**Valid and Non-Valid Entries made below - Check Yellow Line/s",
IF(AND(E87=FALSE,J87&lt;28),"Not all requirements addressed below - Check Pink Line/s",
IF(AND(E87=FALSE,J87&lt;28,J87&gt;0,K87=0),"More entries to come",
IF(AND(E87,TRUE,J87=28,K87=0),"Valid Entries made below"
)))))))))</f>
        <v>Nothing Entered below Yet</v>
      </c>
      <c r="M87" s="134"/>
      <c r="N87" s="698" t="s">
        <v>565</v>
      </c>
      <c r="O87" s="331" t="b">
        <f>IF(AND(O88=TRUE,O91=TRUE,O97=TRUE,O104=TRUE),TRUE,FALSE)</f>
        <v>0</v>
      </c>
      <c r="P87" s="897"/>
      <c r="Q87" s="698" t="s">
        <v>565</v>
      </c>
      <c r="R87" s="1373" t="b">
        <f>IF(AND(R88=TRUE,R91=TRUE,R97=TRUE,R104=TRUE),TRUE,FALSE)</f>
        <v>0</v>
      </c>
      <c r="S87" s="111"/>
      <c r="T87" s="111"/>
      <c r="U87" s="111"/>
      <c r="V87" s="698" t="s">
        <v>565</v>
      </c>
      <c r="W87" s="406" t="b">
        <f>IF(AND(W88=TRUE,W91=TRUE,W97=TRUE,W104=TRUE),TRUE,FALSE)</f>
        <v>0</v>
      </c>
      <c r="X87" s="111"/>
      <c r="Y87" s="111"/>
      <c r="Z87" s="120"/>
      <c r="AA87" s="65"/>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40"/>
    </row>
    <row r="88" spans="1:84" s="27" customFormat="1" ht="44.15" customHeight="1" thickTop="1" thickBot="1" x14ac:dyDescent="0.35">
      <c r="A88" s="1419" t="s">
        <v>1093</v>
      </c>
      <c r="B88" s="2404"/>
      <c r="C88" s="1720" t="s">
        <v>1130</v>
      </c>
      <c r="D88" s="1192" t="s">
        <v>565</v>
      </c>
      <c r="E88" s="1713" t="b">
        <f>IF(OR(E89=TRUE,E90=TRUE),TRUE,FALSE)</f>
        <v>0</v>
      </c>
      <c r="F88" s="398">
        <f>COUNTIF(E89:E90,TRUE)</f>
        <v>0</v>
      </c>
      <c r="G88" s="1714">
        <f>COUNTIFS(E89:E90,TRUE,G89:G90,"Not Blank")</f>
        <v>0</v>
      </c>
      <c r="H88" s="1715">
        <f>COUNTIFS(E89:E90,FALSE,G89:G90,"Not Blank")</f>
        <v>0</v>
      </c>
      <c r="I88" s="1734" t="str">
        <f xml:space="preserve">
IF(F88&gt;1,"Too Many Entries - Check Red Lines",
IF(AND(E88=FALSE,G88=0,H88=0,E88=TRUE),"Nothing Required Below",
IF(G88&lt;F88,"Valid Entry required below - Check Amber Line/s",
IF(AND(E88=FALSE,G88=0,H88=0),"Nothing Entered below Yet",
IF(G88&lt;F88,"Valid Entry required below - Check Amber Line/s",
IF(AND(G88=0,H88&gt;0),"**Non-Valid Entry/ies below - Check Yellow Line/s",
IF(AND(G88&gt;0,H88&gt;0),"**Valid and Non-Valid Entries made below - Check Yellow Line/s",
IF(AND(E88=FALSE,F88&lt;1),"Not all requirements addressed below - Check Pink Line/s",
IF(AND(E88=FALSE,G88&lt;1,G88&gt;0,H88=0),"More entries to come",
IF(AND(E88,TRUE,G88=1,H88=0),"Valid Entries made below"
))))))))))</f>
        <v>Nothing Entered below Yet</v>
      </c>
      <c r="J88" s="1518">
        <f>COUNTIFS(E89:E90,TRUE,J89:J90,"Not Blank")</f>
        <v>0</v>
      </c>
      <c r="K88" s="1716">
        <f>COUNTIFS(E89:E90,FALSE,J89:J90,"Not Blank")</f>
        <v>0</v>
      </c>
      <c r="L88" s="2148" t="str">
        <f xml:space="preserve">
IF(J88&gt;2,"Too Many Entries - Check Red Lines",
IF(AND(E88=FALSE,J88=0,K88=0,E88=TRUE),"Nothing Required Below",
IF(J88&lt;F88,"Valid Entry required below - Check Amber Line/s",
IF(AND(E88=FALSE,J88=0,K88=0),"Nothing Entered below Yet",
IF(AND(J88=0,K88&gt;0),"**Non-Valid Entry/ies below - Check Yellow Line/s",
IF(AND(J88&gt;0,K88&gt;0),"**Valid and Non-Valid Entries made below - Check Yellow Line/s",
IF(AND(E88=FALSE,J88&lt;2),"Not all requirements addressed below - Check Pink Line/s",
IF(AND(E88=FALSE,J88&lt;2,J88&gt;0,K88=0),"More entries to come",
IF(AND(E88,TRUE,J88=2,K88=0),"Valid Entries made below"
)))))))))</f>
        <v>Nothing Entered below Yet</v>
      </c>
      <c r="M88" s="2176"/>
      <c r="N88" s="4414" t="s">
        <v>3</v>
      </c>
      <c r="O88" s="4518" t="b">
        <f>IF(OR(N88="Compliant",N88="FE with work-a-round",N88="Functionally Equivalent"),TRUE,FALSE)</f>
        <v>0</v>
      </c>
      <c r="P88" s="2243"/>
      <c r="Q88" s="2178" t="s">
        <v>565</v>
      </c>
      <c r="R88" s="1373" t="b">
        <f>IF(OR(R89=TRUE,R90=TRUE),TRUE,FALSE)</f>
        <v>0</v>
      </c>
      <c r="S88" s="44"/>
      <c r="T88" s="44"/>
      <c r="U88" s="68"/>
      <c r="V88" s="4414" t="s">
        <v>3</v>
      </c>
      <c r="W88" s="4503" t="b">
        <f>IF(OR(V88="Compliant",V88="FE with work-a-round",V88="Functionally Equivalent",V88="Not Required/Applicable"),TRUE,FALSE)</f>
        <v>0</v>
      </c>
      <c r="X88" s="44"/>
      <c r="Y88" s="44"/>
      <c r="Z88" s="122"/>
      <c r="AA88" s="65"/>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40"/>
    </row>
    <row r="89" spans="1:84" s="27" customFormat="1" ht="90" customHeight="1" thickTop="1" x14ac:dyDescent="0.3">
      <c r="A89" s="1597"/>
      <c r="B89" s="1694"/>
      <c r="C89" s="2167" t="s">
        <v>1822</v>
      </c>
      <c r="D89" s="2306" t="s">
        <v>3</v>
      </c>
      <c r="E89" s="208" t="b">
        <f>IF(D89="Compliant",TRUE,FALSE)</f>
        <v>0</v>
      </c>
      <c r="F89" s="387"/>
      <c r="G89" s="382" t="str">
        <f>IF(I89&lt;&gt;"", "Not Blank", "")</f>
        <v/>
      </c>
      <c r="H89" s="431"/>
      <c r="I89" s="2164"/>
      <c r="J89" s="457" t="str">
        <f>IF(L89&lt;&gt;"", "Not Blank", "")</f>
        <v/>
      </c>
      <c r="K89" s="458"/>
      <c r="L89" s="209"/>
      <c r="M89" s="128"/>
      <c r="N89" s="4415"/>
      <c r="O89" s="4519"/>
      <c r="P89" s="834"/>
      <c r="Q89" s="1142" t="s">
        <v>3</v>
      </c>
      <c r="R89" s="814" t="b">
        <f>IF(OR(Q89="Compliant",Q89="FE with work-a-round",Q89="Functionally Equivalent"),TRUE,FALSE)</f>
        <v>0</v>
      </c>
      <c r="S89" s="44"/>
      <c r="T89" s="44"/>
      <c r="U89" s="68"/>
      <c r="V89" s="4415"/>
      <c r="W89" s="4504"/>
      <c r="X89" s="44"/>
      <c r="Y89" s="44"/>
      <c r="Z89" s="122"/>
      <c r="AA89" s="65"/>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40"/>
    </row>
    <row r="90" spans="1:84" s="27" customFormat="1" ht="77.5" customHeight="1" thickBot="1" x14ac:dyDescent="0.35">
      <c r="A90" s="1597"/>
      <c r="B90" s="1661"/>
      <c r="C90" s="1721" t="s">
        <v>1069</v>
      </c>
      <c r="D90" s="886" t="s">
        <v>3</v>
      </c>
      <c r="E90" s="208" t="b">
        <f>IF(D90="Compliant",TRUE,FALSE)</f>
        <v>0</v>
      </c>
      <c r="F90" s="387"/>
      <c r="G90" s="989" t="str">
        <f>IF(I90&lt;&gt;"", "Not Blank", "")</f>
        <v/>
      </c>
      <c r="H90" s="990"/>
      <c r="I90" s="705"/>
      <c r="J90" s="991" t="str">
        <f>IF(L90&lt;&gt;"", "Not Blank", "")</f>
        <v/>
      </c>
      <c r="K90" s="991"/>
      <c r="L90" s="340"/>
      <c r="M90" s="127"/>
      <c r="N90" s="4415"/>
      <c r="O90" s="4519"/>
      <c r="P90" s="895"/>
      <c r="Q90" s="1380" t="s">
        <v>3</v>
      </c>
      <c r="R90" s="1543" t="b">
        <f>IF(OR(Q90="Compliant",Q90="FE with work-a-round",Q90="Functionally Equivalent"),TRUE,FALSE)</f>
        <v>0</v>
      </c>
      <c r="S90" s="79"/>
      <c r="T90" s="79"/>
      <c r="U90" s="143"/>
      <c r="V90" s="4415"/>
      <c r="W90" s="4504"/>
      <c r="X90" s="79"/>
      <c r="Y90" s="79"/>
      <c r="Z90" s="127"/>
      <c r="AA90" s="65"/>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40"/>
    </row>
    <row r="91" spans="1:84" s="27" customFormat="1" ht="54.65" customHeight="1" thickTop="1" thickBot="1" x14ac:dyDescent="0.35">
      <c r="A91" s="1419"/>
      <c r="B91" s="2404"/>
      <c r="C91" s="1697" t="s">
        <v>1131</v>
      </c>
      <c r="D91" s="1499" t="s">
        <v>565</v>
      </c>
      <c r="E91" s="1710" t="b">
        <f>IF(AND(E92=TRUE,E93=TRUE,E94=TRUE,E95=TRUE,E96=TRUE),TRUE,FALSE)</f>
        <v>0</v>
      </c>
      <c r="F91" s="1711">
        <f>COUNTIF(E92:E96,TRUE)</f>
        <v>0</v>
      </c>
      <c r="G91" s="1724">
        <f>COUNTIFS(E92:E96,TRUE,G92:G96,"Not Blank")</f>
        <v>0</v>
      </c>
      <c r="H91" s="207">
        <f>COUNTIFS(E92:E96,FALSE,G92:G96,"Not Blank")</f>
        <v>0</v>
      </c>
      <c r="I91" s="1497" t="str">
        <f xml:space="preserve">
IF(F91&gt;5,"Too Many Entries - Check Red Lines",
IF(AND(E91=FALSE,G91=0,H91=0,E91=TRUE),"Nothing Required Below",
IF(G91&lt;F91,"Valid Entry required below - Check Amber Line/s",
IF(AND(E91=FALSE,G91=0,H91=0),"Nothing Entered below Yet",
IF(G91&lt;F91,"Valid Entry required below - Check Amber Line/s",
IF(AND(G91=0,H91&gt;0),"**Non-Valid Entry/ies below - Check Yellow Line/s",
IF(AND(G91&gt;0,H91&gt;0),"**Valid and Non-Valid Entries made below - Check Yellow Line/s",
IF(AND(E91=FALSE,F91&lt;5),"Not all requirements addressed below - Check Pink Line/s",
IF(AND(E91=FALSE,G91&lt;5,G91&gt;0,H91=0),"More entries to come",
IF(AND(E91,TRUE,G91=5,H91=0),"Valid Entries made below"
))))))))))</f>
        <v>Nothing Entered below Yet</v>
      </c>
      <c r="J91" s="1498">
        <f>COUNTIFS(E92:E96,TRUE,J92:J96,"Not Blank")</f>
        <v>0</v>
      </c>
      <c r="K91" s="1498">
        <f>COUNTIFS(E92:E96,FALSE,J92:J96,"Not Blank")</f>
        <v>0</v>
      </c>
      <c r="L91" s="1809" t="str">
        <f xml:space="preserve">
IF(J91&gt;5,"Too Many Entries - Check Red Lines",
IF(AND(E91=FALSE,J91=0,K91=0,E91=TRUE),"Nothing Required Below",
IF(J91&lt;F91,"Valid Entry required below - Check Amber Line/s",
IF(AND(E91=FALSE,J91=0,K91=0),"Nothing Entered below Yet",
IF(AND(J91=0,K91&gt;0),"**Non-Valid Entry/ies below - Check Yellow Line/s",
IF(AND(J91&gt;0,K91&gt;0),"**Valid and Non-Valid Entries made below - Check Yellow Line/s",
IF(AND(E91=FALSE,J91&lt;5),"Not all requirements addressed below - Check Pink Line/s",
IF(AND(E91=FALSE,J91&lt;5,J91&gt;0,K91=0),"More entries to come",
IF(AND(E91,TRUE,J91=5,K91=0),"Valid Entries made below"
)))))))))</f>
        <v>Nothing Entered below Yet</v>
      </c>
      <c r="M91" s="134"/>
      <c r="N91" s="4414" t="s">
        <v>3</v>
      </c>
      <c r="O91" s="4518" t="b">
        <f>IF(OR(N91="Compliant",N91="FE with work-a-round",N91="Functionally Equivalent"),TRUE,FALSE)</f>
        <v>0</v>
      </c>
      <c r="P91" s="897"/>
      <c r="Q91" s="698" t="s">
        <v>565</v>
      </c>
      <c r="R91" s="1373" t="b">
        <f>IF(AND(R92=TRUE,R93=TRUE,R94=TRUE,R95=TRUE,R96=TRUE),TRUE,FALSE)</f>
        <v>0</v>
      </c>
      <c r="S91" s="111"/>
      <c r="T91" s="111"/>
      <c r="U91" s="211"/>
      <c r="V91" s="4414" t="s">
        <v>3</v>
      </c>
      <c r="W91" s="4503" t="b">
        <f>IF(OR(V91="Compliant",V91="FE with work-a-round",V91="Functionally Equivalent",V91="Not Required/Applicable"),TRUE,FALSE)</f>
        <v>0</v>
      </c>
      <c r="X91" s="111"/>
      <c r="Y91" s="111"/>
      <c r="Z91" s="120"/>
      <c r="AA91" s="65"/>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40"/>
    </row>
    <row r="92" spans="1:84" s="27" customFormat="1" ht="46" customHeight="1" thickTop="1" x14ac:dyDescent="0.3">
      <c r="A92" s="1419"/>
      <c r="B92" s="1694"/>
      <c r="C92" s="1718" t="s">
        <v>1065</v>
      </c>
      <c r="D92" s="445" t="s">
        <v>3</v>
      </c>
      <c r="E92" s="208" t="b">
        <f>IF(D92="Compliant",TRUE,FALSE)</f>
        <v>0</v>
      </c>
      <c r="F92" s="387"/>
      <c r="G92" s="1598" t="str">
        <f>IF(I92&lt;&gt;"", "Not Blank", "")</f>
        <v/>
      </c>
      <c r="H92" s="1599"/>
      <c r="I92" s="1600"/>
      <c r="J92" s="2408" t="str">
        <f>IF(L92&lt;&gt;"", "Not Blank", "")</f>
        <v/>
      </c>
      <c r="K92" s="1627"/>
      <c r="L92" s="209"/>
      <c r="M92" s="128"/>
      <c r="N92" s="4415"/>
      <c r="O92" s="4519"/>
      <c r="P92" s="229"/>
      <c r="Q92" s="1143" t="s">
        <v>3</v>
      </c>
      <c r="R92" s="814" t="b">
        <f>IF(OR(Q92="Compliant",Q92="FE with work-a-round",Q92="Functionally Equivalent"),TRUE,FALSE)</f>
        <v>0</v>
      </c>
      <c r="S92" s="44"/>
      <c r="T92" s="44"/>
      <c r="U92" s="68"/>
      <c r="V92" s="4415"/>
      <c r="W92" s="4504"/>
      <c r="X92" s="44"/>
      <c r="Y92" s="44"/>
      <c r="Z92" s="122"/>
      <c r="AA92" s="65"/>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40"/>
    </row>
    <row r="93" spans="1:84" s="27" customFormat="1" ht="31" customHeight="1" x14ac:dyDescent="0.3">
      <c r="A93" s="1419"/>
      <c r="B93" s="1679"/>
      <c r="C93" s="1719" t="s">
        <v>1066</v>
      </c>
      <c r="D93" s="445" t="s">
        <v>3</v>
      </c>
      <c r="E93" s="208" t="b">
        <f>IF(D93="Compliant",TRUE,FALSE)</f>
        <v>0</v>
      </c>
      <c r="F93" s="387"/>
      <c r="G93" s="1601" t="str">
        <f>IF(I93&lt;&gt;"", "Not Blank", "")</f>
        <v/>
      </c>
      <c r="H93" s="1602"/>
      <c r="I93" s="1603"/>
      <c r="J93" s="212" t="str">
        <f>IF(L93&lt;&gt;"", "Not Blank", "")</f>
        <v/>
      </c>
      <c r="K93" s="183"/>
      <c r="L93" s="339"/>
      <c r="M93" s="122"/>
      <c r="N93" s="4415"/>
      <c r="O93" s="4519"/>
      <c r="P93" s="121"/>
      <c r="Q93" s="847" t="s">
        <v>3</v>
      </c>
      <c r="R93" s="737" t="b">
        <f>IF(OR(Q93="Compliant",Q93="FE with work-a-round",Q93="Functionally Equivalent"),TRUE,FALSE)</f>
        <v>0</v>
      </c>
      <c r="S93" s="44"/>
      <c r="T93" s="44"/>
      <c r="U93" s="68"/>
      <c r="V93" s="4415"/>
      <c r="W93" s="4504"/>
      <c r="X93" s="44"/>
      <c r="Y93" s="44"/>
      <c r="Z93" s="122"/>
      <c r="AA93" s="65"/>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40"/>
    </row>
    <row r="94" spans="1:84" s="27" customFormat="1" ht="102" customHeight="1" x14ac:dyDescent="0.3">
      <c r="A94" s="1419"/>
      <c r="B94" s="1679"/>
      <c r="C94" s="1719" t="s">
        <v>1067</v>
      </c>
      <c r="D94" s="445" t="s">
        <v>3</v>
      </c>
      <c r="E94" s="208" t="b">
        <f>IF(D94="Compliant",TRUE,FALSE)</f>
        <v>0</v>
      </c>
      <c r="F94" s="387"/>
      <c r="G94" s="1604" t="str">
        <f>IF(I94&lt;&gt;"", "Not Blank", "")</f>
        <v/>
      </c>
      <c r="H94" s="1605"/>
      <c r="I94" s="1606"/>
      <c r="J94" s="192" t="str">
        <f>IF(L94&lt;&gt;"", "Not Blank", "")</f>
        <v/>
      </c>
      <c r="K94" s="193"/>
      <c r="L94" s="340"/>
      <c r="M94" s="122"/>
      <c r="N94" s="4415"/>
      <c r="O94" s="4519"/>
      <c r="P94" s="121"/>
      <c r="Q94" s="847" t="s">
        <v>3</v>
      </c>
      <c r="R94" s="737" t="b">
        <f>IF(OR(Q94="Compliant",Q94="FE with work-a-round",Q94="Functionally Equivalent"),TRUE,FALSE)</f>
        <v>0</v>
      </c>
      <c r="S94" s="44"/>
      <c r="T94" s="44"/>
      <c r="U94" s="68"/>
      <c r="V94" s="4415"/>
      <c r="W94" s="4504"/>
      <c r="X94" s="44"/>
      <c r="Y94" s="44"/>
      <c r="Z94" s="122"/>
      <c r="AA94" s="65"/>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40"/>
    </row>
    <row r="95" spans="1:84" s="27" customFormat="1" ht="86.15" customHeight="1" x14ac:dyDescent="0.3">
      <c r="A95" s="1419"/>
      <c r="B95" s="1679"/>
      <c r="C95" s="1719" t="s">
        <v>1068</v>
      </c>
      <c r="D95" s="445" t="s">
        <v>3</v>
      </c>
      <c r="E95" s="208" t="b">
        <f>IF(D95="Compliant",TRUE,FALSE)</f>
        <v>0</v>
      </c>
      <c r="F95" s="387"/>
      <c r="G95" s="1604" t="str">
        <f>IF(I95&lt;&gt;"", "Not Blank", "")</f>
        <v/>
      </c>
      <c r="H95" s="1605"/>
      <c r="I95" s="1606"/>
      <c r="J95" s="192" t="str">
        <f>IF(L95&lt;&gt;"", "Not Blank", "")</f>
        <v/>
      </c>
      <c r="K95" s="193"/>
      <c r="L95" s="340"/>
      <c r="M95" s="122"/>
      <c r="N95" s="4415"/>
      <c r="O95" s="4519"/>
      <c r="P95" s="121"/>
      <c r="Q95" s="847" t="s">
        <v>3</v>
      </c>
      <c r="R95" s="737" t="b">
        <f>IF(OR(Q95="Compliant",Q95="FE with work-a-round",Q95="Functionally Equivalent"),TRUE,FALSE)</f>
        <v>0</v>
      </c>
      <c r="S95" s="44"/>
      <c r="T95" s="44"/>
      <c r="U95" s="68"/>
      <c r="V95" s="4415"/>
      <c r="W95" s="4504"/>
      <c r="X95" s="44"/>
      <c r="Y95" s="44"/>
      <c r="Z95" s="122"/>
      <c r="AA95" s="65"/>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40"/>
    </row>
    <row r="96" spans="1:84" s="27" customFormat="1" ht="51.65" customHeight="1" thickBot="1" x14ac:dyDescent="0.35">
      <c r="A96" s="1419"/>
      <c r="B96" s="1817"/>
      <c r="C96" s="1723" t="s">
        <v>1069</v>
      </c>
      <c r="D96" s="446" t="s">
        <v>3</v>
      </c>
      <c r="E96" s="595" t="b">
        <f>IF(D96="Compliant",TRUE,FALSE)</f>
        <v>0</v>
      </c>
      <c r="F96" s="258"/>
      <c r="G96" s="1607" t="str">
        <f>IF(I96&lt;&gt;"", "Not Blank", "")</f>
        <v/>
      </c>
      <c r="H96" s="1608"/>
      <c r="I96" s="1609"/>
      <c r="J96" s="1083" t="str">
        <f>IF(L96&lt;&gt;"", "Not Blank", "")</f>
        <v/>
      </c>
      <c r="K96" s="195"/>
      <c r="L96" s="184"/>
      <c r="M96" s="125"/>
      <c r="N96" s="4416"/>
      <c r="O96" s="4520"/>
      <c r="P96" s="123"/>
      <c r="Q96" s="848" t="s">
        <v>3</v>
      </c>
      <c r="R96" s="738" t="b">
        <f>IF(OR(Q96="Compliant",Q96="FE with work-a-round",Q96="Functionally Equivalent"),TRUE,FALSE)</f>
        <v>0</v>
      </c>
      <c r="S96" s="124"/>
      <c r="T96" s="124"/>
      <c r="U96" s="246"/>
      <c r="V96" s="4416"/>
      <c r="W96" s="4505"/>
      <c r="X96" s="124"/>
      <c r="Y96" s="124"/>
      <c r="Z96" s="125"/>
      <c r="AA96" s="65"/>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40"/>
    </row>
    <row r="97" spans="1:84" s="27" customFormat="1" ht="28.5" customHeight="1" thickTop="1" thickBot="1" x14ac:dyDescent="0.35">
      <c r="A97" s="1419"/>
      <c r="B97" s="1661"/>
      <c r="C97" s="1701" t="s">
        <v>1118</v>
      </c>
      <c r="D97" s="1499" t="s">
        <v>565</v>
      </c>
      <c r="E97" s="1710" t="b">
        <f>IF(AND(E98=TRUE,E99=TRUE,E100=TRUE,E101=TRUE,E102=TRUE,E103=TRUE),TRUE,FALSE)</f>
        <v>0</v>
      </c>
      <c r="F97" s="1711">
        <f>COUNTIF(E98:E103,TRUE)</f>
        <v>0</v>
      </c>
      <c r="G97" s="1724">
        <f>COUNTIFS(E98:E103,TRUE,G98:G103,"Not Blank")</f>
        <v>0</v>
      </c>
      <c r="H97" s="207">
        <f>COUNTIFS(E98:E103,FALSE,G98:G103,"Not Blank")</f>
        <v>0</v>
      </c>
      <c r="I97" s="1497" t="str">
        <f xml:space="preserve">
IF(F97&gt;6,"Too Many Entries - Check Red Lines",
IF(AND(E97=FALSE,G97=0,H97=0,E97=TRUE),"Nothing Required Below",
IF(G97&lt;F97,"Valid Entry required below - Check Amber Line/s",
IF(AND(E97=FALSE,G97=0,H97=0),"Nothing Entered below Yet",
IF(G97&lt;F97,"Valid Entry required below - Check Amber Line/s",
IF(AND(G97=0,H97&gt;0),"**Non-Valid Entry/ies below - Check Yellow Line/s",
IF(AND(G97&gt;0,H97&gt;0),"**Valid and Non-Valid Entries made below - Check Yellow Line/s",
IF(AND(E97=FALSE,F97&lt;6),"Not all requirements addressed below - Check Pink Line/s",
IF(AND(E97=FALSE,G97&lt;6,G97&gt;0,H97=0),"More entries to come",
IF(AND(E97,TRUE,G97=6,H97=0),"Valid Entries made below"
))))))))))</f>
        <v>Nothing Entered below Yet</v>
      </c>
      <c r="J97" s="1498">
        <f>COUNTIFS(E98:E104,TRUE,J98:J104,"Not Blank")</f>
        <v>0</v>
      </c>
      <c r="K97" s="1498">
        <f>COUNTIFS(E98:E104,FALSE,J98:J104,"Not Blank")</f>
        <v>0</v>
      </c>
      <c r="L97" s="1809" t="str">
        <f xml:space="preserve">
IF(J97&gt;6,"Too Many Entries - Check Red Lines",
IF(AND(E97=FALSE,J97=0,K97=0,E97=TRUE),"Nothing Required Below",
IF(J97&lt;F97,"Valid Entry required below - Check Amber Line/s",
IF(AND(E97=FALSE,J97=0,K97=0),"Nothing Entered below Yet",
IF(AND(J97=0,K97&gt;0),"**Non-Valid Entry/ies below - Check Yellow Line/s",
IF(AND(J97&gt;0,K97&gt;0),"**Valid and Non-Valid Entries made below - Check Yellow Line/s",
IF(AND(E97=FALSE,J97&lt;6),"Not all requirements addressed below - Check Pink Line/s",
IF(AND(E97=FALSE,J97&lt;6,J97&gt;0,K97=0),"More entries to come",
IF(AND(E97,TRUE,J97=6,K97=0),"Valid Entries made below"
)))))))))</f>
        <v>Nothing Entered below Yet</v>
      </c>
      <c r="M97" s="134"/>
      <c r="N97" s="4414" t="s">
        <v>3</v>
      </c>
      <c r="O97" s="4518" t="b">
        <f>IF(OR(N97="Compliant",N97="FE with work-a-round",N97="Functionally Equivalent"),TRUE,FALSE)</f>
        <v>0</v>
      </c>
      <c r="P97" s="132"/>
      <c r="Q97" s="1197" t="s">
        <v>565</v>
      </c>
      <c r="R97" s="1373" t="b">
        <f>IF(AND(R98=TRUE,R99=TRUE,R100=TRUE,R101=TRUE,R102=TRUE,R103=TRUE),TRUE,FALSE)</f>
        <v>0</v>
      </c>
      <c r="S97" s="111"/>
      <c r="T97" s="111"/>
      <c r="U97" s="211"/>
      <c r="V97" s="4414" t="s">
        <v>3</v>
      </c>
      <c r="W97" s="4503" t="b">
        <f>IF(OR(V97="Compliant",V97="FE with work-a-round",V97="Functionally Equivalent",V97="Not Required/Applicable"),TRUE,FALSE)</f>
        <v>0</v>
      </c>
      <c r="X97" s="111"/>
      <c r="Y97" s="111"/>
      <c r="Z97" s="120"/>
      <c r="AA97" s="65"/>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40"/>
    </row>
    <row r="98" spans="1:84" s="27" customFormat="1" ht="79" customHeight="1" thickTop="1" x14ac:dyDescent="0.3">
      <c r="A98" s="1419" t="s">
        <v>1094</v>
      </c>
      <c r="B98" s="1694"/>
      <c r="C98" s="1718" t="s">
        <v>1119</v>
      </c>
      <c r="D98" s="445" t="s">
        <v>3</v>
      </c>
      <c r="E98" s="208" t="b">
        <f t="shared" ref="E98:E103" si="6">IF(D98="Compliant",TRUE,FALSE)</f>
        <v>0</v>
      </c>
      <c r="F98" s="387"/>
      <c r="G98" s="1610" t="str">
        <f t="shared" ref="G98:G103" si="7">IF(I98&lt;&gt;"", "Not Blank", "")</f>
        <v/>
      </c>
      <c r="H98" s="1611"/>
      <c r="I98" s="1612"/>
      <c r="J98" s="2407" t="str">
        <f t="shared" ref="J98:J103" si="8">IF(L98&lt;&gt;"", "Not Blank", "")</f>
        <v/>
      </c>
      <c r="K98" s="705"/>
      <c r="L98" s="28"/>
      <c r="M98" s="128"/>
      <c r="N98" s="4415"/>
      <c r="O98" s="4519"/>
      <c r="P98" s="834"/>
      <c r="Q98" s="1142" t="s">
        <v>3</v>
      </c>
      <c r="R98" s="814" t="b">
        <f t="shared" ref="R98:R103" si="9">IF(OR(Q98="Compliant",Q98="FE with work-a-round",Q98="Functionally Equivalent"),TRUE,FALSE)</f>
        <v>0</v>
      </c>
      <c r="S98" s="44"/>
      <c r="T98" s="44"/>
      <c r="U98" s="68"/>
      <c r="V98" s="4415"/>
      <c r="W98" s="4504"/>
      <c r="X98" s="44"/>
      <c r="Y98" s="44"/>
      <c r="Z98" s="122"/>
      <c r="AA98" s="65"/>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40"/>
    </row>
    <row r="99" spans="1:84" s="27" customFormat="1" ht="47.5" customHeight="1" x14ac:dyDescent="0.3">
      <c r="A99" s="1419" t="s">
        <v>1095</v>
      </c>
      <c r="B99" s="1679"/>
      <c r="C99" s="1719" t="s">
        <v>1120</v>
      </c>
      <c r="D99" s="445" t="s">
        <v>3</v>
      </c>
      <c r="E99" s="208" t="b">
        <f t="shared" si="6"/>
        <v>0</v>
      </c>
      <c r="F99" s="387"/>
      <c r="G99" s="1604" t="str">
        <f t="shared" si="7"/>
        <v/>
      </c>
      <c r="H99" s="1605"/>
      <c r="I99" s="1606"/>
      <c r="J99" s="192" t="str">
        <f t="shared" si="8"/>
        <v/>
      </c>
      <c r="K99" s="193"/>
      <c r="L99" s="340"/>
      <c r="M99" s="122"/>
      <c r="N99" s="4415"/>
      <c r="O99" s="4519"/>
      <c r="P99" s="121"/>
      <c r="Q99" s="847" t="s">
        <v>3</v>
      </c>
      <c r="R99" s="737" t="b">
        <f t="shared" si="9"/>
        <v>0</v>
      </c>
      <c r="S99" s="44"/>
      <c r="T99" s="44"/>
      <c r="U99" s="68"/>
      <c r="V99" s="4415"/>
      <c r="W99" s="4504"/>
      <c r="X99" s="44"/>
      <c r="Y99" s="44"/>
      <c r="Z99" s="122"/>
      <c r="AA99" s="65"/>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40"/>
    </row>
    <row r="100" spans="1:84" s="27" customFormat="1" ht="107.5" customHeight="1" x14ac:dyDescent="0.3">
      <c r="A100" s="1419" t="s">
        <v>1096</v>
      </c>
      <c r="B100" s="1679"/>
      <c r="C100" s="1719" t="s">
        <v>1121</v>
      </c>
      <c r="D100" s="445" t="s">
        <v>3</v>
      </c>
      <c r="E100" s="208" t="b">
        <f t="shared" si="6"/>
        <v>0</v>
      </c>
      <c r="F100" s="387"/>
      <c r="G100" s="1604" t="str">
        <f t="shared" si="7"/>
        <v/>
      </c>
      <c r="H100" s="1605"/>
      <c r="I100" s="1606"/>
      <c r="J100" s="192" t="str">
        <f t="shared" si="8"/>
        <v/>
      </c>
      <c r="K100" s="193"/>
      <c r="L100" s="340"/>
      <c r="M100" s="122"/>
      <c r="N100" s="4415"/>
      <c r="O100" s="4519"/>
      <c r="P100" s="121"/>
      <c r="Q100" s="847" t="s">
        <v>3</v>
      </c>
      <c r="R100" s="737" t="b">
        <f t="shared" si="9"/>
        <v>0</v>
      </c>
      <c r="S100" s="44"/>
      <c r="T100" s="44"/>
      <c r="U100" s="68"/>
      <c r="V100" s="4415"/>
      <c r="W100" s="4504"/>
      <c r="X100" s="44"/>
      <c r="Y100" s="44"/>
      <c r="Z100" s="122"/>
      <c r="AA100" s="65"/>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40"/>
    </row>
    <row r="101" spans="1:84" s="27" customFormat="1" ht="107.5" customHeight="1" x14ac:dyDescent="0.3">
      <c r="A101" s="1419" t="s">
        <v>1097</v>
      </c>
      <c r="B101" s="1679"/>
      <c r="C101" s="1719" t="s">
        <v>1122</v>
      </c>
      <c r="D101" s="445" t="s">
        <v>3</v>
      </c>
      <c r="E101" s="208" t="b">
        <f t="shared" si="6"/>
        <v>0</v>
      </c>
      <c r="F101" s="387"/>
      <c r="G101" s="1604" t="str">
        <f t="shared" si="7"/>
        <v/>
      </c>
      <c r="H101" s="1605"/>
      <c r="I101" s="1606"/>
      <c r="J101" s="192" t="str">
        <f t="shared" si="8"/>
        <v/>
      </c>
      <c r="K101" s="193"/>
      <c r="L101" s="340"/>
      <c r="M101" s="122"/>
      <c r="N101" s="4415"/>
      <c r="O101" s="4519"/>
      <c r="P101" s="121"/>
      <c r="Q101" s="847" t="s">
        <v>3</v>
      </c>
      <c r="R101" s="737" t="b">
        <f t="shared" si="9"/>
        <v>0</v>
      </c>
      <c r="S101" s="44"/>
      <c r="T101" s="44"/>
      <c r="U101" s="68"/>
      <c r="V101" s="4415"/>
      <c r="W101" s="4504"/>
      <c r="X101" s="44"/>
      <c r="Y101" s="44"/>
      <c r="Z101" s="122"/>
      <c r="AA101" s="65"/>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40"/>
    </row>
    <row r="102" spans="1:84" s="27" customFormat="1" ht="316" customHeight="1" x14ac:dyDescent="0.3">
      <c r="A102" s="1419" t="s">
        <v>1098</v>
      </c>
      <c r="B102" s="1679"/>
      <c r="C102" s="1721" t="s">
        <v>1823</v>
      </c>
      <c r="D102" s="445" t="s">
        <v>3</v>
      </c>
      <c r="E102" s="208" t="b">
        <f t="shared" si="6"/>
        <v>0</v>
      </c>
      <c r="F102" s="387"/>
      <c r="G102" s="1604" t="str">
        <f t="shared" si="7"/>
        <v/>
      </c>
      <c r="H102" s="1605"/>
      <c r="I102" s="1606"/>
      <c r="J102" s="192" t="str">
        <f t="shared" si="8"/>
        <v/>
      </c>
      <c r="K102" s="193"/>
      <c r="L102" s="340"/>
      <c r="M102" s="122"/>
      <c r="N102" s="4415"/>
      <c r="O102" s="4519"/>
      <c r="P102" s="121"/>
      <c r="Q102" s="847" t="s">
        <v>3</v>
      </c>
      <c r="R102" s="737" t="b">
        <f t="shared" si="9"/>
        <v>0</v>
      </c>
      <c r="S102" s="44"/>
      <c r="T102" s="44"/>
      <c r="U102" s="68"/>
      <c r="V102" s="4415"/>
      <c r="W102" s="4504"/>
      <c r="X102" s="44"/>
      <c r="Y102" s="44"/>
      <c r="Z102" s="122"/>
      <c r="AA102" s="65"/>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40"/>
    </row>
    <row r="103" spans="1:84" s="27" customFormat="1" ht="288" customHeight="1" thickBot="1" x14ac:dyDescent="0.35">
      <c r="A103" s="1419" t="s">
        <v>1099</v>
      </c>
      <c r="B103" s="1661"/>
      <c r="C103" s="1719" t="s">
        <v>1123</v>
      </c>
      <c r="D103" s="886" t="s">
        <v>3</v>
      </c>
      <c r="E103" s="208" t="b">
        <f t="shared" si="6"/>
        <v>0</v>
      </c>
      <c r="F103" s="387"/>
      <c r="G103" s="1613" t="str">
        <f t="shared" si="7"/>
        <v/>
      </c>
      <c r="H103" s="1614"/>
      <c r="I103" s="1615"/>
      <c r="J103" s="1084" t="str">
        <f t="shared" si="8"/>
        <v/>
      </c>
      <c r="K103" s="79"/>
      <c r="L103" s="206"/>
      <c r="M103" s="127"/>
      <c r="N103" s="4415"/>
      <c r="O103" s="4519"/>
      <c r="P103" s="895"/>
      <c r="Q103" s="1380" t="s">
        <v>3</v>
      </c>
      <c r="R103" s="1543" t="b">
        <f t="shared" si="9"/>
        <v>0</v>
      </c>
      <c r="S103" s="79"/>
      <c r="T103" s="79"/>
      <c r="U103" s="143"/>
      <c r="V103" s="4415"/>
      <c r="W103" s="4504"/>
      <c r="X103" s="79"/>
      <c r="Y103" s="79"/>
      <c r="Z103" s="127"/>
      <c r="AA103" s="65"/>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40"/>
    </row>
    <row r="104" spans="1:84" s="27" customFormat="1" ht="88" thickTop="1" thickBot="1" x14ac:dyDescent="0.35">
      <c r="A104" s="1419" t="s">
        <v>1100</v>
      </c>
      <c r="B104" s="2404"/>
      <c r="C104" s="1684" t="s">
        <v>1124</v>
      </c>
      <c r="D104" s="1499" t="s">
        <v>565</v>
      </c>
      <c r="E104" s="1710" t="b">
        <f>IF(AND(E105=TRUE,E106=TRUE,E107=TRUE,E108=TRUE,E109=TRUE,E110=TRUE,E111=TRUE,E112=TRUE),TRUE,FALSE)</f>
        <v>0</v>
      </c>
      <c r="F104" s="1711">
        <f>COUNTIF(E105:E112,TRUE)</f>
        <v>0</v>
      </c>
      <c r="G104" s="1725">
        <f>COUNTIFS(E105:E112,TRUE,G105:G112,"Not Blank")</f>
        <v>0</v>
      </c>
      <c r="H104" s="1726">
        <f>COUNTIFS(E105:E112,FALSE,G105:G112,"Not Blank")</f>
        <v>0</v>
      </c>
      <c r="I104" s="1727" t="str">
        <f xml:space="preserve">
IF(F104&gt;8,"Too Many Entries - Check Red Lines",
IF(AND(E104=FALSE,G104=0,H104=0,E96=TRUE),"Nothing Required Below",
IF(G104&lt;F104,"Valid Entry required below - Check Amber Line/s",
IF(AND(E104=FALSE,G104=0,H104=0),"Nothing Entered below Yet",
IF(G104&lt;F104,"Valid Entry required below - Check Amber Line/s",
IF(AND(G104=0,H104&gt;0),"**Non-Valid Entry/ies below - Check Yellow Line/s",
IF(AND(G104&gt;0,H104&gt;0),"**Valid and Non-Valid Entries made below - Check Yellow Line/s",
IF(AND(E104=FALSE,F104&lt;8),"Not all requirements addressed below - Check Pink Line/s",
IF(AND(E104=FALSE,G104&lt;8,G104&gt;0,H104=0),"More entries to come",
IF(AND(E104,TRUE,G104=8,H104=0),"Valid Entries made below"
))))))))))</f>
        <v>Nothing Entered below Yet</v>
      </c>
      <c r="J104" s="1515">
        <f>COUNTIFS(E105:E112,TRUE,J105:J112,"Not Blank")</f>
        <v>0</v>
      </c>
      <c r="K104" s="1515">
        <f>COUNTIFS(E105:E112,FALSE,J105:J112,"Not Blank")</f>
        <v>0</v>
      </c>
      <c r="L104" s="1734" t="str">
        <f xml:space="preserve">
IF(J104&gt;8,"Too Many Entries - Check Red Lines",
IF(AND(E104=FALSE,J104=0,K104=0,E96=TRUE),"Nothing Required Below",
IF(J104&lt;F104,"Valid Entry required below - Check Amber Line/s",
IF(AND(E104=FALSE,J104=0,K104=0),"Nothing Entered below Yet",
IF(AND(J104=0,K104&gt;0),"**Non-Valid Entry/ies below - Check Yellow Line/s",
IF(AND(J104&gt;0,K104&gt;0),"**Valid and Non-Valid Entries made below - Check Yellow Line/s",
IF(AND(E104=FALSE,J104&lt;8),"Not all requirements addressed below - Check Pink Line/s",
IF(AND(E104=FALSE,J104&lt;8,J104&gt;0,K104=0),"More entries to come",
IF(AND(E104,TRUE,J104=8,K104=0),"Valid Entries made below"
)))))))))</f>
        <v>Nothing Entered below Yet</v>
      </c>
      <c r="M104" s="134"/>
      <c r="N104" s="4414" t="s">
        <v>3</v>
      </c>
      <c r="O104" s="4518" t="b">
        <f>IF(OR(N104="Compliant",N104="FE with work-a-round",N104="Functionally Equivalent"),TRUE,FALSE)</f>
        <v>0</v>
      </c>
      <c r="P104" s="132"/>
      <c r="Q104" s="1197" t="s">
        <v>565</v>
      </c>
      <c r="R104" s="1030" t="b">
        <f>IF(AND(R105=TRUE,R106=TRUE,R107=TRUE,R108=TRUE,R109=TRUE,R110=TRUE),TRUE,FALSE)</f>
        <v>0</v>
      </c>
      <c r="S104" s="111"/>
      <c r="T104" s="111"/>
      <c r="U104" s="211"/>
      <c r="V104" s="4414" t="s">
        <v>3</v>
      </c>
      <c r="W104" s="4503" t="b">
        <f>IF(OR(V104="Compliant",V104="FE with work-a-round",V104="Functionally Equivalent",V104="Not Required/Applicable"),TRUE,FALSE)</f>
        <v>0</v>
      </c>
      <c r="X104" s="111"/>
      <c r="Y104" s="111"/>
      <c r="Z104" s="120"/>
      <c r="AA104" s="65"/>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40"/>
    </row>
    <row r="105" spans="1:84" s="27" customFormat="1" ht="35.15" customHeight="1" thickTop="1" x14ac:dyDescent="0.3">
      <c r="A105" s="1419"/>
      <c r="B105" s="1694"/>
      <c r="C105" s="1685" t="s">
        <v>1070</v>
      </c>
      <c r="D105" s="445" t="s">
        <v>3</v>
      </c>
      <c r="E105" s="208" t="b">
        <f t="shared" ref="E105:E112" si="10">IF(D105="Compliant",TRUE,FALSE)</f>
        <v>0</v>
      </c>
      <c r="F105" s="387"/>
      <c r="G105" s="1616" t="str">
        <f t="shared" ref="G105:G111" si="11">IF(I105&lt;&gt;"", "Not Blank", "")</f>
        <v/>
      </c>
      <c r="H105" s="1617"/>
      <c r="I105" s="2405"/>
      <c r="J105" s="213" t="str">
        <f t="shared" ref="J105:J111" si="12">IF(L105&lt;&gt;"", "Not Blank", "")</f>
        <v/>
      </c>
      <c r="K105" s="193"/>
      <c r="L105" s="2406"/>
      <c r="M105" s="128"/>
      <c r="N105" s="4415"/>
      <c r="O105" s="4519"/>
      <c r="P105" s="834"/>
      <c r="Q105" s="1142" t="s">
        <v>3</v>
      </c>
      <c r="R105" s="814" t="b">
        <f t="shared" ref="R105:R112" si="13">IF(OR(Q105="Compliant",Q105="FE with work-a-round",Q105="Functionally Equivalent"),TRUE,FALSE)</f>
        <v>0</v>
      </c>
      <c r="S105" s="44"/>
      <c r="T105" s="44"/>
      <c r="U105" s="68"/>
      <c r="V105" s="4415"/>
      <c r="W105" s="4504"/>
      <c r="X105" s="44"/>
      <c r="Y105" s="44"/>
      <c r="Z105" s="122"/>
      <c r="AA105" s="65"/>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40"/>
    </row>
    <row r="106" spans="1:84" s="27" customFormat="1" ht="80.5" customHeight="1" x14ac:dyDescent="0.3">
      <c r="A106" s="1419"/>
      <c r="B106" s="1679"/>
      <c r="C106" s="1721" t="s">
        <v>1071</v>
      </c>
      <c r="D106" s="445" t="s">
        <v>3</v>
      </c>
      <c r="E106" s="208" t="b">
        <f t="shared" si="10"/>
        <v>0</v>
      </c>
      <c r="F106" s="387"/>
      <c r="G106" s="1610" t="str">
        <f t="shared" si="11"/>
        <v/>
      </c>
      <c r="H106" s="1611"/>
      <c r="I106" s="1612"/>
      <c r="J106" s="192" t="str">
        <f t="shared" si="12"/>
        <v/>
      </c>
      <c r="K106" s="193"/>
      <c r="L106" s="340"/>
      <c r="M106" s="122"/>
      <c r="N106" s="4415"/>
      <c r="O106" s="4519"/>
      <c r="P106" s="121"/>
      <c r="Q106" s="847" t="s">
        <v>3</v>
      </c>
      <c r="R106" s="737" t="b">
        <f t="shared" si="13"/>
        <v>0</v>
      </c>
      <c r="S106" s="44"/>
      <c r="T106" s="44"/>
      <c r="U106" s="68"/>
      <c r="V106" s="4415"/>
      <c r="W106" s="4504"/>
      <c r="X106" s="44"/>
      <c r="Y106" s="44"/>
      <c r="Z106" s="122"/>
      <c r="AA106" s="65"/>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40"/>
    </row>
    <row r="107" spans="1:84" s="27" customFormat="1" ht="63" customHeight="1" x14ac:dyDescent="0.3">
      <c r="A107" s="1419"/>
      <c r="B107" s="1679"/>
      <c r="C107" s="1721" t="s">
        <v>1072</v>
      </c>
      <c r="D107" s="445" t="s">
        <v>3</v>
      </c>
      <c r="E107" s="208" t="b">
        <f t="shared" si="10"/>
        <v>0</v>
      </c>
      <c r="F107" s="387"/>
      <c r="G107" s="1604" t="str">
        <f t="shared" si="11"/>
        <v/>
      </c>
      <c r="H107" s="1605"/>
      <c r="I107" s="1606"/>
      <c r="J107" s="192" t="str">
        <f t="shared" si="12"/>
        <v/>
      </c>
      <c r="K107" s="193"/>
      <c r="L107" s="340"/>
      <c r="M107" s="122"/>
      <c r="N107" s="4415"/>
      <c r="O107" s="4519"/>
      <c r="P107" s="121"/>
      <c r="Q107" s="847" t="s">
        <v>3</v>
      </c>
      <c r="R107" s="737" t="b">
        <f t="shared" si="13"/>
        <v>0</v>
      </c>
      <c r="S107" s="44"/>
      <c r="T107" s="44"/>
      <c r="U107" s="68"/>
      <c r="V107" s="4415"/>
      <c r="W107" s="4504"/>
      <c r="X107" s="44"/>
      <c r="Y107" s="44"/>
      <c r="Z107" s="122"/>
      <c r="AA107" s="65"/>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40"/>
    </row>
    <row r="108" spans="1:84" s="27" customFormat="1" ht="35.15" customHeight="1" x14ac:dyDescent="0.3">
      <c r="A108" s="1419"/>
      <c r="B108" s="1679"/>
      <c r="C108" s="1721" t="s">
        <v>1073</v>
      </c>
      <c r="D108" s="445" t="s">
        <v>3</v>
      </c>
      <c r="E108" s="208" t="b">
        <f t="shared" si="10"/>
        <v>0</v>
      </c>
      <c r="F108" s="387"/>
      <c r="G108" s="1604" t="str">
        <f t="shared" si="11"/>
        <v/>
      </c>
      <c r="H108" s="1605"/>
      <c r="I108" s="1606"/>
      <c r="J108" s="192" t="str">
        <f t="shared" si="12"/>
        <v/>
      </c>
      <c r="K108" s="193"/>
      <c r="L108" s="340"/>
      <c r="M108" s="122"/>
      <c r="N108" s="4415"/>
      <c r="O108" s="4519"/>
      <c r="P108" s="121"/>
      <c r="Q108" s="847" t="s">
        <v>3</v>
      </c>
      <c r="R108" s="737" t="b">
        <f t="shared" si="13"/>
        <v>0</v>
      </c>
      <c r="S108" s="44"/>
      <c r="T108" s="44"/>
      <c r="U108" s="68"/>
      <c r="V108" s="4415"/>
      <c r="W108" s="4504"/>
      <c r="X108" s="44"/>
      <c r="Y108" s="44"/>
      <c r="Z108" s="122"/>
      <c r="AA108" s="65"/>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40"/>
    </row>
    <row r="109" spans="1:84" s="27" customFormat="1" ht="96" customHeight="1" x14ac:dyDescent="0.3">
      <c r="A109" s="1419"/>
      <c r="B109" s="1679"/>
      <c r="C109" s="1721" t="s">
        <v>1074</v>
      </c>
      <c r="D109" s="445" t="s">
        <v>3</v>
      </c>
      <c r="E109" s="208" t="b">
        <f t="shared" si="10"/>
        <v>0</v>
      </c>
      <c r="F109" s="387"/>
      <c r="G109" s="1604" t="str">
        <f t="shared" si="11"/>
        <v/>
      </c>
      <c r="H109" s="1605"/>
      <c r="I109" s="1606"/>
      <c r="J109" s="192" t="str">
        <f t="shared" si="12"/>
        <v/>
      </c>
      <c r="K109" s="193"/>
      <c r="L109" s="340"/>
      <c r="M109" s="122"/>
      <c r="N109" s="4415"/>
      <c r="O109" s="4519"/>
      <c r="P109" s="121"/>
      <c r="Q109" s="847" t="s">
        <v>3</v>
      </c>
      <c r="R109" s="737" t="b">
        <f t="shared" si="13"/>
        <v>0</v>
      </c>
      <c r="S109" s="44"/>
      <c r="T109" s="44"/>
      <c r="U109" s="68"/>
      <c r="V109" s="4415"/>
      <c r="W109" s="4504"/>
      <c r="X109" s="44"/>
      <c r="Y109" s="44"/>
      <c r="Z109" s="122"/>
      <c r="AA109" s="65"/>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40"/>
    </row>
    <row r="110" spans="1:84" s="27" customFormat="1" ht="52" customHeight="1" x14ac:dyDescent="0.3">
      <c r="A110" s="1419"/>
      <c r="B110" s="1679"/>
      <c r="C110" s="1721" t="s">
        <v>1075</v>
      </c>
      <c r="D110" s="445" t="s">
        <v>3</v>
      </c>
      <c r="E110" s="208" t="b">
        <f t="shared" si="10"/>
        <v>0</v>
      </c>
      <c r="F110" s="387"/>
      <c r="G110" s="1604" t="str">
        <f t="shared" si="11"/>
        <v/>
      </c>
      <c r="H110" s="1605"/>
      <c r="I110" s="1606"/>
      <c r="J110" s="192" t="str">
        <f t="shared" si="12"/>
        <v/>
      </c>
      <c r="K110" s="193"/>
      <c r="L110" s="340"/>
      <c r="M110" s="122"/>
      <c r="N110" s="4415"/>
      <c r="O110" s="4519"/>
      <c r="P110" s="121"/>
      <c r="Q110" s="847" t="s">
        <v>3</v>
      </c>
      <c r="R110" s="737" t="b">
        <f t="shared" si="13"/>
        <v>0</v>
      </c>
      <c r="S110" s="44"/>
      <c r="T110" s="44"/>
      <c r="U110" s="68"/>
      <c r="V110" s="4415"/>
      <c r="W110" s="4504"/>
      <c r="X110" s="44"/>
      <c r="Y110" s="44"/>
      <c r="Z110" s="122"/>
      <c r="AA110" s="65"/>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40"/>
    </row>
    <row r="111" spans="1:84" s="27" customFormat="1" ht="213" customHeight="1" x14ac:dyDescent="0.3">
      <c r="A111" s="57" t="s">
        <v>344</v>
      </c>
      <c r="B111" s="1679"/>
      <c r="C111" s="1719" t="s">
        <v>1126</v>
      </c>
      <c r="D111" s="445" t="s">
        <v>3</v>
      </c>
      <c r="E111" s="208" t="b">
        <f t="shared" si="10"/>
        <v>0</v>
      </c>
      <c r="F111" s="387"/>
      <c r="G111" s="1604" t="str">
        <f t="shared" si="11"/>
        <v/>
      </c>
      <c r="H111" s="1605"/>
      <c r="I111" s="1606"/>
      <c r="J111" s="192" t="str">
        <f t="shared" si="12"/>
        <v/>
      </c>
      <c r="K111" s="193"/>
      <c r="L111" s="340"/>
      <c r="M111" s="122"/>
      <c r="N111" s="4415"/>
      <c r="O111" s="4519"/>
      <c r="P111" s="121"/>
      <c r="Q111" s="847" t="s">
        <v>3</v>
      </c>
      <c r="R111" s="737" t="b">
        <f t="shared" si="13"/>
        <v>0</v>
      </c>
      <c r="S111" s="44"/>
      <c r="T111" s="44"/>
      <c r="U111" s="68"/>
      <c r="V111" s="4415"/>
      <c r="W111" s="4504"/>
      <c r="X111" s="44"/>
      <c r="Y111" s="44"/>
      <c r="Z111" s="122"/>
      <c r="AA111" s="65"/>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40"/>
    </row>
    <row r="112" spans="1:84" s="27" customFormat="1" ht="213" customHeight="1" thickBot="1" x14ac:dyDescent="0.35">
      <c r="A112" s="57" t="s">
        <v>345</v>
      </c>
      <c r="B112" s="1679"/>
      <c r="C112" s="1723" t="s">
        <v>1125</v>
      </c>
      <c r="D112" s="446" t="s">
        <v>3</v>
      </c>
      <c r="E112" s="595" t="b">
        <f t="shared" si="10"/>
        <v>0</v>
      </c>
      <c r="F112" s="258"/>
      <c r="G112" s="1607" t="str">
        <f>IF(I112&lt;&gt;"", "Not Blank", "")</f>
        <v/>
      </c>
      <c r="H112" s="1608"/>
      <c r="I112" s="1609"/>
      <c r="J112" s="1083" t="str">
        <f>IF(L112&lt;&gt;"", "Not Blank", "")</f>
        <v/>
      </c>
      <c r="K112" s="195"/>
      <c r="L112" s="184"/>
      <c r="M112" s="125"/>
      <c r="N112" s="4416"/>
      <c r="O112" s="4520"/>
      <c r="P112" s="123"/>
      <c r="Q112" s="848" t="s">
        <v>3</v>
      </c>
      <c r="R112" s="738" t="b">
        <f t="shared" si="13"/>
        <v>0</v>
      </c>
      <c r="S112" s="124"/>
      <c r="T112" s="124"/>
      <c r="U112" s="246"/>
      <c r="V112" s="4416"/>
      <c r="W112" s="4505"/>
      <c r="X112" s="124"/>
      <c r="Y112" s="124"/>
      <c r="Z112" s="125"/>
      <c r="AA112" s="65"/>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40"/>
    </row>
    <row r="113" ht="13.5" thickTop="1" x14ac:dyDescent="0.3"/>
  </sheetData>
  <sheetProtection algorithmName="SHA-512" hashValue="lBYkLOvv8ov5sdkd8bbWR7kRD8pa8tYXTvt/AwbcdpBWPx4l9PpBCqhwUxwC/wPoEfrOK8vFlGlNXAMK7D7xog==" saltValue="Kpxgx1euR6fPWE7eCD2AVw==" spinCount="100000" sheet="1" formatCells="0" insertHyperlinks="0" selectLockedCells="1" autoFilter="0"/>
  <mergeCells count="67">
    <mergeCell ref="N104:N112"/>
    <mergeCell ref="O104:O112"/>
    <mergeCell ref="N97:N103"/>
    <mergeCell ref="O97:O103"/>
    <mergeCell ref="V48:V51"/>
    <mergeCell ref="N48:N51"/>
    <mergeCell ref="D54:N54"/>
    <mergeCell ref="N91:N96"/>
    <mergeCell ref="O91:O96"/>
    <mergeCell ref="N88:N90"/>
    <mergeCell ref="O88:O90"/>
    <mergeCell ref="N85:N86"/>
    <mergeCell ref="O85:O86"/>
    <mergeCell ref="V85:V86"/>
    <mergeCell ref="V97:V103"/>
    <mergeCell ref="O48:O51"/>
    <mergeCell ref="B1:D1"/>
    <mergeCell ref="V91:V96"/>
    <mergeCell ref="N57:N59"/>
    <mergeCell ref="O57:O59"/>
    <mergeCell ref="V57:V59"/>
    <mergeCell ref="A70:N70"/>
    <mergeCell ref="N72:N79"/>
    <mergeCell ref="O72:O79"/>
    <mergeCell ref="V72:V79"/>
    <mergeCell ref="B2:D2"/>
    <mergeCell ref="B3:D3"/>
    <mergeCell ref="D30:N30"/>
    <mergeCell ref="A38:C38"/>
    <mergeCell ref="D38:N38"/>
    <mergeCell ref="N32:N36"/>
    <mergeCell ref="A54:C54"/>
    <mergeCell ref="A4:C4"/>
    <mergeCell ref="N60:N68"/>
    <mergeCell ref="A82:N82"/>
    <mergeCell ref="V60:V68"/>
    <mergeCell ref="W16:W28"/>
    <mergeCell ref="N44:N47"/>
    <mergeCell ref="N41:N43"/>
    <mergeCell ref="A6:C6"/>
    <mergeCell ref="A14:C14"/>
    <mergeCell ref="D14:N14"/>
    <mergeCell ref="N16:N28"/>
    <mergeCell ref="O16:O28"/>
    <mergeCell ref="V16:V28"/>
    <mergeCell ref="A30:C30"/>
    <mergeCell ref="W32:W36"/>
    <mergeCell ref="O60:O68"/>
    <mergeCell ref="O44:O47"/>
    <mergeCell ref="O41:O43"/>
    <mergeCell ref="O32:O36"/>
    <mergeCell ref="V32:V36"/>
    <mergeCell ref="W97:W103"/>
    <mergeCell ref="V104:V112"/>
    <mergeCell ref="W104:W112"/>
    <mergeCell ref="V41:V43"/>
    <mergeCell ref="W48:W51"/>
    <mergeCell ref="W44:W47"/>
    <mergeCell ref="W57:W59"/>
    <mergeCell ref="W91:W96"/>
    <mergeCell ref="V88:V90"/>
    <mergeCell ref="V44:V47"/>
    <mergeCell ref="W72:W79"/>
    <mergeCell ref="W41:W43"/>
    <mergeCell ref="W60:W68"/>
    <mergeCell ref="W85:W86"/>
    <mergeCell ref="W88:W90"/>
  </mergeCells>
  <conditionalFormatting sqref="B8:B12">
    <cfRule type="expression" dxfId="8247" priority="538">
      <formula>IF($E8=TRUE,TRUE,FALSE)</formula>
    </cfRule>
  </conditionalFormatting>
  <conditionalFormatting sqref="B13">
    <cfRule type="expression" dxfId="8246" priority="1754">
      <formula>IF($E13,TRUE)</formula>
    </cfRule>
    <cfRule type="expression" dxfId="8245" priority="13078">
      <formula>IF(AND($E13=FALSE,$N13="Not Applicable"),TRUE,FALSE)</formula>
    </cfRule>
    <cfRule type="expression" dxfId="8244" priority="13079">
      <formula>IF(AND($E13,TRUE,$N13="Not Applicable"),TRUE,FALSE)</formula>
    </cfRule>
    <cfRule type="expression" dxfId="8243" priority="13080">
      <formula>IF($E13=TRUE,TRUE,FALSE)</formula>
    </cfRule>
    <cfRule type="expression" dxfId="8242" priority="13081">
      <formula>IF(AND($E13=FALSE,$N13&lt;&gt;""),TRUE,FALSE)</formula>
    </cfRule>
  </conditionalFormatting>
  <conditionalFormatting sqref="B16:B17 D16:D17">
    <cfRule type="expression" dxfId="8241" priority="828">
      <formula>IF($E16=TRUE,TRUE,FALSE)</formula>
    </cfRule>
  </conditionalFormatting>
  <conditionalFormatting sqref="B18:B20">
    <cfRule type="expression" dxfId="8240" priority="13310">
      <formula>IF(AND($E18=FALSE,OR($I18&lt;&gt;"",$L18&lt;&gt;"")),TRUE,FALSE)</formula>
    </cfRule>
    <cfRule type="expression" dxfId="8239" priority="13311">
      <formula>IF(AND($E18=TRUE,OR($I18="",$L18="")),TRUE,FALSE)</formula>
    </cfRule>
    <cfRule type="expression" dxfId="8238" priority="13312">
      <formula>IF(AND($E18=TRUE,$I18&lt;&gt;"",$L18&lt;&gt;""),TRUE,FALSE)</formula>
    </cfRule>
    <cfRule type="expression" dxfId="8237" priority="13313">
      <formula>IF(AND($E18=FALSE,#REF!=TRUE),TRUE,FALSE)</formula>
    </cfRule>
  </conditionalFormatting>
  <conditionalFormatting sqref="B21 D21">
    <cfRule type="expression" dxfId="8236" priority="845" stopIfTrue="1">
      <formula>IF(AND($F$21&gt;1,$E21=TRUE),TRUE,FALSE)</formula>
    </cfRule>
    <cfRule type="expression" dxfId="8235" priority="846" stopIfTrue="1">
      <formula>IF(AND($F$21=1,$E21=TRUE),TRUE,FALSE)</formula>
    </cfRule>
  </conditionalFormatting>
  <conditionalFormatting sqref="B22">
    <cfRule type="expression" dxfId="8234" priority="749">
      <formula>IF(AND($E22=TRUE,$F$21&gt;1),TRUE,FALSE)</formula>
    </cfRule>
    <cfRule type="expression" dxfId="8233" priority="887">
      <formula>IF(AND($E22=FALSE,OR($I22&lt;&gt;"",$L22&lt;&gt;"")),TRUE,FALSE)</formula>
    </cfRule>
    <cfRule type="expression" dxfId="8232" priority="888">
      <formula>IF(AND($E22=TRUE,OR($I22="",$J22="")),TRUE,FALSE)</formula>
    </cfRule>
    <cfRule type="expression" dxfId="8231" priority="889">
      <formula>IF(AND($E22=TRUE,AND($I22&lt;&gt;"",$L22&lt;&gt;"")),TRUE,FALSE)</formula>
    </cfRule>
    <cfRule type="expression" dxfId="8230" priority="890">
      <formula>IF(AND($E22=FALSE,$E$21=TRUE),TRUE,FALSE)</formula>
    </cfRule>
  </conditionalFormatting>
  <conditionalFormatting sqref="B23 D23">
    <cfRule type="expression" dxfId="8229" priority="884" stopIfTrue="1">
      <formula>IF(AND($F$21&gt;0,$E23=FALSE),TRUE,FALSE)</formula>
    </cfRule>
    <cfRule type="expression" dxfId="8228" priority="885" stopIfTrue="1">
      <formula>IF(AND($F$21&gt;1,$E23=TRUE),TRUE,FALSE)</formula>
    </cfRule>
    <cfRule type="expression" dxfId="8227" priority="886" stopIfTrue="1">
      <formula>IF(AND($F$21=1,$E23=TRUE),TRUE,FALSE)</formula>
    </cfRule>
  </conditionalFormatting>
  <conditionalFormatting sqref="B24:B26">
    <cfRule type="expression" dxfId="8226" priority="878">
      <formula>IF(AND($E$21=TRUE,$D24&lt;&gt;"Compliant",$D24&lt;&gt;" "),TRUE,FALSE)</formula>
    </cfRule>
    <cfRule type="expression" dxfId="8225" priority="879">
      <formula>IF(AND($E24=TRUE,OR($F$21&gt;1,$F$23&gt;1)),TRUE,FALSE)</formula>
    </cfRule>
    <cfRule type="expression" dxfId="8224" priority="880">
      <formula>IF(AND($E24=FALSE,OR($I24&lt;&gt;"",$L24&lt;&gt;"")),TRUE,FALSE)</formula>
    </cfRule>
    <cfRule type="expression" dxfId="8223" priority="881">
      <formula>IF(AND($E24=TRUE,OR($I24="",$J24="")),TRUE,FALSE)</formula>
    </cfRule>
    <cfRule type="expression" dxfId="8222" priority="882">
      <formula>IF(AND($E24=TRUE,AND($I24&lt;&gt;"",$L24&lt;&gt;"")),TRUE,FALSE)</formula>
    </cfRule>
    <cfRule type="expression" dxfId="8221" priority="883" stopIfTrue="1">
      <formula>IF(AND($F$21&gt;0,$D24=" ",$E24=FALSE),TRUE,FALSE)</formula>
    </cfRule>
  </conditionalFormatting>
  <conditionalFormatting sqref="B27">
    <cfRule type="expression" dxfId="8220" priority="872">
      <formula>IF(AND($F$21&gt;0,$E27=FALSE,$D27&lt;&gt;"Compliant",$D27&lt;&gt;" "),TRUE,FALSE)</formula>
    </cfRule>
    <cfRule type="expression" dxfId="8219" priority="14259">
      <formula>IF(AND($E27=TRUE,$F$21&gt;1),TRUE,FALSE)</formula>
    </cfRule>
    <cfRule type="expression" dxfId="8218" priority="14260">
      <formula>IF(AND($E27=FALSE,OR($I27&lt;&gt;"",$L27&lt;&gt;"")),TRUE,FALSE)</formula>
    </cfRule>
    <cfRule type="expression" dxfId="8217" priority="14261">
      <formula>IF(AND($E27=TRUE,OR($I27="",$J27="")),TRUE,FALSE)</formula>
    </cfRule>
    <cfRule type="expression" dxfId="8216" priority="14262">
      <formula>IF(AND($E27=TRUE,AND($I27&lt;&gt;"",$L27&lt;&gt;"")),TRUE,FALSE)</formula>
    </cfRule>
    <cfRule type="expression" dxfId="8215" priority="14263">
      <formula>IF(AND($E$21=TRUE,$D27=" ",$E27=FALSE),TRUE,FALSE)</formula>
    </cfRule>
  </conditionalFormatting>
  <conditionalFormatting sqref="B28 D28">
    <cfRule type="expression" dxfId="8214" priority="531" stopIfTrue="1">
      <formula>IF(AND($F$21&gt;0,$E28=FALSE,F28=0),TRUE,FALSE)</formula>
    </cfRule>
    <cfRule type="expression" dxfId="8213" priority="807" stopIfTrue="1">
      <formula>IF(AND($F$21&gt;1,$E28=TRUE),TRUE,FALSE)</formula>
    </cfRule>
    <cfRule type="expression" dxfId="8212" priority="808" stopIfTrue="1">
      <formula>IF(AND($F$21=1,$E28=TRUE),TRUE,FALSE)</formula>
    </cfRule>
    <cfRule type="expression" dxfId="8211" priority="809" stopIfTrue="1">
      <formula>IF(AND($F$21=1,$E28=FALSE,F28&gt;0),TRUE,FALSE)</formula>
    </cfRule>
  </conditionalFormatting>
  <conditionalFormatting sqref="B32 D32">
    <cfRule type="expression" dxfId="8210" priority="1732">
      <formula>IF($E32,TRUE)</formula>
    </cfRule>
  </conditionalFormatting>
  <conditionalFormatting sqref="B33:B36">
    <cfRule type="expression" dxfId="8209" priority="1054">
      <formula>IF(AND($E33=FALSE,OR($I33&lt;&gt;"",$L33&lt;&gt;"")),TRUE,FALSE)</formula>
    </cfRule>
    <cfRule type="expression" dxfId="8208" priority="1055">
      <formula>IF(AND($E33=TRUE,OR($I33="",$J33="")),TRUE,FALSE)</formula>
    </cfRule>
    <cfRule type="expression" dxfId="8207" priority="1056">
      <formula>IF(AND($E33=TRUE,OR($I33&lt;&gt;"",$L33="")),TRUE,FALSE)</formula>
    </cfRule>
    <cfRule type="expression" dxfId="8206" priority="1057">
      <formula>IF(AND($E33=FALSE,$E$32=TRUE),TRUE,FALSE)</formula>
    </cfRule>
  </conditionalFormatting>
  <conditionalFormatting sqref="B40 D40">
    <cfRule type="expression" dxfId="8205" priority="1758">
      <formula>IF($E40,TRUE)</formula>
    </cfRule>
  </conditionalFormatting>
  <conditionalFormatting sqref="B41:B43">
    <cfRule type="expression" dxfId="8204" priority="1058">
      <formula>IF(AND($E41=FALSE,OR($I41&lt;&gt;"",$L41&lt;&gt;"")),TRUE,FALSE)</formula>
    </cfRule>
    <cfRule type="expression" dxfId="8203" priority="1059">
      <formula>IF(AND($E41=TRUE,OR($I41="",$J41="")),TRUE,FALSE)</formula>
    </cfRule>
    <cfRule type="expression" dxfId="8202" priority="1060">
      <formula>IF(AND($E41=TRUE,OR($I41&lt;&gt;"",$L41="")),TRUE,FALSE)</formula>
    </cfRule>
    <cfRule type="expression" dxfId="8201" priority="1061">
      <formula>IF(AND($E41=FALSE,$E$40=TRUE),TRUE,FALSE)</formula>
    </cfRule>
  </conditionalFormatting>
  <conditionalFormatting sqref="B44 D44">
    <cfRule type="expression" dxfId="8200" priority="1066">
      <formula>IF($E44,TRUE)</formula>
    </cfRule>
  </conditionalFormatting>
  <conditionalFormatting sqref="B45:B47">
    <cfRule type="expression" dxfId="8199" priority="1062">
      <formula>IF(AND($E45=FALSE,OR($I45&lt;&gt;"",$L45&lt;&gt;"")),TRUE,FALSE)</formula>
    </cfRule>
    <cfRule type="expression" dxfId="8198" priority="1063">
      <formula>IF(AND($E45=TRUE,OR($I45="",$J45="")),TRUE,FALSE)</formula>
    </cfRule>
    <cfRule type="expression" dxfId="8197" priority="1064">
      <formula>IF(AND($E45=TRUE,OR($I45&lt;&gt;"",$L45="")),TRUE,FALSE)</formula>
    </cfRule>
    <cfRule type="expression" dxfId="8196" priority="1065">
      <formula>IF(AND($E45=FALSE,$E$44=TRUE),TRUE,FALSE)</formula>
    </cfRule>
  </conditionalFormatting>
  <conditionalFormatting sqref="B48 D48">
    <cfRule type="expression" dxfId="8195" priority="1071">
      <formula>IF($E48,TRUE)</formula>
    </cfRule>
  </conditionalFormatting>
  <conditionalFormatting sqref="B49:B52">
    <cfRule type="expression" dxfId="8194" priority="1067">
      <formula>IF(AND($E49=FALSE,OR($I49&lt;&gt;"",$L49&lt;&gt;"")),TRUE,FALSE)</formula>
    </cfRule>
    <cfRule type="expression" dxfId="8193" priority="1068">
      <formula>IF(AND($E49=TRUE,OR($I49="",$J49="")),TRUE,FALSE)</formula>
    </cfRule>
    <cfRule type="expression" dxfId="8192" priority="1069">
      <formula>IF(AND($E49=TRUE,OR($I49&lt;&gt;"",$L49="")),TRUE,FALSE)</formula>
    </cfRule>
    <cfRule type="expression" dxfId="8191" priority="1070">
      <formula>IF(AND($E49=FALSE,$E$48=TRUE),TRUE,FALSE)</formula>
    </cfRule>
  </conditionalFormatting>
  <conditionalFormatting sqref="B56 D56">
    <cfRule type="expression" dxfId="8190" priority="1077">
      <formula>IF($E56,TRUE)</formula>
    </cfRule>
  </conditionalFormatting>
  <conditionalFormatting sqref="B57:B59">
    <cfRule type="expression" dxfId="8189" priority="1078">
      <formula>IF(AND($E57=FALSE,OR($I57&lt;&gt;"",$L57&lt;&gt;"")),TRUE,FALSE)</formula>
    </cfRule>
    <cfRule type="expression" dxfId="8188" priority="1079">
      <formula>IF(AND($E57=TRUE,OR($I57="",$J57="")),TRUE,FALSE)</formula>
    </cfRule>
    <cfRule type="expression" dxfId="8187" priority="1080">
      <formula>IF(AND($E57=TRUE,OR($I57&lt;&gt;"",$L57="")),TRUE,FALSE)</formula>
    </cfRule>
    <cfRule type="expression" dxfId="8186" priority="1081">
      <formula>IF(AND($E57=FALSE,$E$56=TRUE),TRUE,FALSE)</formula>
    </cfRule>
  </conditionalFormatting>
  <conditionalFormatting sqref="B60 D60">
    <cfRule type="expression" dxfId="8185" priority="1076">
      <formula>IF($E60,TRUE)</formula>
    </cfRule>
  </conditionalFormatting>
  <conditionalFormatting sqref="B61:B68">
    <cfRule type="expression" dxfId="8184" priority="1072">
      <formula>IF(AND($E61=FALSE,OR($I61&lt;&gt;"",$L61&lt;&gt;"")),TRUE,FALSE)</formula>
    </cfRule>
    <cfRule type="expression" dxfId="8183" priority="1073">
      <formula>IF(AND($E61=TRUE,OR($I61="",$J61="")),TRUE,FALSE)</formula>
    </cfRule>
    <cfRule type="expression" dxfId="8182" priority="1074">
      <formula>IF(AND($E61=TRUE,OR($I61&lt;&gt;"",$L61="")),TRUE,FALSE)</formula>
    </cfRule>
    <cfRule type="expression" dxfId="8181" priority="1075">
      <formula>IF(AND($E61=FALSE,$E$60=TRUE),TRUE,FALSE)</formula>
    </cfRule>
  </conditionalFormatting>
  <conditionalFormatting sqref="B84 D84">
    <cfRule type="expression" dxfId="8180" priority="381">
      <formula>IF($E84,TRUE)</formula>
    </cfRule>
    <cfRule type="expression" dxfId="8179" priority="388">
      <formula>IF(AND($E$21=TRUE,$E84=FALSE,$F84&gt;0),TRUE,FALSE)</formula>
    </cfRule>
    <cfRule type="expression" dxfId="8178" priority="488">
      <formula>IF(AND($E$21=TRUE,$E84=FALSE),TRUE,FALSE)</formula>
    </cfRule>
  </conditionalFormatting>
  <conditionalFormatting sqref="B85:B86 B92:B96 B98:B103 B105:B112">
    <cfRule type="expression" dxfId="8177" priority="14275">
      <formula>IF(AND($E85=FALSE,OR($I85&lt;&gt;"",$L85&lt;&gt;"")),TRUE,FALSE)</formula>
    </cfRule>
    <cfRule type="expression" dxfId="8176" priority="14276">
      <formula>IF(AND($E85=TRUE,OR($I85="",$J85="")),TRUE,FALSE)</formula>
    </cfRule>
    <cfRule type="expression" dxfId="8175" priority="14277">
      <formula>IF(AND($E85=TRUE,OR($I85&lt;&gt;"",$L85="")),TRUE,FALSE)</formula>
    </cfRule>
    <cfRule type="expression" dxfId="8174" priority="14278">
      <formula>IF(AND($E$21=TRUE,E85=FALSE),TRUE,FALSE)</formula>
    </cfRule>
  </conditionalFormatting>
  <conditionalFormatting sqref="B91 D91 B97 D97 B104 D104">
    <cfRule type="expression" dxfId="8173" priority="14327">
      <formula>IF($E91,TRUE)</formula>
    </cfRule>
    <cfRule type="expression" dxfId="8172" priority="14329">
      <formula>IF(AND($E$21=TRUE,$E91=FALSE),TRUE,FALSE)</formula>
    </cfRule>
  </conditionalFormatting>
  <conditionalFormatting sqref="B93">
    <cfRule type="expression" dxfId="8171" priority="385">
      <formula>IF($E93,TRUE)</formula>
    </cfRule>
  </conditionalFormatting>
  <conditionalFormatting sqref="B73:B79">
    <cfRule type="expression" dxfId="8170" priority="389">
      <formula>IF(AND($E73=FALSE,$E$84=TRUE),TRUE,FALSE)</formula>
    </cfRule>
  </conditionalFormatting>
  <conditionalFormatting sqref="D8:D12">
    <cfRule type="expression" dxfId="8169" priority="537">
      <formula>IF($E8,TRUE)</formula>
    </cfRule>
  </conditionalFormatting>
  <conditionalFormatting sqref="D18:D20">
    <cfRule type="expression" dxfId="8168" priority="342">
      <formula>IF($D18="Compliant",TRUE)</formula>
    </cfRule>
    <cfRule type="expression" dxfId="8167" priority="343">
      <formula>IF($D18=" ",TRUE)</formula>
    </cfRule>
    <cfRule type="expression" dxfId="8166" priority="349">
      <formula>IF($D18="Not Compliant",TRUE)</formula>
    </cfRule>
  </conditionalFormatting>
  <conditionalFormatting sqref="D22">
    <cfRule type="expression" dxfId="8165" priority="847">
      <formula>IF($D22="Compliant",TRUE)</formula>
    </cfRule>
    <cfRule type="expression" dxfId="8164" priority="848">
      <formula>IF($D22=" ",TRUE)</formula>
    </cfRule>
    <cfRule type="expression" dxfId="8163" priority="854">
      <formula>IF($D22="Not Compliant",TRUE)</formula>
    </cfRule>
  </conditionalFormatting>
  <conditionalFormatting sqref="D24:D26">
    <cfRule type="expression" dxfId="8162" priority="51">
      <formula>IF(AND($E$21=TRUE,$D24&lt;&gt;"Compliant",$D24&lt;&gt;" "),TRUE,FALSE)</formula>
    </cfRule>
    <cfRule type="expression" dxfId="8161" priority="53">
      <formula>IF(AND($E23=TRUE,OR($F$21&gt;1,$F$23&gt;1)),TRUE,FALSE)</formula>
    </cfRule>
    <cfRule type="expression" dxfId="8160" priority="54">
      <formula>IF(AND($E24=FALSE,OR($I24&lt;&gt;"",$L24&lt;&gt;"")),TRUE,FALSE)</formula>
    </cfRule>
    <cfRule type="expression" dxfId="8159" priority="55">
      <formula>IF(AND($E24=TRUE,OR($I24="",$J24="")),TRUE,FALSE)</formula>
    </cfRule>
    <cfRule type="expression" dxfId="8158" priority="56">
      <formula>IF(AND($E24=TRUE,AND($I24&lt;&gt;"",$L24&lt;&gt;"")),TRUE,FALSE)</formula>
    </cfRule>
    <cfRule type="expression" priority="57">
      <formula>IF(AND($F$21&gt;0,$D24=" ",$E24=FALSE),TRUE,FALSE)</formula>
    </cfRule>
  </conditionalFormatting>
  <conditionalFormatting sqref="D25">
    <cfRule type="expression" dxfId="8157" priority="855">
      <formula>IF(AND($F$20&gt;0,$D24=" ",$E24=FALSE),TRUE,FALSE)</formula>
    </cfRule>
  </conditionalFormatting>
  <conditionalFormatting sqref="D27">
    <cfRule type="expression" dxfId="8156" priority="863">
      <formula>IF($D27="Compliant",TRUE)</formula>
    </cfRule>
    <cfRule type="expression" dxfId="8155" priority="864">
      <formula>IF($D27=" ",TRUE)</formula>
    </cfRule>
    <cfRule type="expression" dxfId="8154" priority="870">
      <formula>IF($D27="Not Compliant",TRUE)</formula>
    </cfRule>
  </conditionalFormatting>
  <conditionalFormatting sqref="D33:D36">
    <cfRule type="expression" dxfId="8153" priority="945">
      <formula>IF($D33="Compliant",TRUE)</formula>
    </cfRule>
    <cfRule type="expression" dxfId="8152" priority="946">
      <formula>IF($D33=" ",TRUE)</formula>
    </cfRule>
    <cfRule type="expression" dxfId="8151" priority="952">
      <formula>IF($D33="Not Compliant",TRUE)</formula>
    </cfRule>
  </conditionalFormatting>
  <conditionalFormatting sqref="D41:D43">
    <cfRule type="expression" dxfId="8150" priority="937">
      <formula>IF($D41="Compliant",TRUE)</formula>
    </cfRule>
    <cfRule type="expression" dxfId="8149" priority="938">
      <formula>IF($D41=" ",TRUE)</formula>
    </cfRule>
    <cfRule type="expression" dxfId="8148" priority="944">
      <formula>IF($D41="Not Compliant",TRUE)</formula>
    </cfRule>
  </conditionalFormatting>
  <conditionalFormatting sqref="D45:D47">
    <cfRule type="expression" dxfId="8147" priority="929">
      <formula>IF($D45="Compliant",TRUE)</formula>
    </cfRule>
    <cfRule type="expression" dxfId="8146" priority="930">
      <formula>IF($D45=" ",TRUE)</formula>
    </cfRule>
    <cfRule type="expression" dxfId="8145" priority="936">
      <formula>IF($D45="Not Compliant",TRUE)</formula>
    </cfRule>
  </conditionalFormatting>
  <conditionalFormatting sqref="D49:D52">
    <cfRule type="expression" dxfId="8144" priority="921">
      <formula>IF($D49="Compliant",TRUE)</formula>
    </cfRule>
    <cfRule type="expression" dxfId="8143" priority="922">
      <formula>IF($D49=" ",TRUE)</formula>
    </cfRule>
    <cfRule type="expression" dxfId="8142" priority="928">
      <formula>IF($D49="Not Compliant",TRUE)</formula>
    </cfRule>
  </conditionalFormatting>
  <conditionalFormatting sqref="D57:D59">
    <cfRule type="expression" dxfId="8141" priority="913">
      <formula>IF($D57="Compliant",TRUE)</formula>
    </cfRule>
    <cfRule type="expression" dxfId="8140" priority="914">
      <formula>IF($D57=" ",TRUE)</formula>
    </cfRule>
    <cfRule type="expression" dxfId="8139" priority="920">
      <formula>IF($D57="Not Compliant",TRUE)</formula>
    </cfRule>
  </conditionalFormatting>
  <conditionalFormatting sqref="D61:D68">
    <cfRule type="expression" dxfId="8138" priority="542">
      <formula>IF($D61="Compliant",TRUE)</formula>
    </cfRule>
    <cfRule type="expression" dxfId="8137" priority="543">
      <formula>IF($D61=" ",TRUE)</formula>
    </cfRule>
    <cfRule type="expression" dxfId="8136" priority="549">
      <formula>IF($D61="Not Compliant",TRUE)</formula>
    </cfRule>
  </conditionalFormatting>
  <conditionalFormatting sqref="D85:D86">
    <cfRule type="expression" dxfId="8135" priority="470">
      <formula>IF($D85="Compliant",TRUE)</formula>
    </cfRule>
    <cfRule type="expression" dxfId="8134" priority="471">
      <formula>IF($D85=" ",TRUE)</formula>
    </cfRule>
    <cfRule type="expression" dxfId="8133" priority="477">
      <formula>IF($D85="Not Compliant",TRUE)</formula>
    </cfRule>
  </conditionalFormatting>
  <conditionalFormatting sqref="D89:D90">
    <cfRule type="expression" dxfId="8132" priority="462">
      <formula>IF($D89="Compliant",TRUE)</formula>
    </cfRule>
    <cfRule type="expression" dxfId="8131" priority="463">
      <formula>IF($D89=" ",TRUE)</formula>
    </cfRule>
    <cfRule type="expression" dxfId="8130" priority="469">
      <formula>IF($D89="Not Compliant",TRUE)</formula>
    </cfRule>
  </conditionalFormatting>
  <conditionalFormatting sqref="D92:D96">
    <cfRule type="expression" dxfId="8129" priority="454">
      <formula>IF($D92="Compliant",TRUE)</formula>
    </cfRule>
    <cfRule type="expression" dxfId="8128" priority="455">
      <formula>IF($D92=" ",TRUE)</formula>
    </cfRule>
    <cfRule type="expression" dxfId="8127" priority="461">
      <formula>IF($D92="Not Compliant",TRUE)</formula>
    </cfRule>
  </conditionalFormatting>
  <conditionalFormatting sqref="D98:D103">
    <cfRule type="expression" dxfId="8126" priority="438">
      <formula>IF($D98="Compliant",TRUE)</formula>
    </cfRule>
    <cfRule type="expression" dxfId="8125" priority="439">
      <formula>IF($D98=" ",TRUE)</formula>
    </cfRule>
    <cfRule type="expression" dxfId="8124" priority="445">
      <formula>IF($D98="Not Compliant",TRUE)</formula>
    </cfRule>
  </conditionalFormatting>
  <conditionalFormatting sqref="D105:D112">
    <cfRule type="expression" dxfId="8123" priority="430">
      <formula>IF($D105="Compliant",TRUE)</formula>
    </cfRule>
    <cfRule type="expression" dxfId="8122" priority="431">
      <formula>IF($D105=" ",TRUE)</formula>
    </cfRule>
    <cfRule type="expression" dxfId="8121" priority="437">
      <formula>IF($D105="Not Compliant",TRUE)</formula>
    </cfRule>
  </conditionalFormatting>
  <conditionalFormatting sqref="N8:N12 Q8:Q12 V8:V12">
    <cfRule type="expression" dxfId="8120" priority="271">
      <formula>IF(O8=FALSE,TRUE,FALSE)</formula>
    </cfRule>
    <cfRule type="expression" dxfId="8119" priority="272">
      <formula>IF(O8=TRUE,TRUE,FALSE)</formula>
    </cfRule>
  </conditionalFormatting>
  <conditionalFormatting sqref="N16">
    <cfRule type="expression" dxfId="8118" priority="262">
      <formula>IF($N16="Compliant",TRUE)</formula>
    </cfRule>
    <cfRule type="expression" dxfId="8117" priority="263">
      <formula>IF($N16="FE with work-a-round",TRUE)</formula>
    </cfRule>
    <cfRule type="expression" dxfId="8116" priority="264">
      <formula>IF($N16="Functionally Equivalent",TRUE)</formula>
    </cfRule>
    <cfRule type="expression" dxfId="8115" priority="265">
      <formula>IF($N16="Likely to become compliant",TRUE)</formula>
    </cfRule>
    <cfRule type="expression" dxfId="8114" priority="266">
      <formula>IF($N16="Partly Compliant",TRUE)</formula>
    </cfRule>
    <cfRule type="expression" dxfId="8113" priority="267">
      <formula>IF($N16="Unknown/Missing",TRUE)</formula>
    </cfRule>
    <cfRule type="expression" dxfId="8112" priority="268">
      <formula>IF($N16="Not Required/Applicable",TRUE)</formula>
    </cfRule>
    <cfRule type="expression" dxfId="8111" priority="269">
      <formula>IF($N16="Not Compliant",TRUE)</formula>
    </cfRule>
    <cfRule type="expression" dxfId="8110" priority="270">
      <formula>IF($N16=" ",TRUE)</formula>
    </cfRule>
  </conditionalFormatting>
  <conditionalFormatting sqref="N32">
    <cfRule type="expression" dxfId="8109" priority="303">
      <formula>IF($N32="Compliant",TRUE)</formula>
    </cfRule>
    <cfRule type="expression" dxfId="8108" priority="304">
      <formula>IF($N32="FE with work-a-round",TRUE)</formula>
    </cfRule>
    <cfRule type="expression" dxfId="8107" priority="305">
      <formula>IF($N32="Functionally Equivalent",TRUE)</formula>
    </cfRule>
    <cfRule type="expression" dxfId="8106" priority="306">
      <formula>IF($N32="Likely to become compliant",TRUE)</formula>
    </cfRule>
    <cfRule type="expression" dxfId="8105" priority="307">
      <formula>IF($N32="Partly Compliant",TRUE)</formula>
    </cfRule>
    <cfRule type="expression" dxfId="8104" priority="308">
      <formula>IF($N32="Unknown/Missing",TRUE)</formula>
    </cfRule>
    <cfRule type="expression" dxfId="8103" priority="309">
      <formula>IF($N32="Not Required/Applicable",TRUE)</formula>
    </cfRule>
    <cfRule type="expression" dxfId="8102" priority="310">
      <formula>IF($N32="Not Compliant",TRUE)</formula>
    </cfRule>
    <cfRule type="expression" dxfId="8101" priority="311">
      <formula>IF($N32=" ",TRUE)</formula>
    </cfRule>
  </conditionalFormatting>
  <conditionalFormatting sqref="N40">
    <cfRule type="expression" dxfId="8100" priority="277">
      <formula>IF(O40=FALSE,TRUE,FALSE)</formula>
    </cfRule>
    <cfRule type="expression" dxfId="8099" priority="278">
      <formula>IF(O40=TRUE,TRUE,FALSE)</formula>
    </cfRule>
  </conditionalFormatting>
  <conditionalFormatting sqref="N41 N44 N48 N52">
    <cfRule type="expression" dxfId="8098" priority="214">
      <formula>IF($N41="Compliant",TRUE)</formula>
    </cfRule>
    <cfRule type="expression" dxfId="8097" priority="215">
      <formula>IF($N41="FE with work-a-round",TRUE)</formula>
    </cfRule>
    <cfRule type="expression" dxfId="8096" priority="216">
      <formula>IF($N41="Functionally Equivalent",TRUE)</formula>
    </cfRule>
    <cfRule type="expression" dxfId="8095" priority="217">
      <formula>IF($N41="Likely to become compliant",TRUE)</formula>
    </cfRule>
    <cfRule type="expression" dxfId="8094" priority="218">
      <formula>IF($N41="Partly Compliant",TRUE)</formula>
    </cfRule>
    <cfRule type="expression" dxfId="8093" priority="219">
      <formula>IF($N41="Unknown/Missing",TRUE)</formula>
    </cfRule>
    <cfRule type="expression" dxfId="8092" priority="220">
      <formula>IF($N41="Not Required/Applicable",TRUE)</formula>
    </cfRule>
    <cfRule type="expression" dxfId="8091" priority="221">
      <formula>IF($N41="Not Compliant",TRUE)</formula>
    </cfRule>
    <cfRule type="expression" dxfId="8090" priority="222">
      <formula>IF($N41=" ",TRUE)</formula>
    </cfRule>
  </conditionalFormatting>
  <conditionalFormatting sqref="N56">
    <cfRule type="expression" dxfId="8089" priority="208">
      <formula>IF(O56=FALSE,TRUE,FALSE)</formula>
    </cfRule>
    <cfRule type="expression" dxfId="8088" priority="209">
      <formula>IF(O56=TRUE,TRUE,FALSE)</formula>
    </cfRule>
  </conditionalFormatting>
  <conditionalFormatting sqref="N57 N60">
    <cfRule type="expression" dxfId="8087" priority="67">
      <formula>IF($N57="Compliant",TRUE)</formula>
    </cfRule>
    <cfRule type="expression" dxfId="8086" priority="68">
      <formula>IF($N57="FE with work-a-round",TRUE)</formula>
    </cfRule>
    <cfRule type="expression" dxfId="8085" priority="69">
      <formula>IF($N57="Functionally Equivalent",TRUE)</formula>
    </cfRule>
    <cfRule type="expression" dxfId="8084" priority="70">
      <formula>IF($N57="Likely to become compliant",TRUE)</formula>
    </cfRule>
    <cfRule type="expression" dxfId="8083" priority="71">
      <formula>IF($N57="Partly Compliant",TRUE)</formula>
    </cfRule>
    <cfRule type="expression" dxfId="8082" priority="72">
      <formula>IF($N57="Unknown/Missing",TRUE)</formula>
    </cfRule>
    <cfRule type="expression" dxfId="8081" priority="73">
      <formula>IF($N57="Not Required/Applicable",TRUE)</formula>
    </cfRule>
    <cfRule type="expression" dxfId="8080" priority="74">
      <formula>IF($N57="Not Compliant",TRUE)</formula>
    </cfRule>
    <cfRule type="expression" dxfId="8079" priority="75">
      <formula>IF($N57=" ",TRUE)</formula>
    </cfRule>
  </conditionalFormatting>
  <conditionalFormatting sqref="N84">
    <cfRule type="expression" dxfId="8078" priority="86">
      <formula>IF(O84=FALSE,TRUE,FALSE)</formula>
    </cfRule>
    <cfRule type="expression" dxfId="8077" priority="87">
      <formula>IF(O84=TRUE,TRUE,FALSE)</formula>
    </cfRule>
  </conditionalFormatting>
  <conditionalFormatting sqref="N85 N88 N91 N97 N104">
    <cfRule type="expression" dxfId="8076" priority="58">
      <formula>IF($N85="Compliant",TRUE)</formula>
    </cfRule>
    <cfRule type="expression" dxfId="8075" priority="59">
      <formula>IF($N85="FE with work-a-round",TRUE)</formula>
    </cfRule>
    <cfRule type="expression" dxfId="8074" priority="60">
      <formula>IF($N85="Functionally Equivalent",TRUE)</formula>
    </cfRule>
    <cfRule type="expression" dxfId="8073" priority="61">
      <formula>IF($N85="Likely to become compliant",TRUE)</formula>
    </cfRule>
    <cfRule type="expression" dxfId="8072" priority="62">
      <formula>IF($N85="Partly Compliant",TRUE)</formula>
    </cfRule>
    <cfRule type="expression" dxfId="8071" priority="63">
      <formula>IF($N85="Unknown/Missing",TRUE)</formula>
    </cfRule>
    <cfRule type="expression" dxfId="8070" priority="64">
      <formula>IF($N85="Not Required/Applicable",TRUE)</formula>
    </cfRule>
    <cfRule type="expression" dxfId="8069" priority="65">
      <formula>IF($N85="Not Compliant",TRUE)</formula>
    </cfRule>
    <cfRule type="expression" dxfId="8068" priority="66">
      <formula>IF($N85=" ",TRUE)</formula>
    </cfRule>
  </conditionalFormatting>
  <conditionalFormatting sqref="N87">
    <cfRule type="expression" dxfId="8067" priority="80">
      <formula>IF(O87=FALSE,TRUE,FALSE)</formula>
    </cfRule>
    <cfRule type="expression" dxfId="8066" priority="81">
      <formula>IF(O87=TRUE,TRUE,FALSE)</formula>
    </cfRule>
  </conditionalFormatting>
  <conditionalFormatting sqref="N13:O13">
    <cfRule type="expression" dxfId="8065" priority="13090">
      <formula>IF(AND($E13=FALSE,$N13="Not Applicable"),TRUE,FALSE)</formula>
    </cfRule>
    <cfRule type="expression" dxfId="8064" priority="13091">
      <formula>IF(AND($E13=TRUE,$L13="",$N13="Applicable"),TRUE,FALSE)</formula>
    </cfRule>
    <cfRule type="expression" dxfId="8063" priority="13092">
      <formula>IF(AND($E13=TRUE,$L13&lt;&gt;"",$N13="Applicable"),TRUE,FALSE)</formula>
    </cfRule>
    <cfRule type="expression" dxfId="8062" priority="13093">
      <formula>IF(AND($E13=FALSE,$N13&lt;&gt;""),TRUE,FALSE)</formula>
    </cfRule>
    <cfRule type="expression" dxfId="8061" priority="13094">
      <formula>IF(AND($L13&lt;&gt;"",$N13&lt;&gt;""),TRUE,FALSE)</formula>
    </cfRule>
  </conditionalFormatting>
  <conditionalFormatting sqref="N39:O39 N53:O53 N55:O55">
    <cfRule type="containsText" dxfId="8060" priority="13103" operator="containsText" text="Not Compliant">
      <formula>NOT(ISERROR(SEARCH("Not Compliant",N39)))</formula>
    </cfRule>
    <cfRule type="expression" dxfId="8059" priority="13104">
      <formula>IF(AND($E39=TRUE,$I39="",$N39="Compliant"),TRUE,FALSE)</formula>
    </cfRule>
    <cfRule type="expression" dxfId="8058" priority="13105">
      <formula>IF(AND($E39=TRUE,$I39&lt;&gt;"",$N39="Compliant"),TRUE,FALSE)</formula>
    </cfRule>
    <cfRule type="expression" dxfId="8057" priority="13106">
      <formula>IF($N39&lt;&gt;"",TRUE,FALSE)</formula>
    </cfRule>
    <cfRule type="expression" dxfId="8056" priority="13107">
      <formula>IF(AND($E39=FALSE,$N39&lt;&gt;""),TRUE,FALSE)</formula>
    </cfRule>
    <cfRule type="expression" dxfId="8055" priority="13108">
      <formula>IF(AND($I39&lt;&gt;"",$N39&lt;&gt;""),TRUE,FALSE)</formula>
    </cfRule>
  </conditionalFormatting>
  <conditionalFormatting sqref="O40">
    <cfRule type="expression" dxfId="8054" priority="279">
      <formula>IF(AND($E40=TRUE,$I40="Valid Entry required below - Check amber box",#REF!="Compliant"),TRUE,FALSE)</formula>
    </cfRule>
    <cfRule type="expression" dxfId="8053" priority="280">
      <formula>IF(AND($E40=TRUE,$I40="Valid Entry made below",#REF!="Compliant"),TRUE,FALSE)</formula>
    </cfRule>
    <cfRule type="expression" dxfId="8052" priority="281">
      <formula>IF(AND($E40=FALSE,#REF!&lt;&gt;""),TRUE,FALSE)</formula>
    </cfRule>
    <cfRule type="expression" dxfId="8051" priority="282">
      <formula>IF(AND($I40&lt;&gt;"",#REF!&lt;&gt;""),TRUE,FALSE)</formula>
    </cfRule>
  </conditionalFormatting>
  <conditionalFormatting sqref="O56">
    <cfRule type="expression" dxfId="8050" priority="210">
      <formula>IF(AND($E56=TRUE,$I56="Valid Entry required below - Check amber box",#REF!="Compliant"),TRUE,FALSE)</formula>
    </cfRule>
    <cfRule type="expression" dxfId="8049" priority="211">
      <formula>IF(AND($E56=TRUE,$I56="Valid Entry made below",#REF!="Compliant"),TRUE,FALSE)</formula>
    </cfRule>
    <cfRule type="expression" dxfId="8048" priority="212">
      <formula>IF(AND($E56=FALSE,#REF!&lt;&gt;""),TRUE,FALSE)</formula>
    </cfRule>
    <cfRule type="expression" dxfId="8047" priority="213">
      <formula>IF(AND($I56&lt;&gt;"",#REF!&lt;&gt;""),TRUE,FALSE)</formula>
    </cfRule>
  </conditionalFormatting>
  <conditionalFormatting sqref="O84">
    <cfRule type="expression" dxfId="8046" priority="88">
      <formula>IF(AND($E84=TRUE,$I84="Valid Entry required below - Check amber box",#REF!="Compliant"),TRUE,FALSE)</formula>
    </cfRule>
    <cfRule type="expression" dxfId="8045" priority="89">
      <formula>IF(AND($E84=TRUE,$I84="Valid Entry made below",#REF!="Compliant"),TRUE,FALSE)</formula>
    </cfRule>
    <cfRule type="expression" dxfId="8044" priority="90">
      <formula>IF(AND($E84=FALSE,#REF!&lt;&gt;""),TRUE,FALSE)</formula>
    </cfRule>
    <cfRule type="expression" dxfId="8043" priority="91">
      <formula>IF(AND($I84&lt;&gt;"",#REF!&lt;&gt;""),TRUE,FALSE)</formula>
    </cfRule>
  </conditionalFormatting>
  <conditionalFormatting sqref="O87">
    <cfRule type="expression" dxfId="8042" priority="82">
      <formula>IF(AND($E87=TRUE,$I87="Valid Entry required below - Check amber box",#REF!="Compliant"),TRUE,FALSE)</formula>
    </cfRule>
    <cfRule type="expression" dxfId="8041" priority="83">
      <formula>IF(AND($E87=TRUE,$I87="Valid Entry made below",#REF!="Compliant"),TRUE,FALSE)</formula>
    </cfRule>
    <cfRule type="expression" dxfId="8040" priority="84">
      <formula>IF(AND($E87=FALSE,#REF!&lt;&gt;""),TRUE,FALSE)</formula>
    </cfRule>
    <cfRule type="expression" dxfId="8039" priority="85">
      <formula>IF(AND($I87&lt;&gt;"",#REF!&lt;&gt;""),TRUE,FALSE)</formula>
    </cfRule>
  </conditionalFormatting>
  <conditionalFormatting sqref="P13">
    <cfRule type="beginsWith" dxfId="8038" priority="1775" operator="beginsWith" text="Likely">
      <formula>LEFT(P13,LEN("Likely"))="Likely"</formula>
    </cfRule>
    <cfRule type="beginsWith" dxfId="8037" priority="1776" operator="beginsWith" text="Not Applicable">
      <formula>LEFT(P13,LEN("Not Applicable"))="Not Applicable"</formula>
    </cfRule>
    <cfRule type="beginsWith" dxfId="8036" priority="1777" operator="beginsWith" text="Applicable">
      <formula>LEFT(P13,LEN("Applicable"))="Applicable"</formula>
    </cfRule>
    <cfRule type="beginsWith" dxfId="8035" priority="1778" operator="beginsWith" text="Partly">
      <formula>LEFT(P13,LEN("Partly"))="Partly"</formula>
    </cfRule>
    <cfRule type="beginsWith" dxfId="8034" priority="1779" operator="beginsWith" text="Missing">
      <formula>LEFT(P13,LEN("Missing"))="Missing"</formula>
    </cfRule>
    <cfRule type="beginsWith" dxfId="8033" priority="1780" operator="beginsWith" text="Not">
      <formula>LEFT(P13,LEN("Not"))="Not"</formula>
    </cfRule>
    <cfRule type="beginsWith" dxfId="8032" priority="1781" operator="beginsWith" text="Compliant">
      <formula>LEFT(P13,LEN("Compliant"))="Compliant"</formula>
    </cfRule>
    <cfRule type="containsText" dxfId="8031" priority="1782" operator="containsText" text="Equivalent">
      <formula>NOT(ISERROR(SEARCH("Equivalent",P13)))</formula>
    </cfRule>
  </conditionalFormatting>
  <conditionalFormatting sqref="Q16:Q17">
    <cfRule type="expression" dxfId="8030" priority="240">
      <formula>IF(R16=FALSE,TRUE,FALSE)</formula>
    </cfRule>
    <cfRule type="expression" dxfId="8029" priority="241">
      <formula>IF(R16=TRUE,TRUE,FALSE)</formula>
    </cfRule>
  </conditionalFormatting>
  <conditionalFormatting sqref="Q18:Q20 Q22 Q24:Q27 Q41:Q43 Q45:Q47 Q49:Q52 Q57:Q59 Q61:Q68 Q85:Q86 Q89:Q90 Q92:Q96 Q98:Q103 Q105:Q112">
    <cfRule type="expression" dxfId="8028" priority="225">
      <formula>IF(Q18="Compliant",TRUE)</formula>
    </cfRule>
    <cfRule type="expression" dxfId="8027" priority="226">
      <formula>IF(Q18="FE with work-a-round",TRUE)</formula>
    </cfRule>
    <cfRule type="expression" dxfId="8026" priority="227">
      <formula>IF(Q18="Functionally Equivalent",TRUE)</formula>
    </cfRule>
    <cfRule type="expression" dxfId="8025" priority="228">
      <formula>IF($Q18="Likely to become compliant",TRUE)</formula>
    </cfRule>
    <cfRule type="expression" dxfId="8024" priority="229">
      <formula>IF($Q18="Partly Compliant",TRUE)</formula>
    </cfRule>
    <cfRule type="expression" dxfId="8023" priority="230">
      <formula>IF($Q18="Unknown/Missing",TRUE)</formula>
    </cfRule>
    <cfRule type="expression" dxfId="8022" priority="231">
      <formula>IF($Q18="Not Required/Applicable",TRUE)</formula>
    </cfRule>
    <cfRule type="expression" dxfId="8021" priority="232">
      <formula>IF(Q18="Not Compliant",TRUE)</formula>
    </cfRule>
    <cfRule type="expression" dxfId="8020" priority="233">
      <formula>IF(Q18=" ",TRUE)</formula>
    </cfRule>
  </conditionalFormatting>
  <conditionalFormatting sqref="Q21">
    <cfRule type="expression" dxfId="8019" priority="238">
      <formula>IF(R21=FALSE,TRUE,FALSE)</formula>
    </cfRule>
    <cfRule type="expression" dxfId="8018" priority="239">
      <formula>IF(R21=TRUE,TRUE,FALSE)</formula>
    </cfRule>
  </conditionalFormatting>
  <conditionalFormatting sqref="Q23">
    <cfRule type="expression" dxfId="8017" priority="236">
      <formula>IF(R23=FALSE,TRUE,FALSE)</formula>
    </cfRule>
    <cfRule type="expression" dxfId="8016" priority="237">
      <formula>IF(R23=TRUE,TRUE,FALSE)</formula>
    </cfRule>
  </conditionalFormatting>
  <conditionalFormatting sqref="Q28">
    <cfRule type="expression" dxfId="8015" priority="234">
      <formula>IF(R28=FALSE,TRUE,FALSE)</formula>
    </cfRule>
    <cfRule type="expression" dxfId="8014" priority="235">
      <formula>IF(R28=TRUE,TRUE,FALSE)</formula>
    </cfRule>
  </conditionalFormatting>
  <conditionalFormatting sqref="Q32">
    <cfRule type="expression" dxfId="8013" priority="283">
      <formula>IF(R32=FALSE,TRUE,FALSE)</formula>
    </cfRule>
    <cfRule type="expression" dxfId="8012" priority="284">
      <formula>IF(R32=TRUE,TRUE,FALSE)</formula>
    </cfRule>
  </conditionalFormatting>
  <conditionalFormatting sqref="Q33:Q36">
    <cfRule type="expression" dxfId="8011" priority="294">
      <formula>IF(Q33="Compliant",TRUE)</formula>
    </cfRule>
    <cfRule type="expression" dxfId="8010" priority="295">
      <formula>IF(Q33="FE with work-a-round",TRUE)</formula>
    </cfRule>
    <cfRule type="expression" dxfId="8009" priority="296">
      <formula>IF(Q33="Functionally Equivalent",TRUE)</formula>
    </cfRule>
    <cfRule type="expression" dxfId="8008" priority="297">
      <formula>IF($Q33="Likely to become compliant",TRUE)</formula>
    </cfRule>
    <cfRule type="expression" dxfId="8007" priority="298">
      <formula>IF($Q33="Partly Compliant",TRUE)</formula>
    </cfRule>
    <cfRule type="expression" dxfId="8006" priority="299">
      <formula>IF($Q33="Unknown/Missing",TRUE)</formula>
    </cfRule>
    <cfRule type="expression" dxfId="8005" priority="300">
      <formula>IF($Q33="Not Required/Applicable",TRUE)</formula>
    </cfRule>
    <cfRule type="expression" dxfId="8004" priority="301">
      <formula>IF(Q33="Not Compliant",TRUE)</formula>
    </cfRule>
    <cfRule type="expression" dxfId="8003" priority="302">
      <formula>IF(Q33=" ",TRUE)</formula>
    </cfRule>
  </conditionalFormatting>
  <conditionalFormatting sqref="Q40">
    <cfRule type="expression" dxfId="8002" priority="275">
      <formula>IF(R40=FALSE,TRUE,FALSE)</formula>
    </cfRule>
    <cfRule type="expression" dxfId="8001" priority="276">
      <formula>IF(R40=TRUE,TRUE,FALSE)</formula>
    </cfRule>
  </conditionalFormatting>
  <conditionalFormatting sqref="Q44 Q48 Q56 Q60 Q84 Q87:Q88 Q91 Q97 Q104">
    <cfRule type="expression" dxfId="8000" priority="223">
      <formula>IF(R44=FALSE,TRUE,FALSE)</formula>
    </cfRule>
    <cfRule type="expression" dxfId="7999" priority="224">
      <formula>IF(R44=TRUE,TRUE,FALSE)</formula>
    </cfRule>
  </conditionalFormatting>
  <conditionalFormatting sqref="V16">
    <cfRule type="expression" dxfId="7998" priority="253">
      <formula>IF(V16="Compliant",TRUE)</formula>
    </cfRule>
    <cfRule type="expression" dxfId="7997" priority="254">
      <formula>IF(V16="FE with work-a-round",TRUE)</formula>
    </cfRule>
    <cfRule type="expression" dxfId="7996" priority="255">
      <formula>IF(V16="Functionally Equivalent",TRUE)</formula>
    </cfRule>
    <cfRule type="expression" dxfId="7995" priority="256">
      <formula>IF(V16="Likely to become compliant",TRUE)</formula>
    </cfRule>
    <cfRule type="expression" dxfId="7994" priority="257">
      <formula>IF(V16="Partly Compliant",TRUE)</formula>
    </cfRule>
    <cfRule type="expression" dxfId="7993" priority="258">
      <formula>IF(V16="Unknown/Missing",TRUE)</formula>
    </cfRule>
    <cfRule type="expression" dxfId="7992" priority="259">
      <formula>IF(V16="Not Required/Applicable",TRUE)</formula>
    </cfRule>
    <cfRule type="expression" dxfId="7991" priority="260">
      <formula>IF(V16="Not Compliant",TRUE)</formula>
    </cfRule>
    <cfRule type="expression" dxfId="7990" priority="261">
      <formula>IF($N16=" ",TRUE)</formula>
    </cfRule>
  </conditionalFormatting>
  <conditionalFormatting sqref="V32">
    <cfRule type="expression" dxfId="7989" priority="285">
      <formula>IF(V32="Compliant",TRUE)</formula>
    </cfRule>
    <cfRule type="expression" dxfId="7988" priority="286">
      <formula>IF(V32="FE with work-a-round",TRUE)</formula>
    </cfRule>
    <cfRule type="expression" dxfId="7987" priority="287">
      <formula>IF(V32="Functionally Equivalent",TRUE)</formula>
    </cfRule>
    <cfRule type="expression" dxfId="7986" priority="288">
      <formula>IF(V32="Likely to become compliant",TRUE)</formula>
    </cfRule>
    <cfRule type="expression" dxfId="7985" priority="289">
      <formula>IF(V32="Partly Compliant",TRUE)</formula>
    </cfRule>
    <cfRule type="expression" dxfId="7984" priority="290">
      <formula>IF(V32="Unknown/Missing",TRUE)</formula>
    </cfRule>
    <cfRule type="expression" dxfId="7983" priority="291">
      <formula>IF(V32="Not Required/Applicable",TRUE)</formula>
    </cfRule>
    <cfRule type="expression" dxfId="7982" priority="292">
      <formula>IF(V32="Not Compliant",TRUE)</formula>
    </cfRule>
    <cfRule type="expression" dxfId="7981" priority="293">
      <formula>IF($N32=" ",TRUE)</formula>
    </cfRule>
  </conditionalFormatting>
  <conditionalFormatting sqref="V40">
    <cfRule type="expression" dxfId="7980" priority="273">
      <formula>IF(W40=FALSE,TRUE,FALSE)</formula>
    </cfRule>
    <cfRule type="expression" dxfId="7979" priority="274">
      <formula>IF(W40=TRUE,TRUE,FALSE)</formula>
    </cfRule>
  </conditionalFormatting>
  <conditionalFormatting sqref="V41">
    <cfRule type="expression" dxfId="7978" priority="155">
      <formula>IF(V41="Compliant",TRUE)</formula>
    </cfRule>
    <cfRule type="expression" dxfId="7977" priority="156">
      <formula>IF(V41="FE with work-a-round",TRUE)</formula>
    </cfRule>
    <cfRule type="expression" dxfId="7976" priority="157">
      <formula>IF(V41="Functionally Equivalent",TRUE)</formula>
    </cfRule>
    <cfRule type="expression" dxfId="7975" priority="158">
      <formula>IF(V41="Likely to become compliant",TRUE)</formula>
    </cfRule>
    <cfRule type="expression" dxfId="7974" priority="159">
      <formula>IF(V41="Partly Compliant",TRUE)</formula>
    </cfRule>
    <cfRule type="expression" dxfId="7973" priority="160">
      <formula>IF(V41="Unknown/Missing",TRUE)</formula>
    </cfRule>
    <cfRule type="expression" dxfId="7972" priority="161">
      <formula>IF(V41="Not Required/Applicable",TRUE)</formula>
    </cfRule>
    <cfRule type="expression" dxfId="7971" priority="162">
      <formula>IF(V41="Not Compliant",TRUE)</formula>
    </cfRule>
    <cfRule type="expression" dxfId="7970" priority="163">
      <formula>IF($N41=" ",TRUE)</formula>
    </cfRule>
  </conditionalFormatting>
  <conditionalFormatting sqref="V44">
    <cfRule type="expression" dxfId="7969" priority="146">
      <formula>IF(V44="Compliant",TRUE)</formula>
    </cfRule>
    <cfRule type="expression" dxfId="7968" priority="147">
      <formula>IF(V44="FE with work-a-round",TRUE)</formula>
    </cfRule>
    <cfRule type="expression" dxfId="7967" priority="148">
      <formula>IF(V44="Functionally Equivalent",TRUE)</formula>
    </cfRule>
    <cfRule type="expression" dxfId="7966" priority="149">
      <formula>IF(V44="Likely to become compliant",TRUE)</formula>
    </cfRule>
    <cfRule type="expression" dxfId="7965" priority="150">
      <formula>IF(V44="Partly Compliant",TRUE)</formula>
    </cfRule>
    <cfRule type="expression" dxfId="7964" priority="151">
      <formula>IF(V44="Unknown/Missing",TRUE)</formula>
    </cfRule>
    <cfRule type="expression" dxfId="7963" priority="152">
      <formula>IF(V44="Not Required/Applicable",TRUE)</formula>
    </cfRule>
    <cfRule type="expression" dxfId="7962" priority="153">
      <formula>IF(V44="Not Compliant",TRUE)</formula>
    </cfRule>
    <cfRule type="expression" dxfId="7961" priority="154">
      <formula>IF($N44=" ",TRUE)</formula>
    </cfRule>
  </conditionalFormatting>
  <conditionalFormatting sqref="V48">
    <cfRule type="expression" dxfId="7960" priority="137">
      <formula>IF(V48="Compliant",TRUE)</formula>
    </cfRule>
    <cfRule type="expression" dxfId="7959" priority="138">
      <formula>IF(V48="FE with work-a-round",TRUE)</formula>
    </cfRule>
    <cfRule type="expression" dxfId="7958" priority="139">
      <formula>IF(V48="Functionally Equivalent",TRUE)</formula>
    </cfRule>
    <cfRule type="expression" dxfId="7957" priority="140">
      <formula>IF(V48="Likely to become compliant",TRUE)</formula>
    </cfRule>
    <cfRule type="expression" dxfId="7956" priority="141">
      <formula>IF(V48="Partly Compliant",TRUE)</formula>
    </cfRule>
    <cfRule type="expression" dxfId="7955" priority="142">
      <formula>IF(V48="Unknown/Missing",TRUE)</formula>
    </cfRule>
    <cfRule type="expression" dxfId="7954" priority="143">
      <formula>IF(V48="Not Required/Applicable",TRUE)</formula>
    </cfRule>
    <cfRule type="expression" dxfId="7953" priority="144">
      <formula>IF(V48="Not Compliant",TRUE)</formula>
    </cfRule>
    <cfRule type="expression" dxfId="7952" priority="145">
      <formula>IF($N48=" ",TRUE)</formula>
    </cfRule>
  </conditionalFormatting>
  <conditionalFormatting sqref="V52">
    <cfRule type="expression" dxfId="7951" priority="128">
      <formula>IF(V52="Compliant",TRUE)</formula>
    </cfRule>
    <cfRule type="expression" dxfId="7950" priority="129">
      <formula>IF(V52="FE with work-a-round",TRUE)</formula>
    </cfRule>
    <cfRule type="expression" dxfId="7949" priority="130">
      <formula>IF(V52="Functionally Equivalent",TRUE)</formula>
    </cfRule>
    <cfRule type="expression" dxfId="7948" priority="131">
      <formula>IF(V52="Likely to become compliant",TRUE)</formula>
    </cfRule>
    <cfRule type="expression" dxfId="7947" priority="132">
      <formula>IF(V52="Partly Compliant",TRUE)</formula>
    </cfRule>
    <cfRule type="expression" dxfId="7946" priority="133">
      <formula>IF(V52="Unknown/Missing",TRUE)</formula>
    </cfRule>
    <cfRule type="expression" dxfId="7945" priority="134">
      <formula>IF(V52="Not Required/Applicable",TRUE)</formula>
    </cfRule>
    <cfRule type="expression" dxfId="7944" priority="135">
      <formula>IF(V52="Not Compliant",TRUE)</formula>
    </cfRule>
    <cfRule type="expression" dxfId="7943" priority="136">
      <formula>IF($N52=" ",TRUE)</formula>
    </cfRule>
  </conditionalFormatting>
  <conditionalFormatting sqref="V56">
    <cfRule type="expression" dxfId="7942" priority="206">
      <formula>IF(W56=FALSE,TRUE,FALSE)</formula>
    </cfRule>
    <cfRule type="expression" dxfId="7941" priority="207">
      <formula>IF(W56=TRUE,TRUE,FALSE)</formula>
    </cfRule>
  </conditionalFormatting>
  <conditionalFormatting sqref="V57">
    <cfRule type="expression" dxfId="7940" priority="119">
      <formula>IF(V57="Compliant",TRUE)</formula>
    </cfRule>
    <cfRule type="expression" dxfId="7939" priority="120">
      <formula>IF(V57="FE with work-a-round",TRUE)</formula>
    </cfRule>
    <cfRule type="expression" dxfId="7938" priority="121">
      <formula>IF(V57="Functionally Equivalent",TRUE)</formula>
    </cfRule>
    <cfRule type="expression" dxfId="7937" priority="122">
      <formula>IF(V57="Likely to become compliant",TRUE)</formula>
    </cfRule>
    <cfRule type="expression" dxfId="7936" priority="123">
      <formula>IF(V57="Partly Compliant",TRUE)</formula>
    </cfRule>
    <cfRule type="expression" dxfId="7935" priority="124">
      <formula>IF(V57="Unknown/Missing",TRUE)</formula>
    </cfRule>
    <cfRule type="expression" dxfId="7934" priority="125">
      <formula>IF(V57="Not Required/Applicable",TRUE)</formula>
    </cfRule>
    <cfRule type="expression" dxfId="7933" priority="126">
      <formula>IF(V57="Not Compliant",TRUE)</formula>
    </cfRule>
    <cfRule type="expression" dxfId="7932" priority="127">
      <formula>IF($N57=" ",TRUE)</formula>
    </cfRule>
  </conditionalFormatting>
  <conditionalFormatting sqref="V60">
    <cfRule type="expression" dxfId="7931" priority="110">
      <formula>IF(V60="Compliant",TRUE)</formula>
    </cfRule>
    <cfRule type="expression" dxfId="7930" priority="111">
      <formula>IF(V60="FE with work-a-round",TRUE)</formula>
    </cfRule>
    <cfRule type="expression" dxfId="7929" priority="112">
      <formula>IF(V60="Functionally Equivalent",TRUE)</formula>
    </cfRule>
    <cfRule type="expression" dxfId="7928" priority="113">
      <formula>IF(V60="Likely to become compliant",TRUE)</formula>
    </cfRule>
    <cfRule type="expression" dxfId="7927" priority="114">
      <formula>IF(V60="Partly Compliant",TRUE)</formula>
    </cfRule>
    <cfRule type="expression" dxfId="7926" priority="115">
      <formula>IF(V60="Unknown/Missing",TRUE)</formula>
    </cfRule>
    <cfRule type="expression" dxfId="7925" priority="116">
      <formula>IF(V60="Not Required/Applicable",TRUE)</formula>
    </cfRule>
    <cfRule type="expression" dxfId="7924" priority="117">
      <formula>IF(V60="Not Compliant",TRUE)</formula>
    </cfRule>
    <cfRule type="expression" dxfId="7923" priority="118">
      <formula>IF($N60=" ",TRUE)</formula>
    </cfRule>
  </conditionalFormatting>
  <conditionalFormatting sqref="V84">
    <cfRule type="expression" dxfId="7922" priority="78">
      <formula>IF(W84=FALSE,TRUE,FALSE)</formula>
    </cfRule>
    <cfRule type="expression" dxfId="7921" priority="79">
      <formula>IF(W84=TRUE,TRUE,FALSE)</formula>
    </cfRule>
  </conditionalFormatting>
  <conditionalFormatting sqref="V85">
    <cfRule type="expression" dxfId="7920" priority="101">
      <formula>IF(V85="Compliant",TRUE)</formula>
    </cfRule>
    <cfRule type="expression" dxfId="7919" priority="102">
      <formula>IF(V85="FE with work-a-round",TRUE)</formula>
    </cfRule>
    <cfRule type="expression" dxfId="7918" priority="103">
      <formula>IF(V85="Functionally Equivalent",TRUE)</formula>
    </cfRule>
    <cfRule type="expression" dxfId="7917" priority="104">
      <formula>IF(V85="Likely to become compliant",TRUE)</formula>
    </cfRule>
    <cfRule type="expression" dxfId="7916" priority="105">
      <formula>IF(V85="Partly Compliant",TRUE)</formula>
    </cfRule>
    <cfRule type="expression" dxfId="7915" priority="106">
      <formula>IF(V85="Unknown/Missing",TRUE)</formula>
    </cfRule>
    <cfRule type="expression" dxfId="7914" priority="107">
      <formula>IF(V85="Not Required/Applicable",TRUE)</formula>
    </cfRule>
    <cfRule type="expression" dxfId="7913" priority="108">
      <formula>IF(V85="Not Compliant",TRUE)</formula>
    </cfRule>
    <cfRule type="expression" dxfId="7912" priority="109">
      <formula>IF($N85=" ",TRUE)</formula>
    </cfRule>
  </conditionalFormatting>
  <conditionalFormatting sqref="V87">
    <cfRule type="expression" dxfId="7911" priority="76">
      <formula>IF(W87=FALSE,TRUE,FALSE)</formula>
    </cfRule>
    <cfRule type="expression" dxfId="7910" priority="77">
      <formula>IF(W87=TRUE,TRUE,FALSE)</formula>
    </cfRule>
  </conditionalFormatting>
  <conditionalFormatting sqref="V88 V91 V97 V104">
    <cfRule type="expression" dxfId="7909" priority="92">
      <formula>IF(V88="Compliant",TRUE)</formula>
    </cfRule>
    <cfRule type="expression" dxfId="7908" priority="93">
      <formula>IF(V88="FE with work-a-round",TRUE)</formula>
    </cfRule>
    <cfRule type="expression" dxfId="7907" priority="94">
      <formula>IF(V88="Functionally Equivalent",TRUE)</formula>
    </cfRule>
    <cfRule type="expression" dxfId="7906" priority="95">
      <formula>IF(V88="Likely to become compliant",TRUE)</formula>
    </cfRule>
    <cfRule type="expression" dxfId="7905" priority="96">
      <formula>IF(V88="Partly Compliant",TRUE)</formula>
    </cfRule>
    <cfRule type="expression" dxfId="7904" priority="97">
      <formula>IF(V88="Unknown/Missing",TRUE)</formula>
    </cfRule>
    <cfRule type="expression" dxfId="7903" priority="98">
      <formula>IF(V88="Not Required/Applicable",TRUE)</formula>
    </cfRule>
    <cfRule type="expression" dxfId="7902" priority="99">
      <formula>IF(V88="Not Compliant",TRUE)</formula>
    </cfRule>
    <cfRule type="expression" dxfId="7901" priority="100">
      <formula>IF($N88=" ",TRUE)</formula>
    </cfRule>
  </conditionalFormatting>
  <conditionalFormatting sqref="V39:W39 V53:W53 V55:W55">
    <cfRule type="containsText" dxfId="7900" priority="1771" operator="containsText" text="Applicable">
      <formula>NOT(ISERROR(SEARCH("Applicable",V39)))</formula>
    </cfRule>
    <cfRule type="containsText" dxfId="7899" priority="1772" operator="containsText" text="Functionally">
      <formula>NOT(ISERROR(SEARCH("Functionally",V39)))</formula>
    </cfRule>
    <cfRule type="containsText" dxfId="7898" priority="1773" operator="containsText" text="Not Compliant">
      <formula>NOT(ISERROR(SEARCH("Not Compliant",V39)))</formula>
    </cfRule>
    <cfRule type="containsText" dxfId="7897" priority="1774" operator="containsText" text="Compliant">
      <formula>NOT(ISERROR(SEARCH("Compliant",V39)))</formula>
    </cfRule>
  </conditionalFormatting>
  <conditionalFormatting sqref="W84">
    <cfRule type="containsText" dxfId="7896" priority="698" operator="containsText" text="Applicable">
      <formula>NOT(ISERROR(SEARCH("Applicable",W84)))</formula>
    </cfRule>
    <cfRule type="containsText" dxfId="7895" priority="699" operator="containsText" text="Functionally">
      <formula>NOT(ISERROR(SEARCH("Functionally",W84)))</formula>
    </cfRule>
    <cfRule type="containsText" dxfId="7894" priority="700" operator="containsText" text="Not Compliant">
      <formula>NOT(ISERROR(SEARCH("Not Compliant",W84)))</formula>
    </cfRule>
    <cfRule type="containsText" dxfId="7893" priority="701" operator="containsText" text="Compliant">
      <formula>NOT(ISERROR(SEARCH("Compliant",W84)))</formula>
    </cfRule>
  </conditionalFormatting>
  <conditionalFormatting sqref="X8:X9">
    <cfRule type="containsText" dxfId="7892" priority="1759" operator="containsText" text="Applicable">
      <formula>NOT(ISERROR(SEARCH("Applicable",X8)))</formula>
    </cfRule>
    <cfRule type="containsText" dxfId="7891" priority="1760" operator="containsText" text="Functionally">
      <formula>NOT(ISERROR(SEARCH("Functionally",X8)))</formula>
    </cfRule>
    <cfRule type="containsText" dxfId="7890" priority="1761" operator="containsText" text="Not Compliant">
      <formula>NOT(ISERROR(SEARCH("Not Compliant",X8)))</formula>
    </cfRule>
    <cfRule type="containsText" dxfId="7889" priority="1762" operator="containsText" text="Compliant">
      <formula>NOT(ISERROR(SEARCH("Compliant",X8)))</formula>
    </cfRule>
  </conditionalFormatting>
  <conditionalFormatting sqref="B72">
    <cfRule type="expression" dxfId="7888" priority="48">
      <formula>IF($E72,TRUE)</formula>
    </cfRule>
    <cfRule type="expression" dxfId="7887" priority="50">
      <formula>IF(AND($E$21=TRUE,$E72=FALSE),TRUE,FALSE)</formula>
    </cfRule>
  </conditionalFormatting>
  <conditionalFormatting sqref="D72">
    <cfRule type="expression" dxfId="7886" priority="31">
      <formula>IF($E72,TRUE)</formula>
    </cfRule>
    <cfRule type="expression" dxfId="7885" priority="41">
      <formula>IF(AND($E$21=TRUE,$E72=FALSE),TRUE,FALSE)</formula>
    </cfRule>
  </conditionalFormatting>
  <conditionalFormatting sqref="D73:D80">
    <cfRule type="expression" dxfId="7884" priority="33">
      <formula>IF($D73="Compliant",TRUE)</formula>
    </cfRule>
    <cfRule type="expression" dxfId="7883" priority="34">
      <formula>IF($D73=" ",TRUE)</formula>
    </cfRule>
    <cfRule type="expression" dxfId="7882" priority="40">
      <formula>IF($D73="Not Compliant",TRUE)</formula>
    </cfRule>
  </conditionalFormatting>
  <conditionalFormatting sqref="N72 N80">
    <cfRule type="expression" dxfId="7881" priority="2">
      <formula>IF($N72="Compliant",TRUE)</formula>
    </cfRule>
    <cfRule type="expression" dxfId="7880" priority="3">
      <formula>IF($N72="FE with work-a-round",TRUE)</formula>
    </cfRule>
    <cfRule type="expression" dxfId="7879" priority="4">
      <formula>IF($N72="Functionally Equivalent",TRUE)</formula>
    </cfRule>
    <cfRule type="expression" dxfId="7878" priority="5">
      <formula>IF($N72="Likely to become compliant",TRUE)</formula>
    </cfRule>
    <cfRule type="expression" dxfId="7877" priority="6">
      <formula>IF($N72="Partly Compliant",TRUE)</formula>
    </cfRule>
    <cfRule type="expression" dxfId="7876" priority="7">
      <formula>IF($N72="Unknown/Missing",TRUE)</formula>
    </cfRule>
    <cfRule type="expression" dxfId="7875" priority="8">
      <formula>IF($N72="Not Required/Applicable",TRUE)</formula>
    </cfRule>
    <cfRule type="expression" dxfId="7874" priority="9">
      <formula>IF($N72="Not Compliant",TRUE)</formula>
    </cfRule>
    <cfRule type="expression" dxfId="7873" priority="10">
      <formula>IF($N72=" ",TRUE)</formula>
    </cfRule>
  </conditionalFormatting>
  <conditionalFormatting sqref="Q73:Q80">
    <cfRule type="expression" dxfId="7872" priority="22">
      <formula>IF(Q73="Compliant",TRUE)</formula>
    </cfRule>
    <cfRule type="expression" dxfId="7871" priority="23">
      <formula>IF(Q73="FE with work-a-round",TRUE)</formula>
    </cfRule>
    <cfRule type="expression" dxfId="7870" priority="24">
      <formula>IF(Q73="Functionally Equivalent",TRUE)</formula>
    </cfRule>
    <cfRule type="expression" dxfId="7869" priority="25">
      <formula>IF($Q73="Likely to become compliant",TRUE)</formula>
    </cfRule>
    <cfRule type="expression" dxfId="7868" priority="26">
      <formula>IF($Q73="Partly Compliant",TRUE)</formula>
    </cfRule>
    <cfRule type="expression" dxfId="7867" priority="27">
      <formula>IF($Q73="Unknown/Missing",TRUE)</formula>
    </cfRule>
    <cfRule type="expression" dxfId="7866" priority="28">
      <formula>IF($Q73="Not Required/Applicable",TRUE)</formula>
    </cfRule>
    <cfRule type="expression" dxfId="7865" priority="29">
      <formula>IF(Q73="Not Compliant",TRUE)</formula>
    </cfRule>
    <cfRule type="expression" dxfId="7864" priority="30">
      <formula>IF(Q73=" ",TRUE)</formula>
    </cfRule>
  </conditionalFormatting>
  <conditionalFormatting sqref="Q72">
    <cfRule type="expression" dxfId="7863" priority="20">
      <formula>IF(R72=FALSE,TRUE,FALSE)</formula>
    </cfRule>
    <cfRule type="expression" dxfId="7862" priority="21">
      <formula>IF(R72=TRUE,TRUE,FALSE)</formula>
    </cfRule>
  </conditionalFormatting>
  <conditionalFormatting sqref="V72 V80">
    <cfRule type="expression" dxfId="7861" priority="11">
      <formula>IF(V72="Compliant",TRUE)</formula>
    </cfRule>
    <cfRule type="expression" dxfId="7860" priority="12">
      <formula>IF(V72="FE with work-a-round",TRUE)</formula>
    </cfRule>
    <cfRule type="expression" dxfId="7859" priority="13">
      <formula>IF(V72="Functionally Equivalent",TRUE)</formula>
    </cfRule>
    <cfRule type="expression" dxfId="7858" priority="14">
      <formula>IF(V72="Likely to become compliant",TRUE)</formula>
    </cfRule>
    <cfRule type="expression" dxfId="7857" priority="15">
      <formula>IF(V72="Partly Compliant",TRUE)</formula>
    </cfRule>
    <cfRule type="expression" dxfId="7856" priority="16">
      <formula>IF(V72="Unknown/Missing",TRUE)</formula>
    </cfRule>
    <cfRule type="expression" dxfId="7855" priority="17">
      <formula>IF(V72="Not Required/Applicable",TRUE)</formula>
    </cfRule>
    <cfRule type="expression" dxfId="7854" priority="18">
      <formula>IF(V72="Not Compliant",TRUE)</formula>
    </cfRule>
    <cfRule type="expression" dxfId="7853" priority="19">
      <formula>IF($N72=" ",TRUE)</formula>
    </cfRule>
  </conditionalFormatting>
  <conditionalFormatting sqref="B87:B88 D87:D88">
    <cfRule type="expression" dxfId="7852" priority="15448">
      <formula>IF(AND($E$21=TRUE,$E$84=FALSE,$F87&gt;0),TRUE,FALSE)</formula>
    </cfRule>
    <cfRule type="expression" dxfId="7851" priority="15449">
      <formula>IF($E87,TRUE)</formula>
    </cfRule>
    <cfRule type="expression" dxfId="7850" priority="15450">
      <formula>IF(AND($E$21=TRUE,$E87=FALSE),TRUE,FALSE)</formula>
    </cfRule>
  </conditionalFormatting>
  <conditionalFormatting sqref="B89:B90">
    <cfRule type="expression" dxfId="7849" priority="15454">
      <formula>IF(AND($E89=FALSE,$E$88=TRUE),TRUE,FALSE)</formula>
    </cfRule>
    <cfRule type="expression" dxfId="7848" priority="15455">
      <formula>IF(AND($E89=TRUE,$E$84=FALSE,$E$21=TRUE),TRUE,FALSE)</formula>
    </cfRule>
    <cfRule type="expression" dxfId="7847" priority="15456">
      <formula>IF(AND($E89=TRUE,$E$84=TRUE,$F$21&gt;1),TRUE,FALSE)</formula>
    </cfRule>
    <cfRule type="expression" dxfId="7846" priority="15457">
      <formula>IF(AND($E89=FALSE,OR($I89&lt;&gt;"",$L89&lt;&gt;"")),TRUE,FALSE)</formula>
    </cfRule>
    <cfRule type="expression" dxfId="7845" priority="15458">
      <formula>IF(AND($E89=TRUE,OR($I89="",$J89="")),TRUE,FALSE)</formula>
    </cfRule>
    <cfRule type="expression" dxfId="7844" priority="15459">
      <formula>IF(AND($E89=TRUE,OR($I89&lt;&gt;"",$L89="")),TRUE,FALSE)</formula>
    </cfRule>
    <cfRule type="expression" dxfId="7843" priority="15460">
      <formula>IF(AND($E$21=TRUE,E89=FALSE),TRUE,FALSE)</formula>
    </cfRule>
  </conditionalFormatting>
  <conditionalFormatting sqref="B91 D91 B97 D97 B104 D104 B72 D72">
    <cfRule type="expression" dxfId="7842" priority="15461">
      <formula>IF(AND($E$21=TRUE,$E$84=FALSE,$F72&gt;0),TRUE,FALSE)</formula>
    </cfRule>
  </conditionalFormatting>
  <conditionalFormatting sqref="B92:B96 B85:B86 B98:B103 B105:B112">
    <cfRule type="expression" dxfId="7841" priority="15471">
      <formula>IF(AND($E85=FALSE,$E$84=TRUE),TRUE,FALSE)</formula>
    </cfRule>
    <cfRule type="expression" dxfId="7840" priority="15472">
      <formula>IF(AND($E85=TRUE,$E$84=FALSE,$E$21=TRUE),TRUE,FALSE)</formula>
    </cfRule>
    <cfRule type="expression" dxfId="7839" priority="15473">
      <formula>IF(AND($E85=TRUE,$E$84=TRUE,$F$21&gt;1),TRUE,FALSE)</formula>
    </cfRule>
  </conditionalFormatting>
  <conditionalFormatting sqref="B73:B80">
    <cfRule type="expression" dxfId="7838" priority="15483">
      <formula>IF(AND($E73=TRUE,$E$84=FALSE,$E$21=TRUE),TRUE,FALSE)</formula>
    </cfRule>
    <cfRule type="expression" dxfId="7837" priority="15484">
      <formula>IF(AND($E73=TRUE,$E$84=TRUE,$F$21&gt;1),TRUE,FALSE)</formula>
    </cfRule>
    <cfRule type="expression" dxfId="7836" priority="15485">
      <formula>IF(AND($E73=FALSE,OR($I73&lt;&gt;"",$L73&lt;&gt;"")),TRUE,FALSE)</formula>
    </cfRule>
    <cfRule type="expression" dxfId="7835" priority="15486">
      <formula>IF(AND($E73=TRUE,OR($I73="",$J73="")),TRUE,FALSE)</formula>
    </cfRule>
    <cfRule type="expression" dxfId="7834" priority="15487">
      <formula>IF(AND($E$21=TRUE,E73=FALSE),TRUE,FALSE)</formula>
    </cfRule>
    <cfRule type="expression" dxfId="7833" priority="15488">
      <formula>IF(AND($E73=TRUE,OR($I73&lt;&gt;"",$L73="")),TRUE,FALSE)</formula>
    </cfRule>
  </conditionalFormatting>
  <dataValidations count="3">
    <dataValidation type="list" allowBlank="1" showInputMessage="1" showErrorMessage="1" sqref="N13 N53">
      <formula1>Initial_Compliance</formula1>
    </dataValidation>
    <dataValidation type="list" allowBlank="1" showInputMessage="1" showErrorMessage="1" sqref="K68">
      <formula1>Final_Compliance</formula1>
    </dataValidation>
    <dataValidation type="list" allowBlank="1" showInputMessage="1" showErrorMessage="1" sqref="I68">
      <formula1>MAO_Compliance_Submission</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44" id="{FBE83E4C-C7D0-4BE6-BA93-FCB84002459D}">
            <xm:f>ISNUMBER(SEARCH($D18,Dropdowns!$D$18))</xm:f>
            <x14:dxf>
              <fill>
                <patternFill>
                  <bgColor rgb="FFFFFF00"/>
                </patternFill>
              </fill>
            </x14:dxf>
          </x14:cfRule>
          <x14:cfRule type="expression" priority="345" id="{C8B0B267-7B21-427D-972C-A0436E679E7B}">
            <xm:f>ISNUMBER(SEARCH($D18,Dropdowns!$D$19))</xm:f>
            <x14:dxf>
              <fill>
                <patternFill>
                  <bgColor theme="6" tint="0.39994506668294322"/>
                </patternFill>
              </fill>
            </x14:dxf>
          </x14:cfRule>
          <x14:cfRule type="expression" priority="346" id="{3C1F60AA-09A2-454D-AA50-F47F3B176818}">
            <xm:f>ISNUMBER(SEARCH($D18,Dropdowns!$D$20))</xm:f>
            <x14:dxf>
              <fill>
                <patternFill>
                  <bgColor theme="6" tint="0.39994506668294322"/>
                </patternFill>
              </fill>
            </x14:dxf>
          </x14:cfRule>
          <x14:cfRule type="expression" priority="347" id="{CB88ED15-175D-425C-BD69-765C5D48EC1E}">
            <xm:f>ISNUMBER(SEARCH($D18,Dropdowns!$D$21))</xm:f>
            <x14:dxf>
              <fill>
                <patternFill>
                  <bgColor rgb="FFFFFF00"/>
                </patternFill>
              </fill>
            </x14:dxf>
          </x14:cfRule>
          <x14:cfRule type="expression" priority="348" id="{4ADD1ED2-709C-4552-A9E1-383453ECCF9C}">
            <xm:f>ISNUMBER(SEARCH($D18,Dropdowns!$D$23))</xm:f>
            <x14:dxf>
              <fill>
                <patternFill>
                  <bgColor rgb="FFFFFF00"/>
                </patternFill>
              </fill>
            </x14:dxf>
          </x14:cfRule>
          <xm:sqref>D18:D20</xm:sqref>
        </x14:conditionalFormatting>
        <x14:conditionalFormatting xmlns:xm="http://schemas.microsoft.com/office/excel/2006/main">
          <x14:cfRule type="expression" priority="849" id="{5F4B5C23-B428-4419-A8C0-A63F1B7140E4}">
            <xm:f>ISNUMBER(SEARCH($D22,Dropdowns!$D$18))</xm:f>
            <x14:dxf>
              <fill>
                <patternFill>
                  <bgColor rgb="FFFFFF00"/>
                </patternFill>
              </fill>
            </x14:dxf>
          </x14:cfRule>
          <x14:cfRule type="expression" priority="850" id="{335FFCD6-1EB7-40A6-8CA6-8C7514CAA8E0}">
            <xm:f>ISNUMBER(SEARCH($D22,Dropdowns!$D$19))</xm:f>
            <x14:dxf>
              <fill>
                <patternFill>
                  <bgColor theme="6" tint="0.39994506668294322"/>
                </patternFill>
              </fill>
            </x14:dxf>
          </x14:cfRule>
          <x14:cfRule type="expression" priority="851" id="{E003F170-82A3-495D-8068-64233D0D0AA2}">
            <xm:f>ISNUMBER(SEARCH($D22,Dropdowns!$D$20))</xm:f>
            <x14:dxf>
              <fill>
                <patternFill>
                  <bgColor theme="6" tint="0.39994506668294322"/>
                </patternFill>
              </fill>
            </x14:dxf>
          </x14:cfRule>
          <x14:cfRule type="expression" priority="852" id="{00F68585-6B4A-4A36-8648-9502DDAAFAD8}">
            <xm:f>ISNUMBER(SEARCH($D22,Dropdowns!$D$21))</xm:f>
            <x14:dxf>
              <fill>
                <patternFill>
                  <bgColor rgb="FFFFFF00"/>
                </patternFill>
              </fill>
            </x14:dxf>
          </x14:cfRule>
          <x14:cfRule type="expression" priority="853" id="{8E0B68FF-27EB-42D2-A75F-2C8CE3E4A7C2}">
            <xm:f>ISNUMBER(SEARCH($D22,Dropdowns!$D$23))</xm:f>
            <x14:dxf>
              <fill>
                <patternFill>
                  <bgColor rgb="FFFFFF00"/>
                </patternFill>
              </fill>
            </x14:dxf>
          </x14:cfRule>
          <xm:sqref>D22</xm:sqref>
        </x14:conditionalFormatting>
        <x14:conditionalFormatting xmlns:xm="http://schemas.microsoft.com/office/excel/2006/main">
          <x14:cfRule type="expression" priority="865" id="{FA5D1D71-EE08-4EB8-9B17-541E99CD068E}">
            <xm:f>ISNUMBER(SEARCH($D27,Dropdowns!$D$18))</xm:f>
            <x14:dxf>
              <fill>
                <patternFill>
                  <bgColor rgb="FFFFFF00"/>
                </patternFill>
              </fill>
            </x14:dxf>
          </x14:cfRule>
          <x14:cfRule type="expression" priority="866" id="{AA024F8D-B3D8-4D45-8395-16B90A55A195}">
            <xm:f>ISNUMBER(SEARCH($D27,Dropdowns!$D$19))</xm:f>
            <x14:dxf>
              <fill>
                <patternFill>
                  <bgColor theme="6" tint="0.39994506668294322"/>
                </patternFill>
              </fill>
            </x14:dxf>
          </x14:cfRule>
          <x14:cfRule type="expression" priority="867" id="{23AE16E5-298C-495D-A0BB-61221BE4E9A8}">
            <xm:f>ISNUMBER(SEARCH($D27,Dropdowns!$D$20))</xm:f>
            <x14:dxf>
              <fill>
                <patternFill>
                  <bgColor theme="6" tint="0.39994506668294322"/>
                </patternFill>
              </fill>
            </x14:dxf>
          </x14:cfRule>
          <x14:cfRule type="expression" priority="868" id="{0A303507-5F66-4A19-8B7E-CE663FE3B7F1}">
            <xm:f>ISNUMBER(SEARCH($D27,Dropdowns!$D$21))</xm:f>
            <x14:dxf>
              <fill>
                <patternFill>
                  <bgColor rgb="FFFFFF00"/>
                </patternFill>
              </fill>
            </x14:dxf>
          </x14:cfRule>
          <x14:cfRule type="expression" priority="869" id="{A4C7DA2F-7354-4651-BAE8-C5B5D16548FA}">
            <xm:f>ISNUMBER(SEARCH($D27,Dropdowns!$D$23))</xm:f>
            <x14:dxf>
              <fill>
                <patternFill>
                  <bgColor rgb="FFFFFF00"/>
                </patternFill>
              </fill>
            </x14:dxf>
          </x14:cfRule>
          <xm:sqref>D27</xm:sqref>
        </x14:conditionalFormatting>
        <x14:conditionalFormatting xmlns:xm="http://schemas.microsoft.com/office/excel/2006/main">
          <x14:cfRule type="expression" priority="947" id="{9BB24649-6B3D-427D-8A09-5FC357230DF2}">
            <xm:f>ISNUMBER(SEARCH($D33,Dropdowns!$D$18))</xm:f>
            <x14:dxf>
              <fill>
                <patternFill>
                  <bgColor rgb="FFFFFF00"/>
                </patternFill>
              </fill>
            </x14:dxf>
          </x14:cfRule>
          <x14:cfRule type="expression" priority="948" id="{834B62E5-31D2-4C43-84E2-52DFA69903F2}">
            <xm:f>ISNUMBER(SEARCH($D33,Dropdowns!$D$19))</xm:f>
            <x14:dxf>
              <fill>
                <patternFill>
                  <bgColor theme="6" tint="0.39994506668294322"/>
                </patternFill>
              </fill>
            </x14:dxf>
          </x14:cfRule>
          <x14:cfRule type="expression" priority="949" id="{26CC13D2-2488-42B2-B400-6CEA70E2E7C3}">
            <xm:f>ISNUMBER(SEARCH($D33,Dropdowns!$D$20))</xm:f>
            <x14:dxf>
              <fill>
                <patternFill>
                  <bgColor theme="6" tint="0.39994506668294322"/>
                </patternFill>
              </fill>
            </x14:dxf>
          </x14:cfRule>
          <x14:cfRule type="expression" priority="950" id="{54677299-465A-4993-BE3B-70D5FEF6011E}">
            <xm:f>ISNUMBER(SEARCH($D33,Dropdowns!$D$21))</xm:f>
            <x14:dxf>
              <fill>
                <patternFill>
                  <bgColor rgb="FFFFFF00"/>
                </patternFill>
              </fill>
            </x14:dxf>
          </x14:cfRule>
          <x14:cfRule type="expression" priority="951" id="{72A880ED-A88E-4E0B-A53E-D192639AB39D}">
            <xm:f>ISNUMBER(SEARCH($D33,Dropdowns!$D$23))</xm:f>
            <x14:dxf>
              <fill>
                <patternFill>
                  <bgColor rgb="FFFFFF00"/>
                </patternFill>
              </fill>
            </x14:dxf>
          </x14:cfRule>
          <xm:sqref>D33:D36</xm:sqref>
        </x14:conditionalFormatting>
        <x14:conditionalFormatting xmlns:xm="http://schemas.microsoft.com/office/excel/2006/main">
          <x14:cfRule type="expression" priority="939" id="{A314B554-738A-4644-98FF-3672CE04108F}">
            <xm:f>ISNUMBER(SEARCH($D41,Dropdowns!$D$18))</xm:f>
            <x14:dxf>
              <fill>
                <patternFill>
                  <bgColor rgb="FFFFFF00"/>
                </patternFill>
              </fill>
            </x14:dxf>
          </x14:cfRule>
          <x14:cfRule type="expression" priority="940" id="{F094F336-985E-4308-A271-00B68AFE5503}">
            <xm:f>ISNUMBER(SEARCH($D41,Dropdowns!$D$19))</xm:f>
            <x14:dxf>
              <fill>
                <patternFill>
                  <bgColor theme="6" tint="0.39994506668294322"/>
                </patternFill>
              </fill>
            </x14:dxf>
          </x14:cfRule>
          <x14:cfRule type="expression" priority="941" id="{E2DF97E8-453F-43BD-B648-5F558E36802E}">
            <xm:f>ISNUMBER(SEARCH($D41,Dropdowns!$D$20))</xm:f>
            <x14:dxf>
              <fill>
                <patternFill>
                  <bgColor theme="6" tint="0.39994506668294322"/>
                </patternFill>
              </fill>
            </x14:dxf>
          </x14:cfRule>
          <x14:cfRule type="expression" priority="942" id="{62C84A6D-851C-405E-BB20-051759C130DF}">
            <xm:f>ISNUMBER(SEARCH($D41,Dropdowns!$D$21))</xm:f>
            <x14:dxf>
              <fill>
                <patternFill>
                  <bgColor rgb="FFFFFF00"/>
                </patternFill>
              </fill>
            </x14:dxf>
          </x14:cfRule>
          <x14:cfRule type="expression" priority="943" id="{3F657119-BC3C-4B5E-8599-7D4D7E26B01E}">
            <xm:f>ISNUMBER(SEARCH($D41,Dropdowns!$D$23))</xm:f>
            <x14:dxf>
              <fill>
                <patternFill>
                  <bgColor rgb="FFFFFF00"/>
                </patternFill>
              </fill>
            </x14:dxf>
          </x14:cfRule>
          <xm:sqref>D41:D43</xm:sqref>
        </x14:conditionalFormatting>
        <x14:conditionalFormatting xmlns:xm="http://schemas.microsoft.com/office/excel/2006/main">
          <x14:cfRule type="expression" priority="931" id="{C54A6F5E-1CA8-49BD-8806-E4780E51D9A6}">
            <xm:f>ISNUMBER(SEARCH($D45,Dropdowns!$D$18))</xm:f>
            <x14:dxf>
              <fill>
                <patternFill>
                  <bgColor rgb="FFFFFF00"/>
                </patternFill>
              </fill>
            </x14:dxf>
          </x14:cfRule>
          <x14:cfRule type="expression" priority="932" id="{0A7DD526-E9A6-48DF-9B36-9F418CD551AE}">
            <xm:f>ISNUMBER(SEARCH($D45,Dropdowns!$D$19))</xm:f>
            <x14:dxf>
              <fill>
                <patternFill>
                  <bgColor theme="6" tint="0.39994506668294322"/>
                </patternFill>
              </fill>
            </x14:dxf>
          </x14:cfRule>
          <x14:cfRule type="expression" priority="933" id="{AD6846D6-35E5-44DE-A7DB-7650E32C1D44}">
            <xm:f>ISNUMBER(SEARCH($D45,Dropdowns!$D$20))</xm:f>
            <x14:dxf>
              <fill>
                <patternFill>
                  <bgColor theme="6" tint="0.39994506668294322"/>
                </patternFill>
              </fill>
            </x14:dxf>
          </x14:cfRule>
          <x14:cfRule type="expression" priority="934" id="{5C8E6CB0-96E2-4DFE-9F0C-61B5226842C2}">
            <xm:f>ISNUMBER(SEARCH($D45,Dropdowns!$D$21))</xm:f>
            <x14:dxf>
              <fill>
                <patternFill>
                  <bgColor rgb="FFFFFF00"/>
                </patternFill>
              </fill>
            </x14:dxf>
          </x14:cfRule>
          <x14:cfRule type="expression" priority="935" id="{B437CFCB-8DDC-4993-9A95-A9ABC6DE7D78}">
            <xm:f>ISNUMBER(SEARCH($D45,Dropdowns!$D$23))</xm:f>
            <x14:dxf>
              <fill>
                <patternFill>
                  <bgColor rgb="FFFFFF00"/>
                </patternFill>
              </fill>
            </x14:dxf>
          </x14:cfRule>
          <xm:sqref>D45:D47</xm:sqref>
        </x14:conditionalFormatting>
        <x14:conditionalFormatting xmlns:xm="http://schemas.microsoft.com/office/excel/2006/main">
          <x14:cfRule type="expression" priority="923" id="{0DD1CCE7-B4E4-4BC2-8FE3-74C19087B6C1}">
            <xm:f>ISNUMBER(SEARCH($D49,Dropdowns!$D$18))</xm:f>
            <x14:dxf>
              <fill>
                <patternFill>
                  <bgColor rgb="FFFFFF00"/>
                </patternFill>
              </fill>
            </x14:dxf>
          </x14:cfRule>
          <x14:cfRule type="expression" priority="924" id="{9D963896-0665-4F0C-B16C-FE42798584CA}">
            <xm:f>ISNUMBER(SEARCH($D49,Dropdowns!$D$19))</xm:f>
            <x14:dxf>
              <fill>
                <patternFill>
                  <bgColor theme="6" tint="0.39994506668294322"/>
                </patternFill>
              </fill>
            </x14:dxf>
          </x14:cfRule>
          <x14:cfRule type="expression" priority="925" id="{AEA54455-3323-4D06-91C9-59433E54F058}">
            <xm:f>ISNUMBER(SEARCH($D49,Dropdowns!$D$20))</xm:f>
            <x14:dxf>
              <fill>
                <patternFill>
                  <bgColor theme="6" tint="0.39994506668294322"/>
                </patternFill>
              </fill>
            </x14:dxf>
          </x14:cfRule>
          <x14:cfRule type="expression" priority="926" id="{ACE2D173-29C0-423D-9004-D81DFABF4088}">
            <xm:f>ISNUMBER(SEARCH($D49,Dropdowns!$D$21))</xm:f>
            <x14:dxf>
              <fill>
                <patternFill>
                  <bgColor rgb="FFFFFF00"/>
                </patternFill>
              </fill>
            </x14:dxf>
          </x14:cfRule>
          <x14:cfRule type="expression" priority="927" id="{1B4616CC-CFD2-400C-AF98-94ECF5F1E2D7}">
            <xm:f>ISNUMBER(SEARCH($D49,Dropdowns!$D$23))</xm:f>
            <x14:dxf>
              <fill>
                <patternFill>
                  <bgColor rgb="FFFFFF00"/>
                </patternFill>
              </fill>
            </x14:dxf>
          </x14:cfRule>
          <xm:sqref>D49:D52</xm:sqref>
        </x14:conditionalFormatting>
        <x14:conditionalFormatting xmlns:xm="http://schemas.microsoft.com/office/excel/2006/main">
          <x14:cfRule type="expression" priority="915" id="{F90744E8-AA31-467A-BC20-5FD75B00FDD8}">
            <xm:f>ISNUMBER(SEARCH($D57,Dropdowns!$D$18))</xm:f>
            <x14:dxf>
              <fill>
                <patternFill>
                  <bgColor rgb="FFFFFF00"/>
                </patternFill>
              </fill>
            </x14:dxf>
          </x14:cfRule>
          <x14:cfRule type="expression" priority="916" id="{9CDAB12C-AE1F-4453-AB58-2CD775B25044}">
            <xm:f>ISNUMBER(SEARCH($D57,Dropdowns!$D$19))</xm:f>
            <x14:dxf>
              <fill>
                <patternFill>
                  <bgColor theme="6" tint="0.39994506668294322"/>
                </patternFill>
              </fill>
            </x14:dxf>
          </x14:cfRule>
          <x14:cfRule type="expression" priority="917" id="{8D883AF2-2A17-4EC8-BC8B-F638EB0CED8C}">
            <xm:f>ISNUMBER(SEARCH($D57,Dropdowns!$D$20))</xm:f>
            <x14:dxf>
              <fill>
                <patternFill>
                  <bgColor theme="6" tint="0.39994506668294322"/>
                </patternFill>
              </fill>
            </x14:dxf>
          </x14:cfRule>
          <x14:cfRule type="expression" priority="918" id="{59CF0C71-D642-4C7D-A1A0-A3D69A7DC8B1}">
            <xm:f>ISNUMBER(SEARCH($D57,Dropdowns!$D$21))</xm:f>
            <x14:dxf>
              <fill>
                <patternFill>
                  <bgColor rgb="FFFFFF00"/>
                </patternFill>
              </fill>
            </x14:dxf>
          </x14:cfRule>
          <x14:cfRule type="expression" priority="919" id="{9677246F-E5DA-4155-A21D-23214F94F5D5}">
            <xm:f>ISNUMBER(SEARCH($D57,Dropdowns!$D$23))</xm:f>
            <x14:dxf>
              <fill>
                <patternFill>
                  <bgColor rgb="FFFFFF00"/>
                </patternFill>
              </fill>
            </x14:dxf>
          </x14:cfRule>
          <xm:sqref>D57:D59</xm:sqref>
        </x14:conditionalFormatting>
        <x14:conditionalFormatting xmlns:xm="http://schemas.microsoft.com/office/excel/2006/main">
          <x14:cfRule type="expression" priority="544" id="{2FE448C0-1169-474B-B0A1-852D249EEF08}">
            <xm:f>ISNUMBER(SEARCH($D61,Dropdowns!$D$18))</xm:f>
            <x14:dxf>
              <fill>
                <patternFill>
                  <bgColor rgb="FFFFFF00"/>
                </patternFill>
              </fill>
            </x14:dxf>
          </x14:cfRule>
          <x14:cfRule type="expression" priority="545" id="{70F474BF-BB14-4F0E-A769-C8DE5BFAECF0}">
            <xm:f>ISNUMBER(SEARCH($D61,Dropdowns!$D$19))</xm:f>
            <x14:dxf>
              <fill>
                <patternFill>
                  <bgColor theme="6" tint="0.39994506668294322"/>
                </patternFill>
              </fill>
            </x14:dxf>
          </x14:cfRule>
          <x14:cfRule type="expression" priority="546" id="{77F95EBE-C7E5-4D58-B51E-BDBAF79517F2}">
            <xm:f>ISNUMBER(SEARCH($D61,Dropdowns!$D$20))</xm:f>
            <x14:dxf>
              <fill>
                <patternFill>
                  <bgColor theme="6" tint="0.39994506668294322"/>
                </patternFill>
              </fill>
            </x14:dxf>
          </x14:cfRule>
          <x14:cfRule type="expression" priority="547" id="{74D3214F-5DDB-40DF-A14E-EAF7A107A14C}">
            <xm:f>ISNUMBER(SEARCH($D61,Dropdowns!$D$21))</xm:f>
            <x14:dxf>
              <fill>
                <patternFill>
                  <bgColor rgb="FFFFFF00"/>
                </patternFill>
              </fill>
            </x14:dxf>
          </x14:cfRule>
          <x14:cfRule type="expression" priority="548" id="{341C4A04-5C67-41C8-AF04-0CC0D73326EB}">
            <xm:f>ISNUMBER(SEARCH($D61,Dropdowns!$D$23))</xm:f>
            <x14:dxf>
              <fill>
                <patternFill>
                  <bgColor rgb="FFFFFF00"/>
                </patternFill>
              </fill>
            </x14:dxf>
          </x14:cfRule>
          <xm:sqref>D61:D68</xm:sqref>
        </x14:conditionalFormatting>
        <x14:conditionalFormatting xmlns:xm="http://schemas.microsoft.com/office/excel/2006/main">
          <x14:cfRule type="expression" priority="472" id="{70B1F621-9340-4969-832A-750A55896742}">
            <xm:f>ISNUMBER(SEARCH($D85,Dropdowns!$D$18))</xm:f>
            <x14:dxf>
              <fill>
                <patternFill>
                  <bgColor rgb="FFFFFF00"/>
                </patternFill>
              </fill>
            </x14:dxf>
          </x14:cfRule>
          <x14:cfRule type="expression" priority="473" id="{5B4D2726-09EC-48A1-8C5B-4A98A87EBA28}">
            <xm:f>ISNUMBER(SEARCH($D85,Dropdowns!$D$19))</xm:f>
            <x14:dxf>
              <fill>
                <patternFill>
                  <bgColor theme="6" tint="0.39994506668294322"/>
                </patternFill>
              </fill>
            </x14:dxf>
          </x14:cfRule>
          <x14:cfRule type="expression" priority="474" id="{442C17F9-B2E1-468D-AAF9-7A5FF05353D5}">
            <xm:f>ISNUMBER(SEARCH($D85,Dropdowns!$D$20))</xm:f>
            <x14:dxf>
              <fill>
                <patternFill>
                  <bgColor theme="6" tint="0.39994506668294322"/>
                </patternFill>
              </fill>
            </x14:dxf>
          </x14:cfRule>
          <x14:cfRule type="expression" priority="475" id="{7AACFF07-3EEC-434F-A370-FE491FA8E881}">
            <xm:f>ISNUMBER(SEARCH($D85,Dropdowns!$D$21))</xm:f>
            <x14:dxf>
              <fill>
                <patternFill>
                  <bgColor rgb="FFFFFF00"/>
                </patternFill>
              </fill>
            </x14:dxf>
          </x14:cfRule>
          <x14:cfRule type="expression" priority="476" id="{95B08E59-6652-4A55-9F58-E9FB140F8C0D}">
            <xm:f>ISNUMBER(SEARCH($D85,Dropdowns!$D$23))</xm:f>
            <x14:dxf>
              <fill>
                <patternFill>
                  <bgColor rgb="FFFFFF00"/>
                </patternFill>
              </fill>
            </x14:dxf>
          </x14:cfRule>
          <xm:sqref>D85:D86</xm:sqref>
        </x14:conditionalFormatting>
        <x14:conditionalFormatting xmlns:xm="http://schemas.microsoft.com/office/excel/2006/main">
          <x14:cfRule type="expression" priority="464" id="{8370E1DB-6903-4836-8FE0-4463CDF7C5B0}">
            <xm:f>ISNUMBER(SEARCH($D89,Dropdowns!$D$18))</xm:f>
            <x14:dxf>
              <fill>
                <patternFill>
                  <bgColor rgb="FFFFFF00"/>
                </patternFill>
              </fill>
            </x14:dxf>
          </x14:cfRule>
          <x14:cfRule type="expression" priority="465" id="{34407D3A-06CA-4BF5-8722-99CFA2862925}">
            <xm:f>ISNUMBER(SEARCH($D89,Dropdowns!$D$19))</xm:f>
            <x14:dxf>
              <fill>
                <patternFill>
                  <bgColor theme="6" tint="0.39994506668294322"/>
                </patternFill>
              </fill>
            </x14:dxf>
          </x14:cfRule>
          <x14:cfRule type="expression" priority="466" id="{36FA2912-6571-4AD2-ABA3-21548159B7CE}">
            <xm:f>ISNUMBER(SEARCH($D89,Dropdowns!$D$20))</xm:f>
            <x14:dxf>
              <fill>
                <patternFill>
                  <bgColor theme="6" tint="0.39994506668294322"/>
                </patternFill>
              </fill>
            </x14:dxf>
          </x14:cfRule>
          <x14:cfRule type="expression" priority="467" id="{948A4797-AA22-429D-BEB3-9420387A7437}">
            <xm:f>ISNUMBER(SEARCH($D89,Dropdowns!$D$21))</xm:f>
            <x14:dxf>
              <fill>
                <patternFill>
                  <bgColor rgb="FFFFFF00"/>
                </patternFill>
              </fill>
            </x14:dxf>
          </x14:cfRule>
          <x14:cfRule type="expression" priority="468" id="{A82D61D4-7CFE-472E-A9FE-F137A9797787}">
            <xm:f>ISNUMBER(SEARCH($D89,Dropdowns!$D$23))</xm:f>
            <x14:dxf>
              <fill>
                <patternFill>
                  <bgColor rgb="FFFFFF00"/>
                </patternFill>
              </fill>
            </x14:dxf>
          </x14:cfRule>
          <xm:sqref>D89:D90</xm:sqref>
        </x14:conditionalFormatting>
        <x14:conditionalFormatting xmlns:xm="http://schemas.microsoft.com/office/excel/2006/main">
          <x14:cfRule type="expression" priority="456" id="{F509E143-200A-45C6-B540-546F0CA18EBC}">
            <xm:f>ISNUMBER(SEARCH($D92,Dropdowns!$D$18))</xm:f>
            <x14:dxf>
              <fill>
                <patternFill>
                  <bgColor rgb="FFFFFF00"/>
                </patternFill>
              </fill>
            </x14:dxf>
          </x14:cfRule>
          <x14:cfRule type="expression" priority="457" id="{E2F57D55-AE3D-4962-9ED8-D1FD85B29908}">
            <xm:f>ISNUMBER(SEARCH($D92,Dropdowns!$D$19))</xm:f>
            <x14:dxf>
              <fill>
                <patternFill>
                  <bgColor theme="6" tint="0.39994506668294322"/>
                </patternFill>
              </fill>
            </x14:dxf>
          </x14:cfRule>
          <x14:cfRule type="expression" priority="458" id="{CFD9C6A4-A6C5-44E2-8068-4455FAD1417F}">
            <xm:f>ISNUMBER(SEARCH($D92,Dropdowns!$D$20))</xm:f>
            <x14:dxf>
              <fill>
                <patternFill>
                  <bgColor theme="6" tint="0.39994506668294322"/>
                </patternFill>
              </fill>
            </x14:dxf>
          </x14:cfRule>
          <x14:cfRule type="expression" priority="459" id="{51233226-3863-4CAF-AA33-E5B44FCE22BA}">
            <xm:f>ISNUMBER(SEARCH($D92,Dropdowns!$D$21))</xm:f>
            <x14:dxf>
              <fill>
                <patternFill>
                  <bgColor rgb="FFFFFF00"/>
                </patternFill>
              </fill>
            </x14:dxf>
          </x14:cfRule>
          <x14:cfRule type="expression" priority="460" id="{7C6CA7D6-6F64-42BD-A9E7-FC06E31FA08C}">
            <xm:f>ISNUMBER(SEARCH($D92,Dropdowns!$D$23))</xm:f>
            <x14:dxf>
              <fill>
                <patternFill>
                  <bgColor rgb="FFFFFF00"/>
                </patternFill>
              </fill>
            </x14:dxf>
          </x14:cfRule>
          <xm:sqref>D92:D96</xm:sqref>
        </x14:conditionalFormatting>
        <x14:conditionalFormatting xmlns:xm="http://schemas.microsoft.com/office/excel/2006/main">
          <x14:cfRule type="expression" priority="440" id="{6ABA5922-6F56-4B40-809D-946777378A1F}">
            <xm:f>ISNUMBER(SEARCH($D98,Dropdowns!$D$18))</xm:f>
            <x14:dxf>
              <fill>
                <patternFill>
                  <bgColor rgb="FFFFFF00"/>
                </patternFill>
              </fill>
            </x14:dxf>
          </x14:cfRule>
          <x14:cfRule type="expression" priority="441" id="{2F314616-40C9-4982-8117-F358AA36761F}">
            <xm:f>ISNUMBER(SEARCH($D98,Dropdowns!$D$19))</xm:f>
            <x14:dxf>
              <fill>
                <patternFill>
                  <bgColor theme="6" tint="0.39994506668294322"/>
                </patternFill>
              </fill>
            </x14:dxf>
          </x14:cfRule>
          <x14:cfRule type="expression" priority="442" id="{1E5FC4F5-3882-4952-B17A-9C5C39B85086}">
            <xm:f>ISNUMBER(SEARCH($D98,Dropdowns!$D$20))</xm:f>
            <x14:dxf>
              <fill>
                <patternFill>
                  <bgColor theme="6" tint="0.39994506668294322"/>
                </patternFill>
              </fill>
            </x14:dxf>
          </x14:cfRule>
          <x14:cfRule type="expression" priority="443" id="{C3C3E8DA-06EC-4E96-B441-75B3516F674E}">
            <xm:f>ISNUMBER(SEARCH($D98,Dropdowns!$D$21))</xm:f>
            <x14:dxf>
              <fill>
                <patternFill>
                  <bgColor rgb="FFFFFF00"/>
                </patternFill>
              </fill>
            </x14:dxf>
          </x14:cfRule>
          <x14:cfRule type="expression" priority="444" id="{BEEADCE7-ECDF-4388-9222-8D6373233E86}">
            <xm:f>ISNUMBER(SEARCH($D98,Dropdowns!$D$23))</xm:f>
            <x14:dxf>
              <fill>
                <patternFill>
                  <bgColor rgb="FFFFFF00"/>
                </patternFill>
              </fill>
            </x14:dxf>
          </x14:cfRule>
          <xm:sqref>D98:D103</xm:sqref>
        </x14:conditionalFormatting>
        <x14:conditionalFormatting xmlns:xm="http://schemas.microsoft.com/office/excel/2006/main">
          <x14:cfRule type="expression" priority="432" id="{E1F9CF78-122B-496E-AD03-8AE44FA4D1E0}">
            <xm:f>ISNUMBER(SEARCH($D105,Dropdowns!$D$18))</xm:f>
            <x14:dxf>
              <fill>
                <patternFill>
                  <bgColor rgb="FFFFFF00"/>
                </patternFill>
              </fill>
            </x14:dxf>
          </x14:cfRule>
          <x14:cfRule type="expression" priority="433" id="{57328A33-AB25-4C2A-99F1-41B513C3CF91}">
            <xm:f>ISNUMBER(SEARCH($D105,Dropdowns!$D$19))</xm:f>
            <x14:dxf>
              <fill>
                <patternFill>
                  <bgColor theme="6" tint="0.39994506668294322"/>
                </patternFill>
              </fill>
            </x14:dxf>
          </x14:cfRule>
          <x14:cfRule type="expression" priority="434" id="{C6AB7960-5CA6-4057-AC53-DC71C7AF53A6}">
            <xm:f>ISNUMBER(SEARCH($D105,Dropdowns!$D$20))</xm:f>
            <x14:dxf>
              <fill>
                <patternFill>
                  <bgColor theme="6" tint="0.39994506668294322"/>
                </patternFill>
              </fill>
            </x14:dxf>
          </x14:cfRule>
          <x14:cfRule type="expression" priority="435" id="{3562D219-6588-4AD5-BBED-72A635DC3E52}">
            <xm:f>ISNUMBER(SEARCH($D105,Dropdowns!$D$21))</xm:f>
            <x14:dxf>
              <fill>
                <patternFill>
                  <bgColor rgb="FFFFFF00"/>
                </patternFill>
              </fill>
            </x14:dxf>
          </x14:cfRule>
          <x14:cfRule type="expression" priority="436" id="{B37F7B72-9B71-4F07-8B60-6BDE7E46DD56}">
            <xm:f>ISNUMBER(SEARCH($D105,Dropdowns!$D$23))</xm:f>
            <x14:dxf>
              <fill>
                <patternFill>
                  <bgColor rgb="FFFFFF00"/>
                </patternFill>
              </fill>
            </x14:dxf>
          </x14:cfRule>
          <xm:sqref>D105:D112</xm:sqref>
        </x14:conditionalFormatting>
        <x14:conditionalFormatting xmlns:xm="http://schemas.microsoft.com/office/excel/2006/main">
          <x14:cfRule type="expression" priority="35" id="{4A764EC0-7CDC-4021-BDF7-F1EAC773A29E}">
            <xm:f>ISNUMBER(SEARCH($D73,Dropdowns!$D$18))</xm:f>
            <x14:dxf>
              <fill>
                <patternFill>
                  <bgColor rgb="FFFFFF00"/>
                </patternFill>
              </fill>
            </x14:dxf>
          </x14:cfRule>
          <x14:cfRule type="expression" priority="36" id="{D2E48EC3-9803-44F3-99D5-597A8DC0E8A5}">
            <xm:f>ISNUMBER(SEARCH($D73,Dropdowns!$D$19))</xm:f>
            <x14:dxf>
              <fill>
                <patternFill>
                  <bgColor theme="6" tint="0.39994506668294322"/>
                </patternFill>
              </fill>
            </x14:dxf>
          </x14:cfRule>
          <x14:cfRule type="expression" priority="37" id="{172AB9A4-1FFF-47D3-934D-DEDB17847B44}">
            <xm:f>ISNUMBER(SEARCH($D73,Dropdowns!$D$20))</xm:f>
            <x14:dxf>
              <fill>
                <patternFill>
                  <bgColor theme="6" tint="0.39994506668294322"/>
                </patternFill>
              </fill>
            </x14:dxf>
          </x14:cfRule>
          <x14:cfRule type="expression" priority="38" id="{2809E351-9F01-43D4-9BDD-BC563B660545}">
            <xm:f>ISNUMBER(SEARCH($D73,Dropdowns!$D$21))</xm:f>
            <x14:dxf>
              <fill>
                <patternFill>
                  <bgColor rgb="FFFFFF00"/>
                </patternFill>
              </fill>
            </x14:dxf>
          </x14:cfRule>
          <x14:cfRule type="expression" priority="39" id="{EC28A0F3-EED7-400D-B03F-024688CAC166}">
            <xm:f>ISNUMBER(SEARCH($D73,Dropdowns!$D$23))</xm:f>
            <x14:dxf>
              <fill>
                <patternFill>
                  <bgColor rgb="FFFFFF00"/>
                </patternFill>
              </fill>
            </x14:dxf>
          </x14:cfRule>
          <xm:sqref>D73:D80</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Dropdowns!$G$11:$G$16</xm:f>
          </x14:formula1>
          <xm:sqref>X8:X9 V48 V60 V80 V88 V16 V32 V44 V72 V57 V104 V85 V91 V97 V41 V52</xm:sqref>
        </x14:dataValidation>
        <x14:dataValidation type="list" allowBlank="1" showInputMessage="1" showErrorMessage="1">
          <x14:formula1>
            <xm:f>Dropdowns!$C$11:$C$13</xm:f>
          </x14:formula1>
          <xm:sqref>X10:X13 P13</xm:sqref>
        </x14:dataValidation>
        <x14:dataValidation type="list" allowBlank="1" showInputMessage="1" showErrorMessage="1">
          <x14:formula1>
            <xm:f>Dropdowns!$F$9:$F$12</xm:f>
          </x14:formula1>
          <xm:sqref>N55 N39</xm:sqref>
        </x14:dataValidation>
        <x14:dataValidation type="list" allowBlank="1" showInputMessage="1" showErrorMessage="1">
          <x14:formula1>
            <xm:f>Dropdowns!$C$3:$C$5</xm:f>
          </x14:formula1>
          <xm:sqref>E68</xm:sqref>
        </x14:dataValidation>
        <x14:dataValidation type="list" allowBlank="1" showInputMessage="1" showErrorMessage="1">
          <x14:formula1>
            <xm:f>Dropdowns!$D$16:$D$23</xm:f>
          </x14:formula1>
          <xm:sqref>D18:D20 D33:D36 D41:D43 D45:D47 D49:D52 D57:D59 D24:D27 D22 D85:D86 D92:D96 D98:D103 D105:D112 D89:D90 D61:D68 D73:D80</xm:sqref>
        </x14:dataValidation>
        <x14:dataValidation type="list" allowBlank="1" showInputMessage="1" showErrorMessage="1">
          <x14:formula1>
            <xm:f>Dropdowns!$F$2:$F$8</xm:f>
          </x14:formula1>
          <xm:sqref>N16 N32 N41:N52 N60 N57 N85 N88 N91 N97 N104 N72 N80</xm:sqref>
        </x14:dataValidation>
        <x14:dataValidation type="list" allowBlank="1" showInputMessage="1" showErrorMessage="1">
          <x14:formula1>
            <xm:f>Dropdowns!$E$11:$E$15</xm:f>
          </x14:formula1>
          <xm:sqref>Q33:Q36 Q18:Q20 Q22 Q24:Q27 Q41:Q43 Q45:Q47 Q49:Q52 Q57:Q59 Q85:Q86 Q89:Q90 Q92:Q96 Q98:Q103 Q105:Q112 Q61:Q68 Q73:Q80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F203"/>
  <sheetViews>
    <sheetView zoomScale="85" zoomScaleNormal="85" workbookViewId="0">
      <pane xSplit="4" ySplit="5" topLeftCell="I6" activePane="bottomRight" state="frozen"/>
      <selection pane="topRight" activeCell="E1" sqref="E1"/>
      <selection pane="bottomLeft" activeCell="A3" sqref="A3"/>
      <selection pane="bottomRight" activeCell="I9" sqref="I9"/>
    </sheetView>
  </sheetViews>
  <sheetFormatPr defaultColWidth="8.796875" defaultRowHeight="14.5" x14ac:dyDescent="0.3"/>
  <cols>
    <col min="1" max="1" width="22" style="1558" hidden="1" customWidth="1"/>
    <col min="2" max="2" width="41.296875" style="1558" customWidth="1"/>
    <col min="3" max="3" width="67.296875" style="1558" customWidth="1"/>
    <col min="4" max="4" width="35.796875" style="1558" customWidth="1"/>
    <col min="5" max="5" width="12" style="1558" hidden="1" customWidth="1"/>
    <col min="6" max="6" width="10.3984375" style="1558" hidden="1" customWidth="1"/>
    <col min="7" max="7" width="11.796875" style="1558" hidden="1" customWidth="1"/>
    <col min="8" max="8" width="9.796875" style="1558" hidden="1" customWidth="1"/>
    <col min="9" max="9" width="66.3984375" style="1558" customWidth="1"/>
    <col min="10" max="10" width="10.19921875" style="1558" hidden="1" customWidth="1"/>
    <col min="11" max="11" width="10.69921875" style="1558" hidden="1" customWidth="1"/>
    <col min="12" max="12" width="46.69921875" style="1558" customWidth="1"/>
    <col min="13" max="13" width="39.19921875" style="1558" customWidth="1"/>
    <col min="14" max="14" width="37.296875" style="1558" customWidth="1"/>
    <col min="15" max="15" width="11.3984375" style="1558" hidden="1" customWidth="1"/>
    <col min="16" max="16" width="49.796875" style="1558" customWidth="1"/>
    <col min="17" max="17" width="35.19921875" style="1558" customWidth="1"/>
    <col min="18" max="18" width="9.296875" style="1558" hidden="1" customWidth="1"/>
    <col min="19" max="19" width="58.296875" style="1558" customWidth="1"/>
    <col min="20" max="20" width="33" style="1558" customWidth="1"/>
    <col min="21" max="21" width="41.3984375" style="1558" customWidth="1"/>
    <col min="22" max="22" width="40.796875" style="1558" customWidth="1"/>
    <col min="23" max="23" width="10.19921875" style="1383" hidden="1" customWidth="1"/>
    <col min="24" max="24" width="55.296875" style="1558" customWidth="1"/>
    <col min="25" max="25" width="30.3984375" style="1558" customWidth="1"/>
    <col min="26" max="26" width="34.796875" style="1558" customWidth="1"/>
    <col min="27" max="16384" width="8.796875" style="1558"/>
  </cols>
  <sheetData>
    <row r="1" spans="1:27" ht="65.25" customHeight="1" x14ac:dyDescent="0.3">
      <c r="A1" s="233"/>
      <c r="B1" s="4521"/>
      <c r="C1" s="4521"/>
      <c r="D1" s="4521"/>
    </row>
    <row r="2" spans="1:27" ht="77.25" customHeight="1" x14ac:dyDescent="0.3">
      <c r="A2" s="233"/>
      <c r="B2" s="4398" t="s">
        <v>2280</v>
      </c>
      <c r="C2" s="4494"/>
      <c r="D2" s="4494"/>
    </row>
    <row r="3" spans="1:27" ht="17.25" customHeight="1" x14ac:dyDescent="0.3">
      <c r="A3" s="233"/>
      <c r="B3" s="4521"/>
      <c r="C3" s="4521"/>
      <c r="D3" s="4521"/>
    </row>
    <row r="4" spans="1:27" s="1740" customFormat="1" ht="47.25" customHeight="1" thickBot="1" x14ac:dyDescent="0.35">
      <c r="A4" s="4540" t="s">
        <v>1864</v>
      </c>
      <c r="B4" s="4502"/>
      <c r="C4" s="4502"/>
      <c r="D4" s="4502"/>
      <c r="E4" s="1738"/>
      <c r="F4" s="1738"/>
      <c r="G4" s="1738"/>
      <c r="H4" s="1738"/>
      <c r="I4" s="1527"/>
      <c r="J4" s="1527"/>
      <c r="K4" s="1527"/>
      <c r="L4" s="1527"/>
      <c r="M4" s="1527"/>
      <c r="N4" s="1739"/>
      <c r="O4" s="1739"/>
      <c r="P4" s="1739"/>
      <c r="Q4" s="1739"/>
      <c r="R4" s="1739"/>
      <c r="S4" s="1739"/>
      <c r="T4" s="1739"/>
      <c r="W4" s="1383"/>
    </row>
    <row r="5" spans="1:27" s="1740" customFormat="1" ht="46.5" customHeight="1" thickTop="1" thickBot="1" x14ac:dyDescent="0.35">
      <c r="A5" s="1786" t="s">
        <v>1159</v>
      </c>
      <c r="B5" s="1786" t="s">
        <v>1872</v>
      </c>
      <c r="C5" s="1786" t="s">
        <v>1873</v>
      </c>
      <c r="D5" s="1786" t="s">
        <v>1236</v>
      </c>
      <c r="E5" s="1741"/>
      <c r="F5" s="1741"/>
      <c r="G5" s="1741"/>
      <c r="H5" s="1741"/>
      <c r="I5" s="1786" t="s">
        <v>458</v>
      </c>
      <c r="J5" s="1786"/>
      <c r="K5" s="1786"/>
      <c r="L5" s="1786" t="s">
        <v>408</v>
      </c>
      <c r="M5" s="1788" t="s">
        <v>466</v>
      </c>
      <c r="N5" s="1789" t="s">
        <v>465</v>
      </c>
      <c r="O5" s="1789"/>
      <c r="P5" s="1789" t="s">
        <v>1221</v>
      </c>
      <c r="Q5" s="1790" t="s">
        <v>1212</v>
      </c>
      <c r="R5" s="1791"/>
      <c r="S5" s="1792" t="s">
        <v>396</v>
      </c>
      <c r="T5" s="1791" t="s">
        <v>409</v>
      </c>
      <c r="U5" s="1792" t="s">
        <v>1211</v>
      </c>
      <c r="V5" s="1789" t="s">
        <v>1801</v>
      </c>
      <c r="W5" s="1793"/>
      <c r="X5" s="1791" t="s">
        <v>10</v>
      </c>
      <c r="Y5" s="1789" t="s">
        <v>11</v>
      </c>
      <c r="Z5" s="1794" t="s">
        <v>12</v>
      </c>
      <c r="AA5" s="1742"/>
    </row>
    <row r="6" spans="1:27" s="1740" customFormat="1" ht="19" thickTop="1" x14ac:dyDescent="0.3">
      <c r="A6" s="4541" t="s">
        <v>1891</v>
      </c>
      <c r="B6" s="4541"/>
      <c r="C6" s="4541"/>
      <c r="D6" s="1787"/>
      <c r="E6" s="1743"/>
      <c r="F6" s="1743"/>
      <c r="G6" s="1743"/>
      <c r="H6" s="1743"/>
      <c r="I6" s="1795"/>
      <c r="J6" s="1795"/>
      <c r="K6" s="1795"/>
      <c r="L6" s="1795"/>
      <c r="M6" s="1795"/>
      <c r="N6" s="1795"/>
      <c r="O6" s="1795"/>
      <c r="P6" s="1796"/>
      <c r="Q6" s="1795"/>
      <c r="R6" s="1795"/>
      <c r="S6" s="1795"/>
      <c r="T6" s="1795"/>
      <c r="U6" s="1795"/>
      <c r="V6" s="1795"/>
      <c r="W6" s="1797"/>
      <c r="X6" s="1795"/>
      <c r="Y6" s="1798"/>
      <c r="Z6" s="1798"/>
      <c r="AA6" s="1744"/>
    </row>
    <row r="7" spans="1:27" s="3633" customFormat="1" ht="15" thickBot="1" x14ac:dyDescent="0.35">
      <c r="A7" s="4011"/>
      <c r="B7" s="3638"/>
      <c r="C7" s="4011"/>
      <c r="D7" s="3701"/>
      <c r="E7" s="3701"/>
      <c r="F7" s="3701"/>
      <c r="G7" s="3701"/>
      <c r="H7" s="3701"/>
      <c r="I7" s="3701"/>
      <c r="J7" s="3701"/>
      <c r="K7" s="3701"/>
      <c r="L7" s="3701"/>
      <c r="M7" s="3635"/>
      <c r="N7" s="3635"/>
      <c r="O7" s="3635"/>
      <c r="P7" s="3701"/>
      <c r="Q7" s="4012"/>
      <c r="R7" s="4013"/>
      <c r="S7" s="4013"/>
      <c r="T7" s="4014"/>
      <c r="U7" s="4015"/>
      <c r="V7" s="3701"/>
      <c r="W7" s="3637"/>
      <c r="X7" s="3701"/>
      <c r="Y7" s="4013"/>
      <c r="Z7" s="4014"/>
      <c r="AA7" s="4016"/>
    </row>
    <row r="8" spans="1:27" ht="30" thickTop="1" thickBot="1" x14ac:dyDescent="0.35">
      <c r="A8" s="37" t="s">
        <v>1944</v>
      </c>
      <c r="B8" s="1489" t="s">
        <v>398</v>
      </c>
      <c r="C8" s="2857" t="s">
        <v>621</v>
      </c>
      <c r="D8" s="1489" t="s">
        <v>1830</v>
      </c>
      <c r="E8" s="659" t="b">
        <f>IF(AND(E9=TRUE,E10=TRUE,E11=TRUE),TRUE,FALSE)</f>
        <v>0</v>
      </c>
      <c r="F8" s="207">
        <f>COUNTIFS(E9:E11,"TRUE")</f>
        <v>0</v>
      </c>
      <c r="G8" s="207">
        <f>COUNTIFS(E9:E11,TRUE,G9:G11,"Not Blank")</f>
        <v>0</v>
      </c>
      <c r="H8" s="199">
        <f>COUNTIFS(E9:E11,FALSE,G9:G11,"Not Blank")</f>
        <v>0</v>
      </c>
      <c r="I8" s="1801" t="str">
        <f xml:space="preserve">
IF(F8&gt;3,"Too Many Entries - Check Red Lines",
IF(AND(E8=FALSE,G8=0,H8=0,E8=TRUE),"Nothing Required Below",
IF(G8&lt;F8,"Valid Entry required below - Check Amber Line/s",
IF(AND(E8=FALSE,G8=0,H8=0),"Nothing Entered below Yet",
IF(G8&lt;F8,"Valid Entry required below - Check Amber Line/s",
IF(AND(G8=0,H8&gt;0),"**Non-Valid Entry/ies below - Check Yellow Line/s",
IF(AND(G8&gt;0,H8&gt;0),"**Valid and Non-Valid Entries made below - Check Yellow Line/s",
IF(AND(E8=FALSE,F8&lt;3),"Not all requirements addressed below - Check Pink Line/s",
IF(AND(E8=FALSE,G8&lt;3,G8&gt;0,H8=0),"More entries to come",
IF(AND(E8,TRUE,G8=3,H8=0),"Valid Entries made below"
))))))))))</f>
        <v>Nothing Entered below Yet</v>
      </c>
      <c r="J8" s="1929">
        <f>COUNTIFS(E9:E11,TRUE,J9:J11,"Not Blank")</f>
        <v>0</v>
      </c>
      <c r="K8" s="1514">
        <f>COUNTIFS(E9:E11,FALSE,J9:J11,"Not Blank")</f>
        <v>0</v>
      </c>
      <c r="L8" s="1685" t="str">
        <f xml:space="preserve">
IF(J8&gt;3,"Too Many Entries - Check Red Lines",
IF(AND(E8=FALSE,J8=0,K8=0,E8=TRUE),"Nothing Required Below",
IF(J8&lt;F8,"Valid Entry required below - Check Amber Line/s",
IF(AND(E8=FALSE,J8=0,K8=0),"Nothing Entered below Yet",
IF(AND(J8=0,K8&gt;0),"**Non-Valid Entry/ies below - Check Yellow Line/s",
IF(AND(J8&gt;0,K8&gt;0),"**Valid and Non-Valid Entries made below - Check Yellow Line/s",
IF(AND(E8=FALSE,J8&lt;3),"Not all requirements addressed below - Check Pink Line/s",
IF(AND(E8=FALSE,J8&lt;3,J8&gt;0,K8=0),"More entries to come",
IF(AND(E8,TRUE,J8=3,K8=0),"Valid Entries made below"
)))))))))</f>
        <v>Nothing Entered below Yet</v>
      </c>
      <c r="M8" s="697"/>
      <c r="N8" s="4414" t="s">
        <v>3</v>
      </c>
      <c r="O8" s="4526" t="b">
        <f>IF(OR(N8="Compliant",N8="FE with work-a-round",N8="Functionally Equivalent"),TRUE,FALSE)</f>
        <v>0</v>
      </c>
      <c r="P8" s="306"/>
      <c r="Q8" s="4414" t="s">
        <v>3</v>
      </c>
      <c r="R8" s="816" t="b">
        <f>IF(OR(Q8="Compliant",Q8="FE with work-a-round",Q8="Functionally Equivalent"),TRUE,FALSE)</f>
        <v>0</v>
      </c>
      <c r="S8" s="186"/>
      <c r="T8" s="186"/>
      <c r="U8" s="306"/>
      <c r="V8" s="4414" t="s">
        <v>3</v>
      </c>
      <c r="W8" s="4523" t="b">
        <f>IF(OR(V8="Compliant",V8="FE with work-a-round",V8="Functionally Equivalent",V8="Not Required/Applicable"),TRUE,FALSE)</f>
        <v>0</v>
      </c>
      <c r="X8" s="1746"/>
      <c r="Y8" s="186"/>
      <c r="Z8" s="306"/>
      <c r="AA8" s="1747"/>
    </row>
    <row r="9" spans="1:27" ht="30" thickTop="1" thickBot="1" x14ac:dyDescent="0.35">
      <c r="A9" s="66"/>
      <c r="B9" s="1490"/>
      <c r="C9" s="2858" t="s">
        <v>1521</v>
      </c>
      <c r="D9" s="319" t="s">
        <v>3</v>
      </c>
      <c r="E9" s="67" t="b">
        <f>IF(D9="Compliant",TRUE,FALSE)</f>
        <v>0</v>
      </c>
      <c r="F9" s="44"/>
      <c r="G9" s="44" t="str">
        <f>IF(I9&lt;&gt;"", "Not Blank", "")</f>
        <v/>
      </c>
      <c r="H9" s="122"/>
      <c r="I9" s="121"/>
      <c r="J9" s="67" t="str">
        <f>IF(L9&lt;&gt;"", "Not Blank", "")</f>
        <v/>
      </c>
      <c r="K9" s="44"/>
      <c r="L9" s="122"/>
      <c r="M9" s="205"/>
      <c r="N9" s="4415"/>
      <c r="O9" s="4527"/>
      <c r="P9" s="575"/>
      <c r="Q9" s="4415"/>
      <c r="R9" s="816" t="b">
        <f>IF(OR(Q9="Compliant",Q9="FE with work-a-round",Q9="Functionally Equivalent"),TRUE,FALSE)</f>
        <v>0</v>
      </c>
      <c r="S9" s="261"/>
      <c r="T9" s="261"/>
      <c r="U9" s="575"/>
      <c r="V9" s="4415"/>
      <c r="W9" s="4524"/>
      <c r="X9" s="716"/>
      <c r="Y9" s="1748"/>
      <c r="Z9" s="575"/>
      <c r="AA9" s="1747"/>
    </row>
    <row r="10" spans="1:27" ht="44" thickTop="1" x14ac:dyDescent="0.3">
      <c r="A10" s="28"/>
      <c r="B10" s="1490"/>
      <c r="C10" s="2858" t="s">
        <v>2265</v>
      </c>
      <c r="D10" s="319" t="s">
        <v>3</v>
      </c>
      <c r="E10" s="67" t="b">
        <f>IF(D10="Compliant",TRUE,FALSE)</f>
        <v>0</v>
      </c>
      <c r="F10" s="44"/>
      <c r="G10" s="44" t="str">
        <f>IF(I10&lt;&gt;"", "Not Blank", "")</f>
        <v/>
      </c>
      <c r="H10" s="122"/>
      <c r="I10" s="121"/>
      <c r="J10" s="67" t="str">
        <f>IF(L10&lt;&gt;"", "Not Blank", "")</f>
        <v/>
      </c>
      <c r="K10" s="44"/>
      <c r="L10" s="122"/>
      <c r="M10" s="205"/>
      <c r="N10" s="4415"/>
      <c r="O10" s="4527"/>
      <c r="P10" s="141"/>
      <c r="Q10" s="4415"/>
      <c r="R10" s="716"/>
      <c r="S10" s="261"/>
      <c r="T10" s="261"/>
      <c r="U10" s="575"/>
      <c r="V10" s="4415"/>
      <c r="W10" s="4524"/>
      <c r="X10" s="716"/>
      <c r="Y10" s="261"/>
      <c r="Z10" s="575"/>
      <c r="AA10" s="1747"/>
    </row>
    <row r="11" spans="1:27" ht="58.5" thickBot="1" x14ac:dyDescent="0.35">
      <c r="A11" s="28"/>
      <c r="B11" s="1491"/>
      <c r="C11" s="1818" t="s">
        <v>2175</v>
      </c>
      <c r="D11" s="230" t="s">
        <v>3</v>
      </c>
      <c r="E11" s="161" t="b">
        <f>IF(D11="Compliant",TRUE,FALSE)</f>
        <v>0</v>
      </c>
      <c r="F11" s="124"/>
      <c r="G11" s="124" t="str">
        <f>IF(I11&lt;&gt;"", "Not Blank", "")</f>
        <v/>
      </c>
      <c r="H11" s="125"/>
      <c r="I11" s="123"/>
      <c r="J11" s="161" t="str">
        <f>IF(L11&lt;&gt;"", "Not Blank", "")</f>
        <v/>
      </c>
      <c r="K11" s="124"/>
      <c r="L11" s="125"/>
      <c r="M11" s="590"/>
      <c r="N11" s="4416"/>
      <c r="O11" s="4528"/>
      <c r="P11" s="641"/>
      <c r="Q11" s="4416"/>
      <c r="R11" s="921"/>
      <c r="S11" s="1555"/>
      <c r="T11" s="1555"/>
      <c r="U11" s="1556"/>
      <c r="V11" s="4416"/>
      <c r="W11" s="4525"/>
      <c r="X11" s="921"/>
      <c r="Y11" s="1555"/>
      <c r="Z11" s="1556"/>
      <c r="AA11" s="1747"/>
    </row>
    <row r="12" spans="1:27" ht="30" thickTop="1" thickBot="1" x14ac:dyDescent="0.35">
      <c r="A12" s="97" t="s">
        <v>1945</v>
      </c>
      <c r="B12" s="2859" t="s">
        <v>626</v>
      </c>
      <c r="C12" s="1825" t="s">
        <v>539</v>
      </c>
      <c r="D12" s="1489" t="s">
        <v>1232</v>
      </c>
      <c r="E12" s="659" t="b">
        <f>IF(OR(E13=TRUE,E14=TRUE),TRUE,FALSE)</f>
        <v>0</v>
      </c>
      <c r="F12" s="207">
        <f>COUNTIFS(E13:E15,"TRUE")</f>
        <v>0</v>
      </c>
      <c r="G12" s="207">
        <f>COUNTIFS(E13:E15,TRUE,G13:G15,"Not Blank")</f>
        <v>0</v>
      </c>
      <c r="H12" s="199">
        <f>COUNTIFS(E13:E15,FALSE,G13:G15,"Not Blank")</f>
        <v>0</v>
      </c>
      <c r="I12" s="1929" t="str">
        <f xml:space="preserve">
IF(F12&gt;1,"Too Many Entries - Check Red Lines",
IF(AND(E12=FALSE,G12=0,H12=0,E12=TRUE),"Nothing Required Below",
IF(G12&lt;F12,"Valid Entry required below - Check Amber Line/s",
IF(AND(E12=FALSE,G12=0,H12=0),"Nothing Entered below Yet",
IF(G12&lt;F12,"Valid Entry required below - Check Amber Line/s",
IF(AND(G12=0,H12&gt;0),"**Non-Valid Entry/ies below - Check Yellow Line/s",
IF(AND(G12&gt;0,H12&gt;0),"**Valid and Non-Valid Entries made below - Check Yellow Line/s",
IF(AND(E12=FALSE,F12&lt;1),"Not all requirements addressed below - Check Pink Line/s",
IF(AND(E12=FALSE,G12&lt;1,G12&gt;0,H12=0),"More entries to come",
IF(AND(E12,TRUE,G12=1,H12=0),"Valid Entries made below"
))))))))))</f>
        <v>Nothing Entered below Yet</v>
      </c>
      <c r="J12" s="1514">
        <f>COUNTIFS(E13:E14,TRUE,J13:J14,"Not Blank")</f>
        <v>0</v>
      </c>
      <c r="K12" s="1514">
        <f>COUNTIFS(E13:E14,FALSE,J13:J14,"Not Blank")</f>
        <v>0</v>
      </c>
      <c r="L12" s="1685" t="str">
        <f xml:space="preserve">
IF(J12&gt;1,"Too Many Entries - Check Red Lines",
IF(AND(E12=FALSE,J12=0,K12=0,E12=TRUE),"Nothing Required Below",
IF(J12&lt;F12,"Valid Entry required below - Check Amber Line/s",
IF(AND(E12=FALSE,J12=0,K12=0),"Nothing Entered below Yet",
IF(AND(J12=0,K12&gt;0),"**Non-Valid Entry/ies below - Check Yellow Line/s",
IF(AND(J12&gt;0,K12&gt;0),"**Valid and Non-Valid Entries made below - Check Yellow Line/s",
IF(AND(E12=FALSE,J12&lt;1),"Not all requirements addressed below - Check Pink Line/s",
IF(AND(E12=FALSE,J12&lt;1,J12&gt;0,K12=0),"More entries to come",
IF(AND(E12,TRUE,J12=1,K12=0),"Valid Entries made below"
)))))))))</f>
        <v>Nothing Entered below Yet</v>
      </c>
      <c r="M12" s="697"/>
      <c r="N12" s="4414" t="s">
        <v>3</v>
      </c>
      <c r="O12" s="4526" t="b">
        <f>IF(OR(N12="Compliant",N12="FE with work-a-round",N12="Functionally Equivalent"),TRUE,FALSE)</f>
        <v>0</v>
      </c>
      <c r="P12" s="809"/>
      <c r="Q12" s="4414" t="s">
        <v>3</v>
      </c>
      <c r="R12" s="816" t="b">
        <f>IF(OR(Q12="Compliant",Q12="FE with work-a-round",Q12="Functionally Equivalent"),TRUE,FALSE)</f>
        <v>0</v>
      </c>
      <c r="S12" s="418"/>
      <c r="T12" s="418"/>
      <c r="U12" s="809"/>
      <c r="V12" s="4414" t="s">
        <v>3</v>
      </c>
      <c r="W12" s="4523" t="b">
        <f>IF(OR(V12="Compliant",V12="FE with work-a-round",V12="Functionally Equivalent",V12="Not Required/Applicable"),TRUE,FALSE)</f>
        <v>0</v>
      </c>
      <c r="X12" s="338"/>
      <c r="Y12" s="186"/>
      <c r="Z12" s="306"/>
    </row>
    <row r="13" spans="1:27" ht="29.5" thickTop="1" x14ac:dyDescent="0.3">
      <c r="A13" s="37"/>
      <c r="B13" s="2860"/>
      <c r="C13" s="1812" t="s">
        <v>540</v>
      </c>
      <c r="D13" s="319" t="s">
        <v>3</v>
      </c>
      <c r="E13" s="67" t="b">
        <f>IF(D13="Compliant",TRUE,FALSE)</f>
        <v>0</v>
      </c>
      <c r="F13" s="44"/>
      <c r="G13" s="44" t="str">
        <f>IF(I13&lt;&gt;"", "Not Blank", "")</f>
        <v/>
      </c>
      <c r="H13" s="122"/>
      <c r="I13" s="67"/>
      <c r="J13" s="44" t="str">
        <f>IF(L13&lt;&gt;"", "Not Blank", "")</f>
        <v/>
      </c>
      <c r="K13" s="44"/>
      <c r="L13" s="122"/>
      <c r="M13" s="205"/>
      <c r="N13" s="4415"/>
      <c r="O13" s="4527"/>
      <c r="P13" s="470"/>
      <c r="Q13" s="4415"/>
      <c r="R13" s="716"/>
      <c r="S13" s="261"/>
      <c r="T13" s="261"/>
      <c r="U13" s="589"/>
      <c r="V13" s="4415"/>
      <c r="W13" s="4524"/>
      <c r="X13" s="716"/>
      <c r="Y13" s="261"/>
      <c r="Z13" s="575"/>
    </row>
    <row r="14" spans="1:27" ht="29.5" thickBot="1" x14ac:dyDescent="0.35">
      <c r="A14" s="37"/>
      <c r="B14" s="2861"/>
      <c r="C14" s="1814" t="s">
        <v>541</v>
      </c>
      <c r="D14" s="230" t="s">
        <v>3</v>
      </c>
      <c r="E14" s="161" t="b">
        <f>IF(D14="Compliant",TRUE,FALSE)</f>
        <v>0</v>
      </c>
      <c r="F14" s="124"/>
      <c r="G14" s="124" t="str">
        <f>IF(I14&lt;&gt;"", "Not Blank", "")</f>
        <v/>
      </c>
      <c r="H14" s="125"/>
      <c r="I14" s="161"/>
      <c r="J14" s="124" t="str">
        <f>IF(L14&lt;&gt;"", "Not Blank", "")</f>
        <v/>
      </c>
      <c r="K14" s="124"/>
      <c r="L14" s="125"/>
      <c r="M14" s="590"/>
      <c r="N14" s="4416"/>
      <c r="O14" s="4528"/>
      <c r="P14" s="1749"/>
      <c r="Q14" s="4416"/>
      <c r="R14" s="921"/>
      <c r="S14" s="1555"/>
      <c r="T14" s="1555"/>
      <c r="U14" s="1164"/>
      <c r="V14" s="4416"/>
      <c r="W14" s="4525"/>
      <c r="X14" s="921"/>
      <c r="Y14" s="1555"/>
      <c r="Z14" s="1556"/>
    </row>
    <row r="15" spans="1:27" s="3633" customFormat="1" ht="15.5" thickTop="1" thickBot="1" x14ac:dyDescent="0.35">
      <c r="A15" s="3638"/>
      <c r="B15" s="3634"/>
      <c r="C15" s="3634"/>
      <c r="D15" s="3634"/>
      <c r="E15" s="3634"/>
      <c r="F15" s="3634"/>
      <c r="G15" s="3634"/>
      <c r="H15" s="3634"/>
      <c r="I15" s="3634"/>
      <c r="J15" s="3634"/>
      <c r="K15" s="3634"/>
      <c r="L15" s="3634"/>
      <c r="M15" s="3634"/>
      <c r="N15" s="3634"/>
      <c r="O15" s="3634"/>
      <c r="P15" s="3634"/>
      <c r="Q15" s="3635"/>
      <c r="R15" s="3635"/>
      <c r="S15" s="3635"/>
      <c r="T15" s="3635"/>
      <c r="U15" s="3635"/>
      <c r="V15" s="3635"/>
      <c r="W15" s="3636"/>
      <c r="X15" s="3635"/>
      <c r="Y15" s="3635"/>
      <c r="Z15" s="3635"/>
      <c r="AA15" s="3635"/>
    </row>
    <row r="16" spans="1:27" ht="44.5" thickTop="1" thickBot="1" x14ac:dyDescent="0.35">
      <c r="A16" s="28"/>
      <c r="B16" s="2010" t="s">
        <v>824</v>
      </c>
      <c r="C16" s="2862" t="s">
        <v>475</v>
      </c>
      <c r="D16" s="1192" t="s">
        <v>1233</v>
      </c>
      <c r="E16" s="138" t="b">
        <f>IF(E23=TRUE,TRUE,FALSE)</f>
        <v>1</v>
      </c>
      <c r="F16" s="111"/>
      <c r="G16" s="111"/>
      <c r="H16" s="1772"/>
      <c r="I16" s="2833"/>
      <c r="J16" s="2439"/>
      <c r="K16" s="2439"/>
      <c r="L16" s="2842"/>
      <c r="M16" s="2853"/>
      <c r="N16" s="1916" t="s">
        <v>1233</v>
      </c>
      <c r="O16" s="2291" t="b">
        <f>IF(O23=TRUE,TRUE,FALSE)</f>
        <v>0</v>
      </c>
      <c r="P16" s="2440"/>
      <c r="Q16" s="1916" t="s">
        <v>1233</v>
      </c>
      <c r="R16" s="729" t="e">
        <f>IF(R23=TRUE,TRUE,FALSE)</f>
        <v>#REF!</v>
      </c>
      <c r="S16" s="406"/>
      <c r="T16" s="406"/>
      <c r="U16" s="1211"/>
      <c r="V16" s="797" t="s">
        <v>1233</v>
      </c>
      <c r="W16" s="1087" t="b">
        <f>IF(W23=TRUE,TRUE,FALSE)</f>
        <v>0</v>
      </c>
      <c r="X16" s="338"/>
      <c r="Y16" s="186"/>
      <c r="Z16" s="306"/>
      <c r="AA16" s="1747"/>
    </row>
    <row r="17" spans="1:28" ht="30" thickTop="1" thickBot="1" x14ac:dyDescent="0.35">
      <c r="A17" s="1751"/>
      <c r="B17" s="1925" t="s">
        <v>825</v>
      </c>
      <c r="C17" s="2087" t="s">
        <v>474</v>
      </c>
      <c r="D17" s="1499" t="s">
        <v>1233</v>
      </c>
      <c r="E17" s="67" t="b">
        <f>E39</f>
        <v>0</v>
      </c>
      <c r="F17" s="44"/>
      <c r="G17" s="44"/>
      <c r="H17" s="1775"/>
      <c r="I17" s="2833"/>
      <c r="J17" s="2439"/>
      <c r="K17" s="2439"/>
      <c r="L17" s="2842"/>
      <c r="M17" s="2853"/>
      <c r="N17" s="1916" t="s">
        <v>1233</v>
      </c>
      <c r="O17" s="2441" t="b">
        <f>O39</f>
        <v>0</v>
      </c>
      <c r="P17" s="2434"/>
      <c r="Q17" s="1192" t="s">
        <v>1233</v>
      </c>
      <c r="R17" s="2438" t="e">
        <f>R39</f>
        <v>#REF!</v>
      </c>
      <c r="S17" s="471"/>
      <c r="T17" s="471"/>
      <c r="U17" s="1218"/>
      <c r="V17" s="798" t="s">
        <v>1233</v>
      </c>
      <c r="W17" s="1088" t="b">
        <f>W39</f>
        <v>0</v>
      </c>
      <c r="X17" s="716"/>
      <c r="Y17" s="261"/>
      <c r="Z17" s="575"/>
      <c r="AA17" s="1747"/>
    </row>
    <row r="18" spans="1:28" ht="29.4" customHeight="1" thickTop="1" thickBot="1" x14ac:dyDescent="0.35">
      <c r="A18" s="28"/>
      <c r="B18" s="1925" t="s">
        <v>826</v>
      </c>
      <c r="C18" s="2087" t="s">
        <v>822</v>
      </c>
      <c r="D18" s="1499" t="s">
        <v>1233</v>
      </c>
      <c r="E18" s="67" t="b">
        <f>E57</f>
        <v>0</v>
      </c>
      <c r="F18" s="44"/>
      <c r="G18" s="44"/>
      <c r="H18" s="122"/>
      <c r="I18" s="231"/>
      <c r="J18" s="133"/>
      <c r="K18" s="133"/>
      <c r="L18" s="134"/>
      <c r="M18" s="35"/>
      <c r="N18" s="1895" t="s">
        <v>1233</v>
      </c>
      <c r="O18" s="1186" t="e">
        <f>O57</f>
        <v>#REF!</v>
      </c>
      <c r="P18" s="2442"/>
      <c r="Q18" s="1499" t="s">
        <v>1233</v>
      </c>
      <c r="R18" s="2438" t="e">
        <f>R57</f>
        <v>#REF!</v>
      </c>
      <c r="S18" s="471"/>
      <c r="T18" s="471"/>
      <c r="U18" s="1218"/>
      <c r="V18" s="798" t="s">
        <v>1233</v>
      </c>
      <c r="W18" s="1088" t="e">
        <f>W57</f>
        <v>#REF!</v>
      </c>
      <c r="X18" s="716"/>
      <c r="Y18" s="261"/>
      <c r="Z18" s="575"/>
      <c r="AA18" s="204"/>
    </row>
    <row r="19" spans="1:28" ht="30" thickTop="1" thickBot="1" x14ac:dyDescent="0.35">
      <c r="A19" s="36"/>
      <c r="B19" s="2205" t="s">
        <v>827</v>
      </c>
      <c r="C19" s="2863" t="s">
        <v>823</v>
      </c>
      <c r="D19" s="2182" t="s">
        <v>1233</v>
      </c>
      <c r="E19" s="161" t="b">
        <f>E95</f>
        <v>0</v>
      </c>
      <c r="F19" s="124"/>
      <c r="G19" s="124"/>
      <c r="H19" s="125"/>
      <c r="I19" s="706"/>
      <c r="J19" s="160"/>
      <c r="K19" s="160"/>
      <c r="L19" s="135"/>
      <c r="M19" s="36"/>
      <c r="N19" s="2322" t="s">
        <v>1233</v>
      </c>
      <c r="O19" s="2294" t="b">
        <f>O95</f>
        <v>0</v>
      </c>
      <c r="P19" s="2435"/>
      <c r="Q19" s="2322" t="s">
        <v>1233</v>
      </c>
      <c r="R19" s="731" t="e">
        <f>R95</f>
        <v>#REF!</v>
      </c>
      <c r="S19" s="1224"/>
      <c r="T19" s="1224"/>
      <c r="U19" s="1225"/>
      <c r="V19" s="799" t="s">
        <v>1233</v>
      </c>
      <c r="W19" s="1089" t="b">
        <f>W95</f>
        <v>0</v>
      </c>
      <c r="X19" s="921"/>
      <c r="Y19" s="1555"/>
      <c r="Z19" s="1556"/>
      <c r="AA19" s="204"/>
    </row>
    <row r="20" spans="1:28" s="4017" customFormat="1" ht="15" thickTop="1" x14ac:dyDescent="0.3">
      <c r="A20" s="3677"/>
      <c r="C20" s="3677"/>
      <c r="E20" s="3677"/>
      <c r="F20" s="3677"/>
      <c r="G20" s="3677"/>
      <c r="H20" s="3677"/>
      <c r="I20" s="4018"/>
      <c r="J20" s="4018"/>
      <c r="K20" s="4018"/>
      <c r="L20" s="4018"/>
      <c r="M20" s="4018"/>
      <c r="N20" s="3677"/>
      <c r="O20" s="3677"/>
      <c r="R20" s="4018"/>
      <c r="S20" s="4018"/>
      <c r="T20" s="4018"/>
      <c r="U20" s="4018"/>
      <c r="V20" s="4018"/>
      <c r="W20" s="4019"/>
      <c r="X20" s="4018"/>
      <c r="Y20" s="4018"/>
      <c r="Z20" s="4018"/>
    </row>
    <row r="21" spans="1:28" s="4020" customFormat="1" ht="18.5" x14ac:dyDescent="0.3">
      <c r="A21" s="4482" t="s">
        <v>1135</v>
      </c>
      <c r="B21" s="4483"/>
      <c r="C21" s="4483"/>
      <c r="D21" s="4483"/>
      <c r="E21" s="4483"/>
      <c r="F21" s="4483"/>
      <c r="G21" s="4483"/>
      <c r="H21" s="4483"/>
      <c r="I21" s="4483"/>
      <c r="J21" s="4483"/>
      <c r="K21" s="4483"/>
      <c r="L21" s="4483"/>
      <c r="M21" s="4483"/>
      <c r="N21" s="4483"/>
      <c r="O21" s="3669"/>
      <c r="P21" s="3683"/>
      <c r="Q21" s="3683"/>
      <c r="R21" s="3683"/>
      <c r="S21" s="3684"/>
      <c r="T21" s="3685"/>
      <c r="U21" s="3685"/>
      <c r="V21" s="3669"/>
      <c r="W21" s="3882"/>
      <c r="X21" s="3683"/>
      <c r="Y21" s="3684"/>
      <c r="Z21" s="3685"/>
    </row>
    <row r="22" spans="1:28" s="4022" customFormat="1" ht="15" thickBot="1" x14ac:dyDescent="0.35">
      <c r="A22" s="4021"/>
      <c r="B22" s="4021"/>
      <c r="C22" s="4021"/>
      <c r="D22" s="4021"/>
      <c r="E22" s="4021"/>
      <c r="F22" s="4021"/>
      <c r="G22" s="4021"/>
      <c r="H22" s="4021"/>
      <c r="I22" s="4021"/>
      <c r="J22" s="4021"/>
      <c r="K22" s="4021"/>
      <c r="L22" s="4021"/>
      <c r="M22" s="4021"/>
      <c r="N22" s="4021"/>
      <c r="W22" s="4023"/>
    </row>
    <row r="23" spans="1:28" s="1757" customFormat="1" ht="30" thickTop="1" thickBot="1" x14ac:dyDescent="0.35">
      <c r="A23" s="39"/>
      <c r="B23" s="2844" t="s">
        <v>624</v>
      </c>
      <c r="C23" s="2843" t="s">
        <v>1545</v>
      </c>
      <c r="D23" s="1640" t="s">
        <v>565</v>
      </c>
      <c r="E23" s="573" t="b">
        <f>IF(AND(E24=TRUE,E28=TRUE),TRUE)</f>
        <v>1</v>
      </c>
      <c r="F23" s="388">
        <f>SUM(F24,F28)</f>
        <v>9</v>
      </c>
      <c r="G23" s="388">
        <f>SUM(G24,G28)</f>
        <v>1</v>
      </c>
      <c r="H23" s="552">
        <f>SUM(H24,H28)</f>
        <v>0</v>
      </c>
      <c r="I23" s="2100" t="str">
        <f xml:space="preserve">
IF(F23&gt;7,"Too Many Entries - Check Red Lines",
IF(AND(E23=FALSE,G23=0,H23=0,E23=TRUE),"Nothing Required Below",
IF(G23&lt;F23,"Valid Entry required below - Check Amber Line/s",
IF(AND(E23=FALSE,G23=0,H23=0),"Nothing Entered below Yet",
IF(G23&lt;F23,"Valid Entry required below - Check Amber Line/s",
IF(AND(G23=0,H23&gt;0),"**Non-Valid Entry/ies below - Check Yellow Line/s",
IF(AND(G23&gt;0,H23&gt;0),"**Valid and Non-Valid Entries made below - Check Yellow Line/s",
IF(AND(E23=FALSE,F23&lt;7),"Not all requirements addressed below - Check Pink Line/s",
IF(AND(E23=FALSE,G23&lt;7,G23&gt;0,H23=0),"More entries to come",
IF(AND(E23,TRUE,G23=7,H23=0),"Valid Entries made below"
))))))))))</f>
        <v>Too Many Entries - Check Red Lines</v>
      </c>
      <c r="J23" s="1642">
        <f>SUM(J24,J28)</f>
        <v>1</v>
      </c>
      <c r="K23" s="1642">
        <f>SUM(K24,K28)</f>
        <v>0</v>
      </c>
      <c r="L23" s="1701" t="str">
        <f xml:space="preserve">
IF(J23&gt;7,"Too Many Entries - Check Red Lines",
IF(AND(E23=FALSE,J23=0,K23=0,E23=TRUE),"Nothing Required Below",
IF(J23&lt;F23,"Valid Entry required below - Check Amber Line/s",
IF(AND(E23=FALSE,J23=0,K23=0),"Nothing Entered below Yet",
IF(AND(J23=0,K23&gt;0),"**Non-Valid Entry/ies below - Check Yellow Line/s",
IF(AND(J23&gt;0,K23&gt;0),"**Valid and Non-Valid Entries made below - Check Yellow Line/s",
IF(AND(E23=FALSE,J23&lt;7),"Not all requirements addressed below - Check Pink Line/s",
IF(AND(E23=FALSE,J23&lt;7,J23&gt;0,K23=0),"More entries to come",
IF(AND(E23,TRUE,J23=7,K23=0),"Valid Entries made below"
)))))))))</f>
        <v>Valid Entry required below - Check Amber Line/s</v>
      </c>
      <c r="M23" s="1554"/>
      <c r="N23" s="698" t="s">
        <v>565</v>
      </c>
      <c r="O23" s="132" t="b">
        <f>IF(AND(O24=TRUE,O28=TRUE),TRUE,FALSE)</f>
        <v>0</v>
      </c>
      <c r="P23" s="337"/>
      <c r="Q23" s="1499" t="s">
        <v>565</v>
      </c>
      <c r="R23" s="816" t="e">
        <f>IF(AND(R24=TRUE,R28=TRUE),TRUE)</f>
        <v>#REF!</v>
      </c>
      <c r="S23" s="336"/>
      <c r="T23" s="336"/>
      <c r="U23" s="337"/>
      <c r="V23" s="698" t="s">
        <v>565</v>
      </c>
      <c r="W23" s="395" t="b">
        <f>IF(AND(W24=TRUE,W28=TRUE),TRUE,FALSE)</f>
        <v>0</v>
      </c>
      <c r="X23" s="336"/>
      <c r="Y23" s="336"/>
      <c r="Z23" s="337"/>
      <c r="AA23" s="1558"/>
      <c r="AB23" s="1558"/>
    </row>
    <row r="24" spans="1:28" s="1757" customFormat="1" ht="29.5" thickTop="1" x14ac:dyDescent="0.3">
      <c r="A24" s="28"/>
      <c r="B24" s="2845" t="s">
        <v>1234</v>
      </c>
      <c r="C24" s="2829" t="s">
        <v>1789</v>
      </c>
      <c r="D24" s="1804" t="s">
        <v>565</v>
      </c>
      <c r="E24" s="978" t="b">
        <f>IF(AND(E25=TRUE,E26=TRUE,E27=TRUE),TRUE)</f>
        <v>1</v>
      </c>
      <c r="F24" s="979">
        <f>COUNTIFS(E25:E27,"TRUE")</f>
        <v>3</v>
      </c>
      <c r="G24" s="979">
        <f>COUNTIFS(E25:E27,TRUE,G25:G27,"Not Blank")</f>
        <v>0</v>
      </c>
      <c r="H24" s="2830">
        <f>COUNTIFS(E25:E27,FALSE,G25:G27,"Not Blank")</f>
        <v>0</v>
      </c>
      <c r="I24" s="1922" t="str">
        <f xml:space="preserve">
IF(F24&gt;4,"Too Many Entries - Check Red Lines",
IF(AND(E24=FALSE,G24=0,H24=0,E24=TRUE),"Nothing Required Below",
IF(G24&lt;F24,"Valid Entry required below - Check Amber Line/s",
IF(AND(E24=FALSE,G24=0,H24=0),"Nothing Entered below Yet",
IF(G24&lt;F24,"Valid Entry required below - Check Amber Line/s",
IF(AND(G24=0,H24&gt;0),"**Non-Valid Entry/ies below - Check Yellow Line/s",
IF(AND(G24&gt;0,H24&gt;0),"**Valid and Non-Valid Entries made below - Check Yellow Line/s",
IF(AND(E24=FALSE,F24&lt;4),"Not all requirements addressed below - Check Pink Line/s",
IF(AND(E24=FALSE,G24&lt;4,G24&gt;0,H24=0),"More entries to come",
IF(AND(E24,TRUE,G24=4,H24=0),"Valid Entries made below"
))))))))))</f>
        <v>Valid Entry required below - Check Amber Line/s</v>
      </c>
      <c r="J24" s="1647">
        <f>COUNTIFS(E25:E27,TRUE,J25:J27,"Not Blank")</f>
        <v>0</v>
      </c>
      <c r="K24" s="1647">
        <f>COUNTIFS(E25:E27,FALSE,J25:J27,"Not Blank")</f>
        <v>0</v>
      </c>
      <c r="L24" s="1702" t="str">
        <f xml:space="preserve">
IF(J24&gt;4,"Too Many Entries - Check Red Lines",
IF(AND(E24=FALSE,J24=0,K24=0,E24=TRUE),"Nothing Required Below",
IF(J24&lt;F24,"Valid Entry required below - Check Amber Line/s",
IF(AND(E24=FALSE,J24=0,K24=0),"Nothing Entered below Yet",
IF(AND(J24=0,K24&gt;0),"**Non-Valid Entry/ies below - Check Yellow Line/s",
IF(AND(J24&gt;0,K24&gt;0),"**Valid and Non-Valid Entries made below - Check Yellow Line/s",
IF(AND(E24=FALSE,J24&lt;4),"Not all requirements addressed below - Check Pink Line/s",
IF(AND(E24=FALSE,J24&lt;4,J24&gt;0,K24=0),"More entries to come",
IF(AND(E24,TRUE,J24=4,K24=0),"Valid Entries made below"
)))))))))</f>
        <v>Valid Entry required below - Check Amber Line/s</v>
      </c>
      <c r="M24" s="497"/>
      <c r="N24" s="4537" t="s">
        <v>3</v>
      </c>
      <c r="O24" s="4440" t="b">
        <f>IF(OR(N24="Compliant",N24="FE with work-a-round",N24="Functionally Equivalent"),TRUE,FALSE)</f>
        <v>0</v>
      </c>
      <c r="P24" s="306"/>
      <c r="Q24" s="1489" t="s">
        <v>565</v>
      </c>
      <c r="R24" s="773" t="e">
        <f>IF(AND(R25=TRUE,#REF!=TRUE,R26=TRUE,R27=TRUE),TRUE)</f>
        <v>#REF!</v>
      </c>
      <c r="S24" s="186"/>
      <c r="T24" s="186"/>
      <c r="U24" s="306"/>
      <c r="V24" s="4414" t="s">
        <v>3</v>
      </c>
      <c r="W24" s="4495" t="b">
        <f>IF(OR(V24="Compliant",V24="FE with work-a-round",V24="Functionally Equivalent",V24="Not Required/Applicable"),TRUE,FALSE)</f>
        <v>0</v>
      </c>
      <c r="X24" s="186"/>
      <c r="Y24" s="186"/>
      <c r="Z24" s="306"/>
      <c r="AA24" s="1558"/>
      <c r="AB24" s="1558"/>
    </row>
    <row r="25" spans="1:28" ht="43.5" x14ac:dyDescent="0.3">
      <c r="A25" s="1751" t="s">
        <v>2247</v>
      </c>
      <c r="B25" s="1490"/>
      <c r="C25" s="1812" t="s">
        <v>622</v>
      </c>
      <c r="D25" s="319" t="s">
        <v>13</v>
      </c>
      <c r="E25" s="67" t="b">
        <f>IF(D25="Compliant",TRUE,FALSE)</f>
        <v>1</v>
      </c>
      <c r="F25" s="44"/>
      <c r="G25" s="44" t="str">
        <f>IF(I25&lt;&gt;"", "Not Blank", "")</f>
        <v/>
      </c>
      <c r="H25" s="122"/>
      <c r="I25" s="3431"/>
      <c r="J25" s="3429"/>
      <c r="K25" s="3429"/>
      <c r="L25" s="3429"/>
      <c r="M25" s="3461"/>
      <c r="N25" s="4538"/>
      <c r="O25" s="4441"/>
      <c r="P25" s="575"/>
      <c r="Q25" s="847" t="s">
        <v>3</v>
      </c>
      <c r="R25" s="732" t="b">
        <f>IF(OR(Q25="Compliant",Q25="FE with work-a-round",Q25="Functionally Equivalent"),TRUE,FALSE)</f>
        <v>0</v>
      </c>
      <c r="S25" s="261"/>
      <c r="T25" s="261"/>
      <c r="U25" s="575"/>
      <c r="V25" s="4415"/>
      <c r="W25" s="4496"/>
      <c r="X25" s="261"/>
      <c r="Y25" s="261"/>
      <c r="Z25" s="575"/>
    </row>
    <row r="26" spans="1:28" ht="203" x14ac:dyDescent="0.3">
      <c r="A26" s="1751" t="s">
        <v>2248</v>
      </c>
      <c r="B26" s="1490"/>
      <c r="C26" s="1812" t="s">
        <v>2246</v>
      </c>
      <c r="D26" s="319" t="s">
        <v>13</v>
      </c>
      <c r="E26" s="67" t="b">
        <f>IF(D26="Compliant",TRUE,FALSE)</f>
        <v>1</v>
      </c>
      <c r="F26" s="44"/>
      <c r="G26" s="44" t="str">
        <f>IF(I26&lt;&gt;"", "Not Blank", "")</f>
        <v/>
      </c>
      <c r="H26" s="122"/>
      <c r="I26" s="3431"/>
      <c r="J26" s="3429"/>
      <c r="K26" s="3429"/>
      <c r="L26" s="3429"/>
      <c r="M26" s="3461"/>
      <c r="N26" s="4538"/>
      <c r="O26" s="4441"/>
      <c r="P26" s="575"/>
      <c r="Q26" s="847" t="s">
        <v>3</v>
      </c>
      <c r="R26" s="732" t="b">
        <f>IF(OR(Q26="Compliant",Q26="FE with work-a-round",Q26="Functionally Equivalent"),TRUE,FALSE)</f>
        <v>0</v>
      </c>
      <c r="S26" s="261"/>
      <c r="T26" s="261"/>
      <c r="U26" s="575"/>
      <c r="V26" s="4415"/>
      <c r="W26" s="4496"/>
      <c r="X26" s="261"/>
      <c r="Y26" s="261"/>
      <c r="Z26" s="575"/>
    </row>
    <row r="27" spans="1:28" ht="44" thickBot="1" x14ac:dyDescent="0.35">
      <c r="A27" s="1751"/>
      <c r="B27" s="1491"/>
      <c r="C27" s="1671" t="s">
        <v>623</v>
      </c>
      <c r="D27" s="849" t="s">
        <v>13</v>
      </c>
      <c r="E27" s="78" t="b">
        <f>IF(D27="Compliant",TRUE,FALSE)</f>
        <v>1</v>
      </c>
      <c r="F27" s="79"/>
      <c r="G27" s="79" t="str">
        <f>IF(I27&lt;&gt;"", "Not Blank", "")</f>
        <v/>
      </c>
      <c r="H27" s="125"/>
      <c r="I27" s="3431"/>
      <c r="J27" s="3429" t="str">
        <f>IF(L27&lt;&gt;"", "Not Blank", "")</f>
        <v/>
      </c>
      <c r="K27" s="3429"/>
      <c r="N27" s="4539"/>
      <c r="O27" s="4442"/>
      <c r="P27" s="1556"/>
      <c r="Q27" s="848" t="s">
        <v>3</v>
      </c>
      <c r="R27" s="812" t="b">
        <f>IF(OR(Q27="Compliant",Q27="FE with work-a-round",Q27="Functionally Equivalent"),TRUE,FALSE)</f>
        <v>0</v>
      </c>
      <c r="S27" s="1555"/>
      <c r="T27" s="1555"/>
      <c r="U27" s="1556"/>
      <c r="V27" s="4416"/>
      <c r="W27" s="4497"/>
      <c r="X27" s="718"/>
      <c r="Y27" s="718"/>
      <c r="Z27" s="1758"/>
    </row>
    <row r="28" spans="1:28" ht="44.5" thickTop="1" thickBot="1" x14ac:dyDescent="0.35">
      <c r="A28" s="1751">
        <v>5</v>
      </c>
      <c r="B28" s="1489" t="s">
        <v>618</v>
      </c>
      <c r="C28" s="2087" t="s">
        <v>1790</v>
      </c>
      <c r="D28" s="1499" t="s">
        <v>565</v>
      </c>
      <c r="E28" s="995" t="b">
        <f>IF(AND(E29=TRUE,E30=TRUE,E34=TRUE,E35=TRUE),TRUE,FALSE)</f>
        <v>1</v>
      </c>
      <c r="F28" s="689">
        <f>COUNTIFS(E31:E35,"TRUE")+COUNTIFS(E29,"TRUE")</f>
        <v>6</v>
      </c>
      <c r="G28" s="689">
        <f>COUNTIFS(E29:E35,TRUE,G29:G35,"Not Blank")</f>
        <v>1</v>
      </c>
      <c r="H28" s="686">
        <f>COUNTIFS(E29:E35,FALSE,G29:G35,"Not Blank")</f>
        <v>0</v>
      </c>
      <c r="I28" s="2192" t="str">
        <f xml:space="preserve">
IF(F28&gt;6,"Too Many Entries - Check Red Lines",
IF(AND(E28=FALSE,G28=0,H28=0,E28=TRUE),"Nothing Required Below",
IF(G28&lt;F28,"Valid Entry required below - Check Amber Line/s",
IF(AND(E28=FALSE,G28=0,H28=0),"Nothing Entered below Yet",
IF(G28&lt;F28,"Valid Entry required below - Check Amber Line/s",
IF(AND(G28=0,H28&gt;0),"**Non-Valid Entry/ies below - Check Yellow Line/s",
IF(AND(G28&gt;0,H28&gt;0),"**Valid and Non-Valid Entries made below - Check Yellow Line/s",
IF(AND(E28=FALSE,F28&lt;6),"Not all requirements addressed below - Check Pink Line/s",
IF(AND(E28=FALSE,G28&lt;6,G28&gt;0,H28=0),"More entries to come",
IF(AND(E28,TRUE,G28=6,H28=0),"Valid Entries made below"
))))))))))</f>
        <v>Valid Entry required below - Check Amber Line/s</v>
      </c>
      <c r="J28" s="1497">
        <f>COUNTIFS(E29:E35,TRUE,J29:J35,"Not Blank")</f>
        <v>1</v>
      </c>
      <c r="K28" s="1497">
        <f>COUNTIFS(E29:E35,FALSE,J29:J35,"Not Blank")</f>
        <v>0</v>
      </c>
      <c r="L28" s="1697" t="str">
        <f xml:space="preserve">
IF(J28&gt;6,"Too Many Entries - Check Red Lines",
IF(AND(E28=FALSE,J28=0,K28=0,E28=TRUE),"Nothing Required Below",
IF(J28&lt;F28,"Valid Entry required below - Check Amber Line/s",
IF(AND(E28=FALSE,J28=0,K28=0),"Nothing Entered below Yet",
IF(AND(J28=0,K28&gt;0),"**Non-Valid Entry/ies below - Check Yellow Line/s",
IF(AND(J28&gt;0,K28&gt;0),"**Valid and Non-Valid Entries made below - Check Yellow Line/s",
IF(AND(E28=FALSE,J28&lt;6),"Not all requirements addressed below - Check Pink Line/s",
IF(AND(E28=FALSE,J28&lt;6,J28&gt;0,K28=0),"More entries to come",
IF(AND(E28,TRUE,J28=6,K28=0),"Valid Entries made below"
)))))))))</f>
        <v>Valid Entry required below - Check Amber Line/s</v>
      </c>
      <c r="M28" s="35"/>
      <c r="N28" s="4537" t="s">
        <v>3</v>
      </c>
      <c r="O28" s="4440" t="b">
        <f>IF(OR(N28="Compliant",N28="FE with work-a-round",N28="Functionally Equivalent"),TRUE,FALSE)</f>
        <v>0</v>
      </c>
      <c r="P28" s="337"/>
      <c r="Q28" s="1499" t="s">
        <v>565</v>
      </c>
      <c r="R28" s="816" t="e">
        <f>IF(AND(R29=TRUE,R35=TRUE),TRUE,FALSE)</f>
        <v>#REF!</v>
      </c>
      <c r="S28" s="336"/>
      <c r="T28" s="336"/>
      <c r="U28" s="337"/>
      <c r="V28" s="4414" t="s">
        <v>3</v>
      </c>
      <c r="W28" s="4495" t="b">
        <f>IF(OR(V28="Compliant",V28="FE with work-a-round",V28="Functionally Equivalent",V28="Not Required/Applicable"),TRUE,FALSE)</f>
        <v>0</v>
      </c>
      <c r="X28" s="336"/>
      <c r="Y28" s="336"/>
      <c r="Z28" s="337"/>
    </row>
    <row r="29" spans="1:28" ht="102.5" thickTop="1" thickBot="1" x14ac:dyDescent="0.35">
      <c r="A29" s="1751"/>
      <c r="B29" s="2849" t="s">
        <v>2176</v>
      </c>
      <c r="C29" s="2087" t="s">
        <v>2183</v>
      </c>
      <c r="D29" s="102" t="s">
        <v>13</v>
      </c>
      <c r="E29" s="231" t="b">
        <f>IF(D29="Compliant",TRUE,FALSE)</f>
        <v>1</v>
      </c>
      <c r="F29" s="133"/>
      <c r="G29" s="133" t="str">
        <f>IF(I29&lt;&gt;"", "Not Blank", "")</f>
        <v>Not Blank</v>
      </c>
      <c r="H29" s="134"/>
      <c r="I29" s="231" t="s">
        <v>2351</v>
      </c>
      <c r="J29" s="133" t="str">
        <f>IF(L29&lt;&gt;"", "Not Blank", "")</f>
        <v>Not Blank</v>
      </c>
      <c r="K29" s="133"/>
      <c r="L29" s="134" t="s">
        <v>2351</v>
      </c>
      <c r="M29" s="2852"/>
      <c r="N29" s="4538"/>
      <c r="O29" s="4441"/>
      <c r="P29" s="1081"/>
      <c r="Q29" s="1489" t="s">
        <v>3</v>
      </c>
      <c r="R29" s="773" t="e">
        <f>IF(AND(R30=TRUE,#REF!=TRUE),TRUE,FALSE)</f>
        <v>#REF!</v>
      </c>
      <c r="S29" s="186"/>
      <c r="T29" s="186"/>
      <c r="U29" s="306"/>
      <c r="V29" s="4415"/>
      <c r="W29" s="4496"/>
      <c r="X29" s="1540"/>
      <c r="Y29" s="1540"/>
      <c r="Z29" s="1081"/>
    </row>
    <row r="30" spans="1:28" ht="29.5" thickTop="1" x14ac:dyDescent="0.3">
      <c r="A30" s="1751"/>
      <c r="B30" s="1489" t="s">
        <v>2177</v>
      </c>
      <c r="C30" s="2829" t="s">
        <v>1533</v>
      </c>
      <c r="D30" s="1804" t="s">
        <v>565</v>
      </c>
      <c r="E30" s="978" t="b">
        <f>IF(AND(E31=TRUE,E32=TRUE,E33=TRUE),TRUE,FALSE)</f>
        <v>1</v>
      </c>
      <c r="F30" s="979">
        <f>COUNTIFS(E31:E33,"TRUE")</f>
        <v>3</v>
      </c>
      <c r="G30" s="979">
        <f>COUNTIFS(E31:E33,TRUE,G31:G33,"Not Blank")</f>
        <v>0</v>
      </c>
      <c r="H30" s="2830">
        <f>COUNTIFS(E31:E33,FALSE,G31:G33,"Not Blank")</f>
        <v>0</v>
      </c>
      <c r="I30" s="1922" t="str">
        <f xml:space="preserve">
IF(F30&gt;3,"Too Many Entries - Check Red Lines",
IF(AND(E30=FALSE,G30=0,H30=0,E30=TRUE),"Nothing Required Below",
IF(G30&lt;F30,"Valid Entry required below - Check Amber Line/s",
IF(AND(E30=FALSE,G30=0,H30=0),"Nothing Entered below Yet",
IF(G30&lt;F30,"Valid Entry required below - Check Amber Line/s",
IF(AND(G30=0,H30&gt;0),"**Non-Valid Entry/ies below - Check Yellow Line/s",
IF(AND(G30&gt;0,H30&gt;0),"**Valid and Non-Valid Entries made below - Check Yellow Line/s",
IF(AND(E30=FALSE,F30&lt;3),"Not all requirements addressed below - Check Pink Line/s",
IF(AND(E30=FALSE,G30&lt;3,G30&gt;0,H30=0),"More entries to come",
IF(AND(E30,TRUE,G30=3,H30=0),"Valid Entries made below"
))))))))))</f>
        <v>Valid Entry required below - Check Amber Line/s</v>
      </c>
      <c r="J30" s="1647">
        <f>COUNTIFS(E31:E33,TRUE,J31:J33,"Not Blank")</f>
        <v>0</v>
      </c>
      <c r="K30" s="1647">
        <f>COUNTIFS(E31:E33,FALSE,J31:J33,"Not Blank")</f>
        <v>0</v>
      </c>
      <c r="L30" s="1685" t="str">
        <f xml:space="preserve">
IF(J30&gt;3,"Too Many Entries - Check Red Lines",
IF(AND(E30=FALSE,J30=0,K30=0,E30=TRUE),"Nothing Required Below",
IF(J30&lt;F30,"Valid Entry required below - Check Amber Line/s",
IF(AND(E30=FALSE,J30=0,K30=0),"Nothing Entered below Yet",
IF(AND(J30=0,K30&gt;0),"**Non-Valid Entry/ies below - Check Yellow Line/s",
IF(AND(J30&gt;0,K30&gt;0),"**Valid and Non-Valid Entries made below - Check Yellow Line/s",
IF(AND(E30=FALSE,J30&lt;3),"Not all requirements addressed below - Check Pink Line/s",
IF(AND(E30=FALSE,J30&lt;3,J30&gt;0,K30=0),"More entries to come",
IF(AND(E30,TRUE,J30=3,K30=0),"Valid Entries made below"
)))))))))</f>
        <v>Valid Entry required below - Check Amber Line/s</v>
      </c>
      <c r="M30" s="497"/>
      <c r="N30" s="4538"/>
      <c r="O30" s="4441"/>
      <c r="P30" s="575"/>
      <c r="Q30" s="1138" t="s">
        <v>3</v>
      </c>
      <c r="R30" s="732" t="b">
        <f>IF(OR(Q30="Compliant",Q30="FE with work-a-round",Q30="Functionally Equivalent"),TRUE,FALSE)</f>
        <v>0</v>
      </c>
      <c r="S30" s="261"/>
      <c r="T30" s="261"/>
      <c r="U30" s="575"/>
      <c r="V30" s="4415"/>
      <c r="W30" s="4496"/>
      <c r="X30" s="261"/>
      <c r="Y30" s="261"/>
      <c r="Z30" s="575"/>
    </row>
    <row r="31" spans="1:28" ht="72.5" x14ac:dyDescent="0.3">
      <c r="A31" s="1751"/>
      <c r="B31" s="1490"/>
      <c r="C31" s="1812" t="s">
        <v>2178</v>
      </c>
      <c r="D31" s="319" t="s">
        <v>13</v>
      </c>
      <c r="E31" s="67" t="b">
        <f>IF(D31="Compliant",TRUE,FALSE)</f>
        <v>1</v>
      </c>
      <c r="F31" s="44"/>
      <c r="G31" s="44" t="str">
        <f t="shared" ref="G31:G34" si="0">IF(I31&lt;&gt;"", "Not Blank", "")</f>
        <v/>
      </c>
      <c r="H31" s="122"/>
      <c r="I31" s="67"/>
      <c r="J31" s="44" t="str">
        <f t="shared" ref="J31:J35" si="1">IF(L31&lt;&gt;"", "Not Blank", "")</f>
        <v/>
      </c>
      <c r="K31" s="44"/>
      <c r="L31" s="122"/>
      <c r="M31" s="205"/>
      <c r="N31" s="4538"/>
      <c r="O31" s="4441"/>
      <c r="P31" s="575"/>
      <c r="Q31" s="1138"/>
      <c r="R31" s="732"/>
      <c r="S31" s="261"/>
      <c r="T31" s="261"/>
      <c r="U31" s="575"/>
      <c r="V31" s="4415"/>
      <c r="W31" s="4496"/>
      <c r="X31" s="261"/>
      <c r="Y31" s="261"/>
      <c r="Z31" s="575"/>
    </row>
    <row r="32" spans="1:28" ht="87" x14ac:dyDescent="0.3">
      <c r="A32" s="1751"/>
      <c r="B32" s="1490"/>
      <c r="C32" s="1812" t="s">
        <v>2179</v>
      </c>
      <c r="D32" s="319" t="s">
        <v>13</v>
      </c>
      <c r="E32" s="67" t="b">
        <f t="shared" ref="E32:E35" si="2">IF(D32="Compliant",TRUE,FALSE)</f>
        <v>1</v>
      </c>
      <c r="F32" s="44"/>
      <c r="G32" s="44" t="str">
        <f t="shared" si="0"/>
        <v/>
      </c>
      <c r="H32" s="122"/>
      <c r="I32" s="67"/>
      <c r="J32" s="44" t="str">
        <f t="shared" si="1"/>
        <v/>
      </c>
      <c r="K32" s="44"/>
      <c r="L32" s="122"/>
      <c r="M32" s="205"/>
      <c r="N32" s="4538"/>
      <c r="O32" s="4441"/>
      <c r="P32" s="575"/>
      <c r="Q32" s="1138"/>
      <c r="R32" s="732"/>
      <c r="S32" s="261"/>
      <c r="T32" s="261"/>
      <c r="U32" s="575"/>
      <c r="V32" s="4415"/>
      <c r="W32" s="4496"/>
      <c r="X32" s="261"/>
      <c r="Y32" s="261"/>
      <c r="Z32" s="575"/>
    </row>
    <row r="33" spans="1:84" ht="222.65" customHeight="1" thickBot="1" x14ac:dyDescent="0.35">
      <c r="A33" s="1751"/>
      <c r="B33" s="1490"/>
      <c r="C33" s="1814" t="s">
        <v>2180</v>
      </c>
      <c r="D33" s="230" t="s">
        <v>13</v>
      </c>
      <c r="E33" s="161" t="b">
        <f t="shared" si="2"/>
        <v>1</v>
      </c>
      <c r="F33" s="124"/>
      <c r="G33" s="124" t="str">
        <f t="shared" si="0"/>
        <v/>
      </c>
      <c r="H33" s="125"/>
      <c r="I33" s="161"/>
      <c r="J33" s="124" t="str">
        <f t="shared" si="1"/>
        <v/>
      </c>
      <c r="K33" s="124"/>
      <c r="L33" s="125"/>
      <c r="M33" s="2851"/>
      <c r="N33" s="4538"/>
      <c r="O33" s="4441"/>
      <c r="P33" s="575"/>
      <c r="Q33" s="1138"/>
      <c r="R33" s="732"/>
      <c r="S33" s="261"/>
      <c r="T33" s="261"/>
      <c r="U33" s="575"/>
      <c r="V33" s="4415"/>
      <c r="W33" s="4496"/>
      <c r="X33" s="261"/>
      <c r="Y33" s="261"/>
      <c r="Z33" s="575"/>
    </row>
    <row r="34" spans="1:84" ht="73" thickTop="1" x14ac:dyDescent="0.3">
      <c r="A34" s="1751"/>
      <c r="B34" s="1490" t="s">
        <v>2181</v>
      </c>
      <c r="C34" s="2829" t="s">
        <v>2182</v>
      </c>
      <c r="D34" s="1013" t="s">
        <v>13</v>
      </c>
      <c r="E34" s="41" t="b">
        <f t="shared" si="2"/>
        <v>1</v>
      </c>
      <c r="F34" s="42"/>
      <c r="G34" s="42" t="str">
        <f t="shared" si="0"/>
        <v/>
      </c>
      <c r="H34" s="128"/>
      <c r="I34" s="41"/>
      <c r="J34" s="42" t="str">
        <f t="shared" si="1"/>
        <v/>
      </c>
      <c r="K34" s="42"/>
      <c r="L34" s="128"/>
      <c r="M34" s="497"/>
      <c r="N34" s="4538"/>
      <c r="O34" s="4441"/>
      <c r="P34" s="575"/>
      <c r="Q34" s="1138"/>
      <c r="R34" s="732"/>
      <c r="S34" s="261"/>
      <c r="T34" s="261"/>
      <c r="U34" s="575"/>
      <c r="V34" s="4415"/>
      <c r="W34" s="4496"/>
      <c r="X34" s="261"/>
      <c r="Y34" s="261"/>
      <c r="Z34" s="575"/>
    </row>
    <row r="35" spans="1:84" ht="160" thickBot="1" x14ac:dyDescent="0.35">
      <c r="A35" s="1751"/>
      <c r="B35" s="1491" t="s">
        <v>2184</v>
      </c>
      <c r="C35" s="1814" t="s">
        <v>2263</v>
      </c>
      <c r="D35" s="230" t="s">
        <v>13</v>
      </c>
      <c r="E35" s="161" t="b">
        <f t="shared" si="2"/>
        <v>1</v>
      </c>
      <c r="F35" s="124"/>
      <c r="G35" s="124" t="str">
        <f t="shared" ref="G35" si="3">IF(I35&lt;&gt;"", "Not Blank", "")</f>
        <v/>
      </c>
      <c r="H35" s="125"/>
      <c r="I35" s="161"/>
      <c r="J35" s="124" t="str">
        <f t="shared" si="1"/>
        <v/>
      </c>
      <c r="K35" s="124"/>
      <c r="L35" s="125"/>
      <c r="M35" s="2851"/>
      <c r="N35" s="4539"/>
      <c r="O35" s="4442"/>
      <c r="P35" s="575"/>
      <c r="Q35" s="1138"/>
      <c r="R35" s="732"/>
      <c r="S35" s="261"/>
      <c r="T35" s="261"/>
      <c r="U35" s="575"/>
      <c r="V35" s="4416"/>
      <c r="W35" s="4497"/>
      <c r="X35" s="261"/>
      <c r="Y35" s="261"/>
      <c r="Z35" s="575"/>
    </row>
    <row r="36" spans="1:84" s="3633" customFormat="1" ht="15" thickTop="1" x14ac:dyDescent="0.3">
      <c r="A36" s="4024"/>
      <c r="B36" s="3634"/>
      <c r="C36" s="3785"/>
      <c r="D36" s="3634"/>
      <c r="E36" s="3634"/>
      <c r="F36" s="3634"/>
      <c r="G36" s="3634"/>
      <c r="H36" s="3634"/>
      <c r="I36" s="3634"/>
      <c r="J36" s="3634"/>
      <c r="K36" s="3634"/>
      <c r="L36" s="3634"/>
      <c r="M36" s="3634"/>
      <c r="N36" s="3634"/>
      <c r="O36" s="3634"/>
      <c r="P36" s="3635"/>
      <c r="Q36" s="3634"/>
      <c r="R36" s="3635"/>
      <c r="S36" s="3635"/>
      <c r="T36" s="3635"/>
      <c r="U36" s="3635"/>
      <c r="V36" s="3635"/>
      <c r="W36" s="3636"/>
      <c r="X36" s="3635"/>
      <c r="Y36" s="3635"/>
      <c r="Z36" s="3635"/>
    </row>
    <row r="37" spans="1:84" s="4020" customFormat="1" ht="18.5" x14ac:dyDescent="0.3">
      <c r="A37" s="4482" t="s">
        <v>1136</v>
      </c>
      <c r="B37" s="4483"/>
      <c r="C37" s="4483"/>
      <c r="D37" s="4483"/>
      <c r="E37" s="4483"/>
      <c r="F37" s="4483"/>
      <c r="G37" s="4483"/>
      <c r="H37" s="4483"/>
      <c r="I37" s="4483"/>
      <c r="J37" s="4483"/>
      <c r="K37" s="4483"/>
      <c r="L37" s="4483"/>
      <c r="M37" s="4483"/>
      <c r="N37" s="4483"/>
      <c r="O37" s="3669"/>
      <c r="P37" s="3683"/>
      <c r="Q37" s="3683"/>
      <c r="R37" s="3683"/>
      <c r="S37" s="3684"/>
      <c r="T37" s="3685"/>
      <c r="U37" s="3685"/>
      <c r="V37" s="3669"/>
      <c r="W37" s="3882"/>
      <c r="X37" s="3683"/>
      <c r="Y37" s="3684"/>
      <c r="Z37" s="3685"/>
    </row>
    <row r="38" spans="1:84" s="3633" customFormat="1" ht="15" thickBot="1" x14ac:dyDescent="0.35">
      <c r="A38" s="4024"/>
      <c r="B38" s="3634"/>
      <c r="C38" s="3785"/>
      <c r="P38" s="4025"/>
      <c r="Q38" s="4012"/>
      <c r="R38" s="4025"/>
      <c r="S38" s="4026"/>
      <c r="T38" s="4027"/>
      <c r="U38" s="4027"/>
      <c r="V38" s="3733"/>
      <c r="W38" s="3877"/>
      <c r="X38" s="4025"/>
      <c r="Y38" s="4026"/>
      <c r="Z38" s="4027"/>
    </row>
    <row r="39" spans="1:84" s="27" customFormat="1" ht="32.15" customHeight="1" thickTop="1" thickBot="1" x14ac:dyDescent="0.35">
      <c r="A39" s="662">
        <v>11</v>
      </c>
      <c r="B39" s="2824" t="s">
        <v>474</v>
      </c>
      <c r="C39" s="1923" t="s">
        <v>1230</v>
      </c>
      <c r="D39" s="1640" t="s">
        <v>565</v>
      </c>
      <c r="E39" s="573" t="b">
        <f>IF(AND(E40=TRUE,E41=TRUE,E42=TRUE,E43=TRUE,E52=TRUE,E53=TRUE),TRUE,FALSE)</f>
        <v>0</v>
      </c>
      <c r="F39" s="388">
        <f>COUNTIF(E40:E42,TRUE)+COUNTIF(E45:E47,TRUE)+COUNTIF(E49:E53,TRUE)</f>
        <v>0</v>
      </c>
      <c r="G39" s="388">
        <f>COUNTIFS(E40:E53,TRUE,G40:G53,"Not Blank")</f>
        <v>0</v>
      </c>
      <c r="H39" s="552">
        <f>COUNTIFS(E40:E53,FALSE,G40:G53,"Not Blank")</f>
        <v>0</v>
      </c>
      <c r="I39" s="2100" t="str">
        <f xml:space="preserve">
IF(G39&gt;11,"Too Many Entries - Check Red Lines",
IF(AND(E39=FALSE,G39=0,H39=0,E39=TRUE),"Nothing Required Below",
IF(G39&lt;F39,"Valid Entry required below - Check Amber Line/s",
IF(AND(E39=FALSE,G39=0,H39=0),"Nothing Entered below Yet",
IF(G39&lt;F39,"Valid Entry required below - Check Amber Line/s",
IF(AND(G39=0,H39&gt;0),"**Non-Valid Entry/ies below - Check Yellow Line/s",
IF(AND(G39&gt;0,H39&gt;0),"**Valid and Non-Valid Entries made below - Check Yellow Line/s",
IF(AND(E39=FALSE,F39&lt;11),"Not all requirements addressed below - Check Pink Line/s",
IF(AND(E39=FALSE,F39&lt;11,G39&gt;0,H39=0),"More entries to come",
IF(AND(E39,TRUE,G39=11,H39=0),"Valid Entries made below"
))))))))))</f>
        <v>Nothing Entered below Yet</v>
      </c>
      <c r="J39" s="1642">
        <f>COUNTIFS(E40:E53,TRUE,J40:J53,"Not Blank")</f>
        <v>0</v>
      </c>
      <c r="K39" s="1642">
        <f>COUNTIFS(E40:E53,FALSE,J40:J53,"Not Blank")</f>
        <v>0</v>
      </c>
      <c r="L39" s="1709" t="str">
        <f xml:space="preserve">
IF(J39&gt;11,"Too Many Entries - Check Red Lines",
IF(AND(E39=FALSE,J39=0,K39=0,E39=TRUE),"Nothing Required Below",
IF(J39&lt;G39,"Valid Entry required below - Check Amber Line/s",
IF(AND(E39=FALSE,J39=0,K39=0),"Nothing Entered below Yet",
IF(AND(J39=0,K39&gt;0),"**Non-Valid Entry/ies below - Check Yellow Line/s",
IF(AND(J39&gt;0,K39&gt;0),"**Valid and Non-Valid Entries made below - Check Yellow Line/s",
IF(AND(E39=FALSE,J39&lt;11),"Not all requirements addressed below - Check Pink Line/s",
IF(AND(E39=FALSE,J39&lt;11,J39&gt;0,K39=0),"More entries to come",
IF(AND(E39,TRUE,J39=11,K39=0),"Valid Entries made below"
)))))))))</f>
        <v>Nothing Entered below Yet</v>
      </c>
      <c r="M39" s="102"/>
      <c r="N39" s="4414" t="s">
        <v>3</v>
      </c>
      <c r="O39" s="4477" t="b">
        <f>IF(OR(N39="Compliant",N39="FE with work-a-round",N39="Functionally Equivalent"),TRUE,FALSE)</f>
        <v>0</v>
      </c>
      <c r="P39" s="120"/>
      <c r="Q39" s="1489" t="s">
        <v>565</v>
      </c>
      <c r="R39" s="773" t="e">
        <f>IF(AND(R40=TRUE,#REF!=TRUE,R41=TRUE,R53=TRUE),TRUE,FALSE)</f>
        <v>#REF!</v>
      </c>
      <c r="S39" s="111"/>
      <c r="T39" s="111"/>
      <c r="U39" s="120"/>
      <c r="V39" s="4414" t="s">
        <v>3</v>
      </c>
      <c r="W39" s="4495" t="b">
        <f>IF(OR(V39="Compliant",V39="FE with work-a-round",V39="Functionally Equivalent",V39="Not Required/Applicable"),TRUE,FALSE)</f>
        <v>0</v>
      </c>
      <c r="X39" s="111"/>
      <c r="Y39" s="111"/>
      <c r="Z39" s="120"/>
      <c r="AA39" s="65"/>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40"/>
    </row>
    <row r="40" spans="1:84" s="27" customFormat="1" ht="88" thickTop="1" thickBot="1" x14ac:dyDescent="0.35">
      <c r="A40" s="81" t="s">
        <v>2245</v>
      </c>
      <c r="B40" s="1489"/>
      <c r="C40" s="2848" t="s">
        <v>1155</v>
      </c>
      <c r="D40" s="102" t="s">
        <v>3</v>
      </c>
      <c r="E40" s="231" t="b">
        <f>IF(D40="Compliant",TRUE,FALSE)</f>
        <v>0</v>
      </c>
      <c r="F40" s="133"/>
      <c r="G40" s="1783" t="str">
        <f>IF(I40&lt;&gt;"", "Not Blank", "")</f>
        <v/>
      </c>
      <c r="H40" s="1782"/>
      <c r="I40" s="2834"/>
      <c r="J40" s="133" t="str">
        <f>IF(L40&lt;&gt;"", "Not Blank", "")</f>
        <v/>
      </c>
      <c r="K40" s="133"/>
      <c r="L40" s="134"/>
      <c r="M40" s="1778"/>
      <c r="N40" s="4415"/>
      <c r="O40" s="4450"/>
      <c r="P40" s="122"/>
      <c r="Q40" s="847" t="s">
        <v>3</v>
      </c>
      <c r="R40" s="732" t="b">
        <f>IF(OR(Q40="Compliant",Q40="FE with work-a-round",Q40="Functionally Equivalent"),TRUE,FALSE)</f>
        <v>0</v>
      </c>
      <c r="S40" s="44"/>
      <c r="T40" s="44"/>
      <c r="U40" s="122"/>
      <c r="V40" s="4415"/>
      <c r="W40" s="4496"/>
      <c r="X40" s="44"/>
      <c r="Y40" s="44"/>
      <c r="Z40" s="122"/>
      <c r="AA40" s="65"/>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40"/>
    </row>
    <row r="41" spans="1:84" s="27" customFormat="1" ht="116.5" thickTop="1" x14ac:dyDescent="0.3">
      <c r="A41" s="81" t="s">
        <v>2244</v>
      </c>
      <c r="B41" s="1490" t="s">
        <v>2185</v>
      </c>
      <c r="C41" s="2822" t="s">
        <v>1141</v>
      </c>
      <c r="D41" s="1013" t="s">
        <v>3</v>
      </c>
      <c r="E41" s="834" t="b">
        <f>IF(D41="Compliant",TRUE,FALSE)</f>
        <v>0</v>
      </c>
      <c r="F41" s="42"/>
      <c r="G41" s="2823" t="str">
        <f>IF(I41&lt;&gt;"", "Not Blank", "")</f>
        <v/>
      </c>
      <c r="H41" s="2839"/>
      <c r="I41" s="2835"/>
      <c r="J41" s="42" t="str">
        <f>IF(L41&lt;&gt;"", "Not Blank", "")</f>
        <v/>
      </c>
      <c r="K41" s="42"/>
      <c r="L41" s="128"/>
      <c r="M41" s="140"/>
      <c r="N41" s="4415"/>
      <c r="O41" s="4450"/>
      <c r="P41" s="122"/>
      <c r="Q41" s="847" t="s">
        <v>3</v>
      </c>
      <c r="R41" s="732" t="b">
        <f>IF(OR(Q41="Compliant",Q41="FE with work-a-round",Q41="Functionally Equivalent"),TRUE,FALSE)</f>
        <v>0</v>
      </c>
      <c r="S41" s="44"/>
      <c r="T41" s="44"/>
      <c r="U41" s="122"/>
      <c r="V41" s="4415"/>
      <c r="W41" s="4496"/>
      <c r="X41" s="44"/>
      <c r="Y41" s="44"/>
      <c r="Z41" s="122"/>
      <c r="AA41" s="65"/>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40"/>
    </row>
    <row r="42" spans="1:84" s="27" customFormat="1" ht="29.5" thickBot="1" x14ac:dyDescent="0.35">
      <c r="A42" s="81"/>
      <c r="B42" s="1490"/>
      <c r="C42" s="2123" t="s">
        <v>2249</v>
      </c>
      <c r="D42" s="894" t="s">
        <v>3</v>
      </c>
      <c r="E42" s="706" t="b">
        <f>IF(D42="Compliant",TRUE,FALSE)</f>
        <v>0</v>
      </c>
      <c r="F42" s="160"/>
      <c r="G42" s="2825" t="str">
        <f>IF(I42&lt;&gt;"", "Not Blank", "")</f>
        <v/>
      </c>
      <c r="H42" s="2840"/>
      <c r="I42" s="2836"/>
      <c r="J42" s="160" t="str">
        <f>IF(L42&lt;&gt;"", "Not Blank", "")</f>
        <v/>
      </c>
      <c r="K42" s="160"/>
      <c r="L42" s="135"/>
      <c r="M42" s="196"/>
      <c r="N42" s="4415"/>
      <c r="O42" s="4450"/>
      <c r="P42" s="122"/>
      <c r="Q42" s="847"/>
      <c r="R42" s="732"/>
      <c r="S42" s="44"/>
      <c r="T42" s="44"/>
      <c r="U42" s="122"/>
      <c r="V42" s="4415"/>
      <c r="W42" s="4496"/>
      <c r="X42" s="44"/>
      <c r="Y42" s="44"/>
      <c r="Z42" s="122"/>
      <c r="AA42" s="65"/>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40"/>
    </row>
    <row r="43" spans="1:84" s="27" customFormat="1" ht="30" thickTop="1" thickBot="1" x14ac:dyDescent="0.35">
      <c r="A43" s="81" t="s">
        <v>2212</v>
      </c>
      <c r="B43" s="2845" t="s">
        <v>2191</v>
      </c>
      <c r="C43" s="1819" t="s">
        <v>2211</v>
      </c>
      <c r="D43" s="1640" t="s">
        <v>565</v>
      </c>
      <c r="E43" s="573" t="b">
        <f>IF(AND(E44=TRUE,E48=TRUE,E52=TRUE),TRUE,FALSE)</f>
        <v>0</v>
      </c>
      <c r="F43" s="388">
        <f>COUNTIF(E45:E47,TRUE)+COUNTIF(E49:E53,TRUE)</f>
        <v>0</v>
      </c>
      <c r="G43" s="388">
        <f>COUNTIFS(E44:E53,TRUE,G44:G53,"Not Blank")</f>
        <v>0</v>
      </c>
      <c r="H43" s="552">
        <f>COUNTIFS(E44:E53,FALSE,G44:G53,"Not Blank")</f>
        <v>0</v>
      </c>
      <c r="I43" s="2100" t="str">
        <f xml:space="preserve">
IF(F43&gt;8,"Too Many Entries - Check Red Lines",
IF(AND(E43=FALSE,G43=0,H43=0,E43=TRUE),"Nothing Required Below",
IF(G43&lt;F43,"Valid Entry required below - Check Amber Line/s",
IF(AND(E43=FALSE,G43=0,H43=0),"Nothing Entered below Yet",
IF(G43&lt;F43,"Valid Entry required below - Check Amber Line/s",
IF(AND(G43=0,H43&gt;0),"**Non-Valid Entry/ies below - Check Yellow Line/s",
IF(AND(G43&gt;0,H43&gt;0),"**Valid and Non-Valid Entries made below - Check Yellow Line/s",
IF(AND(E43=FALSE,F43&lt;8),"Not all requirements addressed below - Check Pink Line/s",
IF(AND(E43=FALSE,F43&lt;8,G43&gt;0,H43=0),"More entries to come",
IF(AND(E43,TRUE,F43=8,H43=0),"Valid Entries made below"
))))))))))</f>
        <v>Nothing Entered below Yet</v>
      </c>
      <c r="J43" s="1642">
        <f>COUNTIFS(E44:E57,TRUE,J44:J57,"Not Blank")</f>
        <v>0</v>
      </c>
      <c r="K43" s="1642">
        <f>COUNTIFS(E44:E57,FALSE,J44:J57,"Not Blank")</f>
        <v>0</v>
      </c>
      <c r="L43" s="1701" t="str">
        <f xml:space="preserve">
IF(J43&gt;8,"Too Many Entries - Check Red Lines",
IF(AND(E43=FALSE,J43=0,K43=0,E43=TRUE),"Nothing Required Below",
IF(J43&lt;G43,"Valid Entry required below - Check Amber Line/s",
IF(AND(E43=FALSE,J43=0,K43=0),"Nothing Entered below Yet",
IF(AND(J43=0,K43&gt;0),"**Non-Valid Entry/ies below - Check Yellow Line/s",
IF(AND(J43&gt;0,K43&gt;0),"**Valid and Non-Valid Entries made below - Check Yellow Line/s",
IF(AND(E43=FALSE,J43&lt;8),"Not all requirements addressed below - Check Pink Line/s",
IF(AND(E43=FALSE,J43&lt;8,J43&gt;0,K43=0),"More entries to come",
IF(AND(E43,TRUE,J43=8,K43=0),"Valid Entries made below"
)))))))))</f>
        <v>Nothing Entered below Yet</v>
      </c>
      <c r="M43" s="1778"/>
      <c r="N43" s="4415"/>
      <c r="O43" s="4450"/>
      <c r="P43" s="122"/>
      <c r="Q43" s="847"/>
      <c r="R43" s="732"/>
      <c r="S43" s="44"/>
      <c r="T43" s="44"/>
      <c r="U43" s="122"/>
      <c r="V43" s="4415"/>
      <c r="W43" s="4496"/>
      <c r="X43" s="44"/>
      <c r="Y43" s="44"/>
      <c r="Z43" s="122"/>
      <c r="AA43" s="65"/>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40"/>
    </row>
    <row r="44" spans="1:84" s="27" customFormat="1" ht="30" thickTop="1" thickBot="1" x14ac:dyDescent="0.35">
      <c r="A44" s="81"/>
      <c r="B44" s="2847" t="s">
        <v>2186</v>
      </c>
      <c r="C44" s="2822" t="s">
        <v>2193</v>
      </c>
      <c r="D44" s="1640" t="s">
        <v>565</v>
      </c>
      <c r="E44" s="573" t="b">
        <f>IF(AND(E45=TRUE,E47=TRUE,E46=TRUE),TRUE,FALSE)</f>
        <v>0</v>
      </c>
      <c r="F44" s="388">
        <f>COUNTIF(E45:E47,TRUE)</f>
        <v>0</v>
      </c>
      <c r="G44" s="388">
        <f>COUNTIFS(E45:E47,TRUE,G45:G47,"Not Blank")</f>
        <v>0</v>
      </c>
      <c r="H44" s="552">
        <f>COUNTIFS(E45:E47,FALSE,G45:G47,"Not Blank")</f>
        <v>0</v>
      </c>
      <c r="I44" s="2100" t="str">
        <f xml:space="preserve">
IF(F44&gt;3,"Too Many Entries - Check Red Lines",
IF(AND(E44=FALSE,G44=0,H44=0,E44=TRUE),"Nothing Required Below",
IF(G44&lt;F44,"Valid Entry required below - Check Amber Line/s",
IF(AND(E44=FALSE,G44=0,H44=0),"Nothing Entered below Yet",
IF(G44&lt;F44,"Valid Entry required below - Check Amber Line/s",
IF(AND(G44=0,H44&gt;0),"**Non-Valid Entry/ies below - Check Yellow Line/s",
IF(AND(G44&gt;0,H44&gt;0),"**Valid and Non-Valid Entries made below - Check Yellow Line/s",
IF(AND(E44=FALSE,F44&lt;3),"Not all requirements addressed below - Check Pink Line/s",
IF(AND(E44=FALSE,G44&lt;3,G44&gt;0,H44=0),"More entries to come",
IF(AND(E44,TRUE,G44=3,H44=0),"Valid Entries made below"
))))))))))</f>
        <v>Nothing Entered below Yet</v>
      </c>
      <c r="J44" s="1642">
        <f>COUNTIFS(E45:E47,TRUE,J45:J47,"Not Blank")</f>
        <v>0</v>
      </c>
      <c r="K44" s="1642">
        <f>COUNTIFS(E45:E58,FALSE,J45:J58,"Not Blank")</f>
        <v>0</v>
      </c>
      <c r="L44" s="1701" t="str">
        <f xml:space="preserve">
IF(J44&gt;3,"Too Many Entries - Check Red Lines",
IF(AND(E44=FALSE,J44=0,K44=0,E44=TRUE),"Nothing Required Below",
IF(J44&lt;F44,"Valid Entry required below - Check Amber Line/s",
IF(AND(E44=FALSE,J44=0,K44=0),"Nothing Entered below Yet",
IF(AND(J44=0,K44&gt;0),"**Non-Valid Entry/ies below - Check Yellow Line/s",
IF(AND(J44&gt;0,K44&gt;0),"**Valid and Non-Valid Entries made below - Check Yellow Line/s",
IF(AND(E44=FALSE,J44&lt;3),"Not all requirements addressed below - Check Pink Line/s",
IF(AND(E44=FALSE,J44&lt;3,J44&gt;0,K44=0),"More entries to come",
IF(AND(E44,TRUE,J44=3,K44=0),"Valid Entries made below"
)))))))))</f>
        <v>Nothing Entered below Yet</v>
      </c>
      <c r="M44" s="1778"/>
      <c r="N44" s="4415"/>
      <c r="O44" s="4450"/>
      <c r="P44" s="122"/>
      <c r="Q44" s="847"/>
      <c r="R44" s="732"/>
      <c r="S44" s="44"/>
      <c r="T44" s="44"/>
      <c r="U44" s="122"/>
      <c r="V44" s="4415"/>
      <c r="W44" s="4496"/>
      <c r="X44" s="44"/>
      <c r="Y44" s="44"/>
      <c r="Z44" s="122"/>
      <c r="AA44" s="65"/>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40"/>
    </row>
    <row r="45" spans="1:84" s="27" customFormat="1" ht="44" thickTop="1" x14ac:dyDescent="0.3">
      <c r="A45" s="81" t="s">
        <v>2208</v>
      </c>
      <c r="B45" s="2827"/>
      <c r="C45" s="1816" t="s">
        <v>2187</v>
      </c>
      <c r="D45" s="319" t="s">
        <v>3</v>
      </c>
      <c r="E45" s="119" t="b">
        <f t="shared" ref="E45:E52" si="4">IF(D45="Compliant",TRUE,FALSE)</f>
        <v>0</v>
      </c>
      <c r="F45" s="111"/>
      <c r="G45" s="1750" t="str">
        <f>IF(I45&lt;&gt;"", "Not Blank", "")</f>
        <v/>
      </c>
      <c r="H45" s="1772"/>
      <c r="I45" s="2837"/>
      <c r="J45" s="44" t="str">
        <f t="shared" ref="J45:J47" si="5">IF(L45&lt;&gt;"", "Not Blank", "")</f>
        <v/>
      </c>
      <c r="K45" s="44"/>
      <c r="L45" s="122"/>
      <c r="M45" s="141"/>
      <c r="N45" s="4415"/>
      <c r="O45" s="4450"/>
      <c r="P45" s="122"/>
      <c r="Q45" s="847"/>
      <c r="R45" s="732"/>
      <c r="S45" s="44"/>
      <c r="T45" s="44"/>
      <c r="U45" s="122"/>
      <c r="V45" s="4415"/>
      <c r="W45" s="4496"/>
      <c r="X45" s="44"/>
      <c r="Y45" s="44"/>
      <c r="Z45" s="122"/>
      <c r="AA45" s="65"/>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40"/>
    </row>
    <row r="46" spans="1:84" s="27" customFormat="1" ht="43.5" x14ac:dyDescent="0.3">
      <c r="A46" s="81" t="s">
        <v>2209</v>
      </c>
      <c r="B46" s="2827"/>
      <c r="C46" s="1816" t="s">
        <v>2188</v>
      </c>
      <c r="D46" s="319" t="s">
        <v>3</v>
      </c>
      <c r="E46" s="121" t="b">
        <f t="shared" si="4"/>
        <v>0</v>
      </c>
      <c r="F46" s="44"/>
      <c r="G46" s="1748" t="str">
        <f>IF(I46&lt;&gt;"", "Not Blank", "")</f>
        <v/>
      </c>
      <c r="H46" s="2841"/>
      <c r="I46" s="2837"/>
      <c r="J46" s="44" t="str">
        <f t="shared" si="5"/>
        <v/>
      </c>
      <c r="K46" s="44"/>
      <c r="L46" s="122"/>
      <c r="M46" s="141"/>
      <c r="N46" s="4415"/>
      <c r="O46" s="4450"/>
      <c r="P46" s="122"/>
      <c r="Q46" s="847"/>
      <c r="R46" s="732"/>
      <c r="S46" s="44"/>
      <c r="T46" s="44"/>
      <c r="U46" s="122"/>
      <c r="V46" s="4415"/>
      <c r="W46" s="4496"/>
      <c r="X46" s="44"/>
      <c r="Y46" s="44"/>
      <c r="Z46" s="122"/>
      <c r="AA46" s="65"/>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40"/>
    </row>
    <row r="47" spans="1:84" s="27" customFormat="1" ht="44" thickBot="1" x14ac:dyDescent="0.35">
      <c r="A47" s="81" t="s">
        <v>2210</v>
      </c>
      <c r="B47" s="2827"/>
      <c r="C47" s="1818" t="s">
        <v>2189</v>
      </c>
      <c r="D47" s="230" t="s">
        <v>3</v>
      </c>
      <c r="E47" s="706" t="b">
        <f t="shared" si="4"/>
        <v>0</v>
      </c>
      <c r="F47" s="160"/>
      <c r="G47" s="2825" t="str">
        <f>IF(I47&lt;&gt;"", "Not Blank", "")</f>
        <v/>
      </c>
      <c r="H47" s="1780"/>
      <c r="I47" s="2838"/>
      <c r="J47" s="124" t="str">
        <f t="shared" si="5"/>
        <v/>
      </c>
      <c r="K47" s="124"/>
      <c r="L47" s="125"/>
      <c r="M47" s="641"/>
      <c r="N47" s="4415"/>
      <c r="O47" s="4450"/>
      <c r="P47" s="122"/>
      <c r="Q47" s="847"/>
      <c r="R47" s="732"/>
      <c r="S47" s="44"/>
      <c r="T47" s="44"/>
      <c r="U47" s="122"/>
      <c r="V47" s="4415"/>
      <c r="W47" s="4496"/>
      <c r="X47" s="44"/>
      <c r="Y47" s="44"/>
      <c r="Z47" s="122"/>
      <c r="AA47" s="65"/>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40"/>
    </row>
    <row r="48" spans="1:84" s="27" customFormat="1" ht="30" thickTop="1" thickBot="1" x14ac:dyDescent="0.35">
      <c r="A48" s="81" t="s">
        <v>2207</v>
      </c>
      <c r="B48" s="2832" t="s">
        <v>2221</v>
      </c>
      <c r="C48" s="1841" t="s">
        <v>2192</v>
      </c>
      <c r="D48" s="1640" t="s">
        <v>565</v>
      </c>
      <c r="E48" s="573" t="b">
        <f>IF(AND(E49=TRUE,E51=TRUE,E50=TRUE),TRUE,FALSE)</f>
        <v>0</v>
      </c>
      <c r="F48" s="388">
        <f>COUNTIF(E49:E51,TRUE)</f>
        <v>0</v>
      </c>
      <c r="G48" s="388">
        <f>COUNTIFS(E49:E51,TRUE,G49:G51,"Not Blank")</f>
        <v>0</v>
      </c>
      <c r="H48" s="552">
        <f>COUNTIFS(E49:E51,FALSE,G49:G51,"Not Blank")</f>
        <v>0</v>
      </c>
      <c r="I48" s="2100" t="str">
        <f xml:space="preserve">
IF(F48&gt;3,"Too Many Entries - Check Red Lines",
IF(AND(E48=FALSE,G48=0,H48=0,E48=TRUE),"Nothing Required Below",
IF(G48&lt;F48,"Valid Entry required below - Check Amber Line/s",
IF(AND(E48=FALSE,G48=0,H48=0),"Nothing Entered below Yet",
IF(G48&lt;F48,"Valid Entry required below - Check Amber Line/s",
IF(AND(G48=0,H48&gt;0),"**Non-Valid Entry/ies below - Check Yellow Line/s",
IF(AND(G48&gt;0,H48&gt;0),"**Valid and Non-Valid Entries made below - Check Yellow Line/s",
IF(AND(E48=FALSE,F48&lt;3),"Not all requirements addressed below - Check Pink Line/s",
IF(AND(E48=FALSE,G48&lt;3,G48&gt;0,H48=0),"More entries to come",
IF(AND(E48,TRUE,G48=3,H48=0),"Valid Entries made below"
))))))))))</f>
        <v>Nothing Entered below Yet</v>
      </c>
      <c r="J48" s="1642">
        <f>COUNTIFS(E49:E51,TRUE,J49:J51,"Not Blank")</f>
        <v>0</v>
      </c>
      <c r="K48" s="1642">
        <f>COUNTIFS(E49:E51,FALSE,J49:J51,"Not Blank")</f>
        <v>0</v>
      </c>
      <c r="L48" s="1701" t="str">
        <f xml:space="preserve">
IF(J48&gt;3,"Too Many Entries - Check Red Lines",
IF(AND(E48=FALSE,J48=0,K48=0,E48=TRUE),"Nothing Required Below",
IF(J48&lt;F48,"Valid Entry required below - Check Amber Line/s",
IF(AND(E48=FALSE,J48=0,K48=0),"Nothing Entered below Yet",
IF(AND(J48=0,K48&gt;0),"**Non-Valid Entry/ies below - Check Yellow Line/s",
IF(AND(J48&gt;0,K48&gt;0),"**Valid and Non-Valid Entries made below - Check Yellow Line/s",
IF(AND(E48=FALSE,J48&lt;3),"Not all requirements addressed below - Check Pink Line/s",
IF(AND(E48=FALSE,J48&lt;3,J48&gt;0,K48=0),"More entries to come",
IF(AND(E48,TRUE,J48=3,K48=0),"Valid Entries made below"
)))))))))</f>
        <v>Nothing Entered below Yet</v>
      </c>
      <c r="M48" s="1778"/>
      <c r="N48" s="4415"/>
      <c r="O48" s="4450"/>
      <c r="P48" s="122"/>
      <c r="Q48" s="847"/>
      <c r="R48" s="732"/>
      <c r="S48" s="44"/>
      <c r="T48" s="44"/>
      <c r="U48" s="122"/>
      <c r="V48" s="4415"/>
      <c r="W48" s="4496"/>
      <c r="X48" s="44"/>
      <c r="Y48" s="44"/>
      <c r="Z48" s="122"/>
      <c r="AA48" s="65"/>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40"/>
    </row>
    <row r="49" spans="1:84" s="27" customFormat="1" ht="177.65" customHeight="1" thickTop="1" x14ac:dyDescent="0.3">
      <c r="A49" s="81" t="s">
        <v>2214</v>
      </c>
      <c r="B49" s="1490"/>
      <c r="C49" s="1816" t="s">
        <v>2213</v>
      </c>
      <c r="D49" s="319" t="s">
        <v>3</v>
      </c>
      <c r="E49" s="121" t="b">
        <f t="shared" si="4"/>
        <v>0</v>
      </c>
      <c r="F49" s="44"/>
      <c r="G49" s="1748" t="str">
        <f t="shared" ref="G49:G51" si="6">IF(I49&lt;&gt;"", "Not Blank", "")</f>
        <v/>
      </c>
      <c r="H49" s="2842"/>
      <c r="I49" s="2837"/>
      <c r="J49" s="44" t="str">
        <f t="shared" ref="J49:J51" si="7">IF(L49&lt;&gt;"", "Not Blank", "")</f>
        <v/>
      </c>
      <c r="K49" s="44"/>
      <c r="L49" s="122"/>
      <c r="M49" s="141"/>
      <c r="N49" s="4415"/>
      <c r="O49" s="4450"/>
      <c r="P49" s="122"/>
      <c r="Q49" s="847"/>
      <c r="R49" s="732"/>
      <c r="S49" s="44"/>
      <c r="T49" s="44"/>
      <c r="U49" s="122"/>
      <c r="V49" s="4415"/>
      <c r="W49" s="4496"/>
      <c r="X49" s="44"/>
      <c r="Y49" s="44"/>
      <c r="Z49" s="122"/>
      <c r="AA49" s="65"/>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40"/>
    </row>
    <row r="50" spans="1:84" s="27" customFormat="1" ht="43.5" x14ac:dyDescent="0.3">
      <c r="A50" s="81" t="s">
        <v>2216</v>
      </c>
      <c r="B50" s="1490"/>
      <c r="C50" s="1816" t="s">
        <v>2215</v>
      </c>
      <c r="D50" s="319" t="s">
        <v>3</v>
      </c>
      <c r="E50" s="121" t="b">
        <f t="shared" si="4"/>
        <v>0</v>
      </c>
      <c r="F50" s="44"/>
      <c r="G50" s="1748" t="str">
        <f t="shared" si="6"/>
        <v/>
      </c>
      <c r="H50" s="2841"/>
      <c r="I50" s="2837"/>
      <c r="J50" s="44" t="str">
        <f t="shared" si="7"/>
        <v/>
      </c>
      <c r="K50" s="44"/>
      <c r="L50" s="122"/>
      <c r="M50" s="141"/>
      <c r="N50" s="4415"/>
      <c r="O50" s="4450"/>
      <c r="P50" s="122"/>
      <c r="Q50" s="847"/>
      <c r="R50" s="732"/>
      <c r="S50" s="44"/>
      <c r="T50" s="44"/>
      <c r="U50" s="122"/>
      <c r="V50" s="4415"/>
      <c r="W50" s="4496"/>
      <c r="X50" s="44"/>
      <c r="Y50" s="44"/>
      <c r="Z50" s="122"/>
      <c r="AA50" s="65"/>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40"/>
    </row>
    <row r="51" spans="1:84" s="27" customFormat="1" ht="66.650000000000006" customHeight="1" x14ac:dyDescent="0.3">
      <c r="A51" s="81" t="s">
        <v>2218</v>
      </c>
      <c r="B51" s="2827" t="s">
        <v>2222</v>
      </c>
      <c r="C51" s="1816" t="s">
        <v>2217</v>
      </c>
      <c r="D51" s="319" t="s">
        <v>3</v>
      </c>
      <c r="E51" s="121" t="b">
        <f t="shared" si="4"/>
        <v>0</v>
      </c>
      <c r="F51" s="44"/>
      <c r="G51" s="1748" t="str">
        <f t="shared" si="6"/>
        <v/>
      </c>
      <c r="H51" s="2841"/>
      <c r="I51" s="2837"/>
      <c r="J51" s="44" t="str">
        <f t="shared" si="7"/>
        <v/>
      </c>
      <c r="K51" s="44"/>
      <c r="L51" s="122"/>
      <c r="M51" s="141"/>
      <c r="N51" s="4415"/>
      <c r="O51" s="4450"/>
      <c r="P51" s="122"/>
      <c r="Q51" s="847"/>
      <c r="R51" s="732"/>
      <c r="S51" s="44"/>
      <c r="T51" s="44"/>
      <c r="U51" s="122"/>
      <c r="V51" s="4415"/>
      <c r="W51" s="4496"/>
      <c r="X51" s="44"/>
      <c r="Y51" s="44"/>
      <c r="Z51" s="122"/>
      <c r="AA51" s="65"/>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40"/>
    </row>
    <row r="52" spans="1:84" s="27" customFormat="1" ht="93.65" customHeight="1" x14ac:dyDescent="0.3">
      <c r="A52" s="81" t="s">
        <v>2220</v>
      </c>
      <c r="B52" s="2827" t="s">
        <v>2190</v>
      </c>
      <c r="C52" s="2822" t="s">
        <v>2219</v>
      </c>
      <c r="D52" s="1013" t="s">
        <v>3</v>
      </c>
      <c r="E52" s="121" t="b">
        <f t="shared" si="4"/>
        <v>0</v>
      </c>
      <c r="F52" s="44"/>
      <c r="G52" s="1748" t="str">
        <f t="shared" ref="G52" si="8">IF(I52&lt;&gt;"", "Not Blank", "")</f>
        <v/>
      </c>
      <c r="H52" s="2841"/>
      <c r="I52" s="2835"/>
      <c r="J52" s="42" t="str">
        <f>IF(L52&lt;&gt;"", "Not Blank", "")</f>
        <v/>
      </c>
      <c r="K52" s="42"/>
      <c r="L52" s="128"/>
      <c r="M52" s="140"/>
      <c r="N52" s="4415"/>
      <c r="O52" s="4450"/>
      <c r="P52" s="122"/>
      <c r="Q52" s="847"/>
      <c r="R52" s="732"/>
      <c r="S52" s="44"/>
      <c r="T52" s="44"/>
      <c r="U52" s="122"/>
      <c r="V52" s="4415"/>
      <c r="W52" s="4496"/>
      <c r="X52" s="44"/>
      <c r="Y52" s="44"/>
      <c r="Z52" s="122"/>
      <c r="AA52" s="65"/>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40"/>
    </row>
    <row r="53" spans="1:84" s="27" customFormat="1" ht="167.4" customHeight="1" thickBot="1" x14ac:dyDescent="0.35">
      <c r="A53" s="1763" t="s">
        <v>2243</v>
      </c>
      <c r="B53" s="1491"/>
      <c r="C53" s="2846" t="s">
        <v>2242</v>
      </c>
      <c r="D53" s="1013" t="s">
        <v>3</v>
      </c>
      <c r="E53" s="706" t="b">
        <f>IF(D53="Compliant",TRUE,FALSE)</f>
        <v>0</v>
      </c>
      <c r="F53" s="160"/>
      <c r="G53" s="2825" t="str">
        <f>IF(I53&lt;&gt;"", "Not Blank", "")</f>
        <v/>
      </c>
      <c r="H53" s="2840"/>
      <c r="I53" s="2836"/>
      <c r="J53" s="160" t="str">
        <f>IF(L53&lt;&gt;"", "Not Blank", "")</f>
        <v/>
      </c>
      <c r="K53" s="160"/>
      <c r="L53" s="125"/>
      <c r="M53" s="196"/>
      <c r="N53" s="4416"/>
      <c r="O53" s="4478"/>
      <c r="P53" s="125"/>
      <c r="Q53" s="848" t="s">
        <v>3</v>
      </c>
      <c r="R53" s="812" t="b">
        <f>IF(OR(Q53="Compliant",Q53="FE with work-a-round",Q53="Functionally Equivalent"),TRUE,FALSE)</f>
        <v>0</v>
      </c>
      <c r="S53" s="124" t="s">
        <v>2195</v>
      </c>
      <c r="T53" s="124" t="s">
        <v>2195</v>
      </c>
      <c r="U53" s="125"/>
      <c r="V53" s="4416"/>
      <c r="W53" s="4497"/>
      <c r="X53" s="124"/>
      <c r="Y53" s="124"/>
      <c r="Z53" s="125"/>
      <c r="AA53" s="65"/>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40"/>
    </row>
    <row r="54" spans="1:84" s="3633" customFormat="1" ht="15" thickTop="1" x14ac:dyDescent="0.3">
      <c r="A54" s="4028"/>
      <c r="B54" s="3635"/>
      <c r="C54" s="3635"/>
      <c r="D54" s="4029"/>
      <c r="E54" s="3635"/>
      <c r="F54" s="3635"/>
      <c r="G54" s="3635"/>
      <c r="H54" s="3635"/>
      <c r="I54" s="3635"/>
      <c r="J54" s="3635"/>
      <c r="K54" s="3635"/>
      <c r="L54" s="3635"/>
      <c r="M54" s="3635"/>
      <c r="N54" s="3720"/>
      <c r="O54" s="3635"/>
      <c r="P54" s="4012"/>
      <c r="Q54" s="4012"/>
      <c r="R54" s="4012"/>
      <c r="S54" s="3748"/>
      <c r="T54" s="3749"/>
      <c r="U54" s="3749"/>
      <c r="V54" s="3720"/>
      <c r="W54" s="3636"/>
      <c r="X54" s="4012"/>
      <c r="Y54" s="3748"/>
      <c r="Z54" s="3749"/>
    </row>
    <row r="55" spans="1:84" s="3633" customFormat="1" x14ac:dyDescent="0.3">
      <c r="A55" s="4532" t="s">
        <v>472</v>
      </c>
      <c r="B55" s="4529"/>
      <c r="C55" s="4529"/>
      <c r="D55" s="4529"/>
      <c r="E55" s="4529"/>
      <c r="F55" s="4529"/>
      <c r="G55" s="4529"/>
      <c r="H55" s="4529"/>
      <c r="I55" s="4529"/>
      <c r="J55" s="4529"/>
      <c r="K55" s="4529"/>
      <c r="L55" s="4529"/>
      <c r="M55" s="4529"/>
      <c r="N55" s="4529"/>
      <c r="O55" s="3880"/>
      <c r="P55" s="4030"/>
      <c r="Q55" s="4030"/>
      <c r="R55" s="4030"/>
      <c r="S55" s="4031"/>
      <c r="T55" s="4032"/>
      <c r="U55" s="4032"/>
      <c r="V55" s="3880"/>
      <c r="W55" s="3882"/>
      <c r="X55" s="4030"/>
      <c r="Y55" s="4031"/>
      <c r="Z55" s="4032"/>
    </row>
    <row r="56" spans="1:84" s="4045" customFormat="1" ht="15" thickBot="1" x14ac:dyDescent="0.35">
      <c r="A56" s="4028"/>
      <c r="B56" s="4033"/>
      <c r="C56" s="4034"/>
      <c r="D56" s="4033"/>
      <c r="E56" s="4034"/>
      <c r="F56" s="4034"/>
      <c r="G56" s="4034"/>
      <c r="H56" s="4034"/>
      <c r="I56" s="4035"/>
      <c r="J56" s="4034"/>
      <c r="K56" s="4034"/>
      <c r="L56" s="4034"/>
      <c r="M56" s="4034"/>
      <c r="N56" s="4033"/>
      <c r="O56" s="3720"/>
      <c r="P56" s="4036"/>
      <c r="Q56" s="4037"/>
      <c r="R56" s="4038"/>
      <c r="S56" s="4039"/>
      <c r="T56" s="4040"/>
      <c r="U56" s="4040"/>
      <c r="V56" s="4041"/>
      <c r="W56" s="4042"/>
      <c r="X56" s="4036"/>
      <c r="Y56" s="4043"/>
      <c r="Z56" s="4044"/>
    </row>
    <row r="57" spans="1:84" s="1757" customFormat="1" ht="30" thickTop="1" thickBot="1" x14ac:dyDescent="0.35">
      <c r="A57" s="204"/>
      <c r="B57" s="2844" t="s">
        <v>1228</v>
      </c>
      <c r="C57" s="2843" t="s">
        <v>1229</v>
      </c>
      <c r="D57" s="553" t="s">
        <v>565</v>
      </c>
      <c r="E57" s="237" t="b">
        <f>IF(AND(E58=TRUE,E63=TRUE),TRUE,FALSE)</f>
        <v>0</v>
      </c>
      <c r="F57" s="237">
        <f>SUM(F58,F63)</f>
        <v>0</v>
      </c>
      <c r="G57" s="237">
        <f>SUM(G58,G63)</f>
        <v>0</v>
      </c>
      <c r="H57" s="531">
        <f>SUM(H58,H63,H91)</f>
        <v>0</v>
      </c>
      <c r="I57" s="1660" t="str">
        <f xml:space="preserve">
IF(F57&gt;23,"Too Many Entries - Check Red Lines",
IF(AND(E57=FALSE,G57=0,H57=0,E57=TRUE),"Nothing Required Below",
IF(G57&lt;F57,"Valid Entry required below - Check Amber Line/s",
IF(AND(E57=FALSE,G57=0,H57=0),"Nothing Entered below Yet",
IF(G57&lt;F57,"Valid Entry required below - Check Amber Line/s",
IF(AND(G57=0,H57&gt;0),"**Non-Valid Entry/ies below - Check Yellow Line/s",
IF(AND(G57&gt;0,H57&gt;0),"**Valid and Non-Valid Entries made below - Check Yellow Line/s",
IF(AND(E57=FALSE,F57&lt;23),"Not all requirements addressed below - Check Pink Line/s",
IF(AND(E57=FALSE,G57&lt;23,G57&gt;0,H57=0),"More entries to come",
IF(AND(E57,TRUE,G57=23,H57=0),"Valid Entries made below"
))))))))))</f>
        <v>Nothing Entered below Yet</v>
      </c>
      <c r="J57" s="1660">
        <f>SUM(J58,J63)</f>
        <v>0</v>
      </c>
      <c r="K57" s="1660">
        <f>SUM(K58,K63)</f>
        <v>0</v>
      </c>
      <c r="L57" s="1660" t="str">
        <f xml:space="preserve">
IF(J57&gt;23,"Too Many Entries - Check Red Lines",
IF(AND(E57=FALSE,J57=0,K57=0,E57=TRUE),"Nothing Required Below",
IF(J57&lt;F57,"Valid Entry required below - Check Amber Line/s",
IF(AND(E57=FALSE,J57=0,K57=0),"Nothing Entered below Yet",
IF(AND(J57=0,K57&gt;0),"**Non-Valid Entry/ies below - Check Yellow Line/s",
IF(AND(J57&gt;0,K57&gt;0),"**Valid and Non-Valid Entries made below - Check Yellow Line/s",
IF(AND(E57=FALSE,J57&lt;23),"Not all requirements addressed below - Check Pink Line/s",
IF(AND(E57=FALSE,J57&lt;23,J57&gt;0,K57=0),"More entries to come",
IF(AND(E57,TRUE,J57=23,K57=0),"Valid Entries made below"
)))))))))</f>
        <v>Nothing Entered below Yet</v>
      </c>
      <c r="M57" s="463"/>
      <c r="N57" s="698" t="s">
        <v>565</v>
      </c>
      <c r="O57" s="132" t="e">
        <f>IF(AND(O58=TRUE,O63=TRUE),TRUE,FALSE)</f>
        <v>#REF!</v>
      </c>
      <c r="P57" s="337"/>
      <c r="Q57" s="698" t="s">
        <v>565</v>
      </c>
      <c r="R57" s="816" t="e">
        <f>IF(AND(R58=TRUE,R63=TRUE),TRUE,FALSE)</f>
        <v>#REF!</v>
      </c>
      <c r="S57" s="336"/>
      <c r="T57" s="336"/>
      <c r="U57" s="337"/>
      <c r="V57" s="698" t="s">
        <v>565</v>
      </c>
      <c r="W57" s="395" t="e">
        <f>IF(AND(W58=TRUE,W63=TRUE),TRUE,FALSE)</f>
        <v>#REF!</v>
      </c>
      <c r="X57" s="1769"/>
      <c r="Y57" s="1769"/>
      <c r="Z57" s="1770"/>
    </row>
    <row r="58" spans="1:84" s="27" customFormat="1" ht="44" thickTop="1" x14ac:dyDescent="0.3">
      <c r="A58" s="60">
        <v>6</v>
      </c>
      <c r="B58" s="2845" t="s">
        <v>2151</v>
      </c>
      <c r="C58" s="1825" t="s">
        <v>2152</v>
      </c>
      <c r="D58" s="1192" t="s">
        <v>565</v>
      </c>
      <c r="E58" s="659" t="b">
        <f>IF(AND(E59=TRUE,E60=TRUE,E61=TRUE),TRUE,FALSE)</f>
        <v>0</v>
      </c>
      <c r="F58" s="207">
        <f>COUNTIF(E59:E61,TRUE)</f>
        <v>0</v>
      </c>
      <c r="G58" s="207">
        <f>COUNTIFS(E59:E61,TRUE,G59:G61,"Not Blank")</f>
        <v>0</v>
      </c>
      <c r="H58" s="199">
        <f>COUNTIFS(E59:E61,FALSE,G59:G61,"Not Blank")</f>
        <v>0</v>
      </c>
      <c r="I58" s="1929" t="str">
        <f xml:space="preserve">
IF(F58&gt;3,"Too Many Entries - Check Red Lines",
IF(AND(E58=FALSE,G58=0,H58=0,E58=TRUE),"Nothing Required Below",
IF(G58&lt;F58,"Valid Entry required below - Check Amber Line/s",
IF(AND(E58=FALSE,G58=0,H58=0),"Nothing Entered below Yet",
IF(G58&lt;F58,"Valid Entry required below - Check Amber Line/s",
IF(AND(G58=0,H58&gt;0),"**Non-Valid Entry/ies below - Check Yellow Line/s",
IF(AND(G58&gt;0,H58&gt;0),"**Valid and Non-Valid Entries made below - Check Yellow Line/s",
IF(AND(E58=FALSE,F58&lt;3),"Not all requirements addressed below - Check Pink Line/s",
IF(AND(E58=FALSE,G58&lt;3,G58&gt;0,H58=0),"More entries to come",
IF(AND(E58,TRUE,G58=3,H58=0),"Valid Entries made below"
))))))))))</f>
        <v>Nothing Entered below Yet</v>
      </c>
      <c r="J58" s="1514">
        <f>COUNTIFS(E59:E61,TRUE,J59:J61,"Not Blank")</f>
        <v>0</v>
      </c>
      <c r="K58" s="1514">
        <f>COUNTIFS(E59:E61,FALSE,J59:J61,"Not Blank")</f>
        <v>0</v>
      </c>
      <c r="L58" s="1685" t="str">
        <f xml:space="preserve">
IF(J58&gt;3,"Too Many Entries - Check Red Lines",
IF(AND(E58=FALSE,J58=0,K58=0,E58=TRUE),"Nothing Required Below",
IF(J58&lt;F58,"Valid Entry required below - Check Amber Line/s",
IF(AND(E58=FALSE,J58=0,K58=0),"Nothing Entered below Yet",
IF(AND(J58=0,K58&gt;0),"**Non-Valid Entry/ies below - Check Yellow Line/s",
IF(AND(J58&gt;0,K58&gt;0),"**Valid and Non-Valid Entries made below - Check Yellow Line/s",
IF(AND(E58=FALSE,J58&lt;3),"Not all requirements addressed below - Check Pink Line/s",
IF(AND(E58=FALSE,J58&lt;3,J58&gt;0,K58=0),"More entries to come",
IF(AND(E58,TRUE,J58=3,K58=0),"Valid Entries made below"
)))))))))</f>
        <v>Nothing Entered below Yet</v>
      </c>
      <c r="M58" s="229"/>
      <c r="N58" s="4457" t="s">
        <v>3</v>
      </c>
      <c r="O58" s="4492" t="b">
        <f>IF(OR(N58="Compliant",N58="FE with work-a-round",N58="Functionally Equivalent"),TRUE,FALSE)</f>
        <v>0</v>
      </c>
      <c r="P58" s="497"/>
      <c r="Q58" s="702" t="s">
        <v>565</v>
      </c>
      <c r="R58" s="1444" t="b">
        <f>IF(AND(R59=TRUE,R60=TRUE,R61=TRUE),TRUE,FALSE)</f>
        <v>0</v>
      </c>
      <c r="S58" s="42"/>
      <c r="T58" s="42"/>
      <c r="U58" s="128"/>
      <c r="V58" s="4414" t="s">
        <v>3</v>
      </c>
      <c r="W58" s="4500" t="b">
        <f>IF(OR(V58="Compliant",V58="FE with work-a-round",V58="Functionally Equivalent",V58="Not Required/Applicable"),TRUE,FALSE)</f>
        <v>0</v>
      </c>
      <c r="X58" s="41"/>
      <c r="Y58" s="42"/>
      <c r="Z58" s="128"/>
      <c r="AA58" s="6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27" customFormat="1" ht="29" x14ac:dyDescent="0.3">
      <c r="A59" s="98"/>
      <c r="B59" s="1490"/>
      <c r="C59" s="1812" t="s">
        <v>2150</v>
      </c>
      <c r="D59" s="319" t="s">
        <v>3</v>
      </c>
      <c r="E59" s="67" t="b">
        <f>IF(D59="Compliant",TRUE,FALSE)</f>
        <v>0</v>
      </c>
      <c r="F59" s="44"/>
      <c r="G59" s="44" t="str">
        <f>IF(I59&lt;&gt;"", "Not Blank", "")</f>
        <v/>
      </c>
      <c r="H59" s="122"/>
      <c r="I59" s="67"/>
      <c r="J59" s="44"/>
      <c r="K59" s="44"/>
      <c r="L59" s="122"/>
      <c r="M59" s="81"/>
      <c r="N59" s="4415"/>
      <c r="O59" s="4492"/>
      <c r="P59" s="716"/>
      <c r="Q59" s="980" t="s">
        <v>3</v>
      </c>
      <c r="R59" s="1631" t="b">
        <f>IF(OR(Q59="Compliant",Q59="FE with work-a-round",Q59="Functionally Equivalent"),TRUE,FALSE)</f>
        <v>0</v>
      </c>
      <c r="S59" s="261"/>
      <c r="T59" s="261"/>
      <c r="U59" s="575"/>
      <c r="V59" s="4415"/>
      <c r="W59" s="4500"/>
      <c r="X59" s="67"/>
      <c r="Y59" s="44"/>
      <c r="Z59" s="122"/>
      <c r="AA59" s="65"/>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40"/>
    </row>
    <row r="60" spans="1:84" s="27" customFormat="1" ht="43.5" x14ac:dyDescent="0.3">
      <c r="A60" s="28"/>
      <c r="B60" s="1490"/>
      <c r="C60" s="1812" t="s">
        <v>499</v>
      </c>
      <c r="D60" s="319" t="s">
        <v>3</v>
      </c>
      <c r="E60" s="67" t="b">
        <f>IF(D60="Compliant",TRUE,FALSE)</f>
        <v>0</v>
      </c>
      <c r="F60" s="44"/>
      <c r="G60" s="1748" t="str">
        <f>IF(I60&lt;&gt;"", "Not Blank", "")</f>
        <v/>
      </c>
      <c r="H60" s="1775"/>
      <c r="I60" s="67"/>
      <c r="J60" s="44"/>
      <c r="K60" s="44"/>
      <c r="L60" s="122"/>
      <c r="M60" s="319"/>
      <c r="N60" s="4415"/>
      <c r="O60" s="4492"/>
      <c r="P60" s="205"/>
      <c r="Q60" s="819" t="s">
        <v>3</v>
      </c>
      <c r="R60" s="1631" t="b">
        <f>IF(OR(Q60="Compliant",Q60="FE with work-a-round",Q60="Functionally Equivalent"),TRUE,FALSE)</f>
        <v>0</v>
      </c>
      <c r="S60" s="44"/>
      <c r="T60" s="44"/>
      <c r="U60" s="122"/>
      <c r="V60" s="4415"/>
      <c r="W60" s="4500"/>
      <c r="X60" s="67"/>
      <c r="Y60" s="44"/>
      <c r="Z60" s="122"/>
      <c r="AA60" s="65"/>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40"/>
    </row>
    <row r="61" spans="1:84" s="27" customFormat="1" ht="44" thickBot="1" x14ac:dyDescent="0.35">
      <c r="A61" s="28"/>
      <c r="B61" s="1491"/>
      <c r="C61" s="1814" t="s">
        <v>2153</v>
      </c>
      <c r="D61" s="319" t="s">
        <v>3</v>
      </c>
      <c r="E61" s="161" t="b">
        <f>IF(D61="Compliant",TRUE,FALSE)</f>
        <v>0</v>
      </c>
      <c r="F61" s="124"/>
      <c r="G61" s="124" t="str">
        <f>IF(I61&lt;&gt;"", "Not Blank", "")</f>
        <v/>
      </c>
      <c r="H61" s="125"/>
      <c r="I61" s="161"/>
      <c r="J61" s="124"/>
      <c r="K61" s="124"/>
      <c r="L61" s="125"/>
      <c r="M61" s="196"/>
      <c r="N61" s="4416"/>
      <c r="O61" s="4493"/>
      <c r="P61" s="590"/>
      <c r="Q61" s="820" t="s">
        <v>3</v>
      </c>
      <c r="R61" s="1771" t="b">
        <f>IF(OR(Q61="Compliant",Q61="FE with work-a-round",Q61="Functionally Equivalent"),TRUE,FALSE)</f>
        <v>0</v>
      </c>
      <c r="S61" s="124"/>
      <c r="T61" s="124"/>
      <c r="U61" s="125"/>
      <c r="V61" s="4416"/>
      <c r="W61" s="4501"/>
      <c r="X61" s="161"/>
      <c r="Y61" s="124"/>
      <c r="Z61" s="125"/>
      <c r="AA61" s="65"/>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40"/>
    </row>
    <row r="62" spans="1:84" s="27" customFormat="1" ht="15.5" thickTop="1" thickBot="1" x14ac:dyDescent="0.35">
      <c r="A62" s="104"/>
      <c r="B62" s="35"/>
      <c r="C62" s="35"/>
      <c r="D62" s="35"/>
      <c r="E62" s="36"/>
      <c r="F62" s="35"/>
      <c r="G62" s="35"/>
      <c r="H62" s="1778"/>
      <c r="I62" s="231"/>
      <c r="J62" s="160"/>
      <c r="K62" s="188"/>
      <c r="L62" s="35"/>
      <c r="M62" s="36"/>
      <c r="N62" s="35"/>
      <c r="O62" s="66"/>
      <c r="P62" s="66"/>
      <c r="Q62" s="36"/>
      <c r="R62" s="28"/>
      <c r="S62" s="66"/>
      <c r="T62" s="66"/>
      <c r="U62" s="66"/>
      <c r="V62" s="35"/>
      <c r="W62" s="412"/>
      <c r="X62" s="66"/>
      <c r="Y62" s="66"/>
      <c r="Z62" s="66"/>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40"/>
    </row>
    <row r="63" spans="1:84" s="27" customFormat="1" ht="76.75" customHeight="1" thickTop="1" thickBot="1" x14ac:dyDescent="0.35">
      <c r="A63" s="58">
        <v>7</v>
      </c>
      <c r="B63" s="1192" t="s">
        <v>432</v>
      </c>
      <c r="C63" s="2828" t="s">
        <v>2169</v>
      </c>
      <c r="D63" s="1499" t="s">
        <v>565</v>
      </c>
      <c r="E63" s="995" t="b">
        <f>IF(AND(E64=TRUE,E65=TRUE,E69=TRUE,E80=TRUE,E83=TRUE,E86=TRUE,E91=TRUE),TRUE,FALSE)</f>
        <v>0</v>
      </c>
      <c r="F63" s="689">
        <f>SUM(F64,F65,F69,F80,F83,F86,F73)+COUNTIF(E63,TRUE)+COUNTIF(E91,TRUE)</f>
        <v>0</v>
      </c>
      <c r="G63" s="689">
        <f>COUNTIFS(E64:E91,TRUE,G64:G91,"Not Blank")</f>
        <v>0</v>
      </c>
      <c r="H63" s="686">
        <f>COUNTIFS(E64:E91,FALSE,G64:G91,"Not Blank")</f>
        <v>0</v>
      </c>
      <c r="I63" s="2192" t="str">
        <f xml:space="preserve">
IF(F63&gt;18,"Too Many Entries - Check Red Lines",
IF(AND(E63=FALSE,G63=0,H63=0,E63=TRUE),"Nothing Required Below",
IF(G63&lt;F63,"Valid Entry required below - Check Amber Line/s",
IF(AND(E63=FALSE,G63=0,H63=0),"Nothing Entered below Yet",
IF(G63&lt;F63,"Valid Entry required below - Check Amber Line/s",
IF(AND(G63=0,H63&gt;0),"**Non-Valid Entry/ies below - Check Yellow Line/s",
IF(AND(G63&gt;0,H63&gt;0),"**Valid and Non-Valid Entries made below - Check Yellow Line/s",
IF(AND(E63=FALSE,F63&lt;18),"Not all requirements addressed below - Check Pink Line/s",
IF(AND(E63=FALSE,G63&lt;18,G63&gt;0,H63=0),"More entries to come",
IF(AND(E63,TRUE,G63=18,H63=0),"Valid Entries made below"
))))))))))</f>
        <v>Nothing Entered below Yet</v>
      </c>
      <c r="J63" s="1497">
        <f>COUNTIFS(E64:E91,TRUE,J64:J91,"Not Blank")</f>
        <v>0</v>
      </c>
      <c r="K63" s="1497">
        <f>COUNTIFS(E64:E91,FALSE,J64:J91,"Not Blank")</f>
        <v>0</v>
      </c>
      <c r="L63" s="1809" t="str">
        <f xml:space="preserve">
IF(J63&gt;18,"Too Many Entries - Check Red Lines",
IF(AND(E63=FALSE,J63=0,K63=0,E63=TRUE),"Nothing Required Below",
IF(J63&lt;F63,"Valid Entry required below - Check Amber Line/s",
IF(AND(E63=FALSE,J63=0,K63=0),"Nothing Entered below Yet",
IF(AND(J63=0,K63&gt;0),"**Non-Valid Entry/ies below - Check Yellow Line/s",
IF(AND(J63&gt;0,K63&gt;0),"**Valid and Non-Valid Entries made below - Check Yellow Line/s",
IF(AND(E63=FALSE,J63&lt;18),"Not all requirements addressed below - Check Pink Line/s",
IF(AND(E63=FALSE,J63&lt;18,J63&gt;0,K63=0),"More entries to come",
IF(AND(E63,TRUE,J63=18,K63=0),"Valid Entries made below"
)))))))))</f>
        <v>Nothing Entered below Yet</v>
      </c>
      <c r="M63" s="102"/>
      <c r="N63" s="698" t="s">
        <v>565</v>
      </c>
      <c r="O63" s="132" t="e">
        <f>IF(AND(O64=TRUE,O65=TRUE,O69=TRUE,O80=TRUE,#REF!=TRUE,O91=TRUE),TRUE,FALSE)</f>
        <v>#REF!</v>
      </c>
      <c r="P63" s="134"/>
      <c r="Q63" s="698" t="s">
        <v>565</v>
      </c>
      <c r="R63" s="816" t="e">
        <f>IF(AND(R64=TRUE,R65=TRUE,R68=TRUE,R69=TRUE,R80=TRUE,#REF!=TRUE,R91=TRUE),TRUE,FALSE)</f>
        <v>#REF!</v>
      </c>
      <c r="S63" s="133"/>
      <c r="T63" s="133"/>
      <c r="U63" s="134"/>
      <c r="V63" s="698" t="s">
        <v>565</v>
      </c>
      <c r="W63" s="395" t="e">
        <f>IF(AND(W64=TRUE,W65=TRUE,W69=TRUE,W80=TRUE,#REF!=TRUE,W91=TRUE),TRUE,FALSE)</f>
        <v>#REF!</v>
      </c>
      <c r="X63" s="133"/>
      <c r="Y63" s="133"/>
      <c r="Z63" s="134"/>
      <c r="AA63" s="65"/>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40"/>
    </row>
    <row r="64" spans="1:84" s="27" customFormat="1" ht="102.5" thickTop="1" thickBot="1" x14ac:dyDescent="0.35">
      <c r="A64" s="559" t="s">
        <v>2241</v>
      </c>
      <c r="B64" s="1490"/>
      <c r="C64" s="1925" t="s">
        <v>2240</v>
      </c>
      <c r="D64" s="319" t="s">
        <v>3</v>
      </c>
      <c r="E64" s="132" t="b">
        <f>IF(D64="Compliant",TRUE,FALSE)</f>
        <v>0</v>
      </c>
      <c r="F64" s="133"/>
      <c r="G64" s="133" t="str">
        <f>IF(I64&lt;&gt;"", "Not Blank", "")</f>
        <v/>
      </c>
      <c r="H64" s="134"/>
      <c r="I64" s="231"/>
      <c r="J64" s="133" t="str">
        <f t="shared" ref="J64" si="9">IF(L64&lt;&gt;"", "Not Blank", "")</f>
        <v/>
      </c>
      <c r="K64" s="133"/>
      <c r="L64" s="134"/>
      <c r="M64" s="120"/>
      <c r="N64" s="2819" t="s">
        <v>3</v>
      </c>
      <c r="O64" s="743" t="b">
        <f>IF(OR(N64="Compliant",N64="FE with work-a-round",N64="Functionally Equivalent"),TRUE,FALSE)</f>
        <v>0</v>
      </c>
      <c r="P64" s="120"/>
      <c r="Q64" s="702" t="s">
        <v>565</v>
      </c>
      <c r="R64" s="773" t="e">
        <f>IF(AND(#REF!=TRUE,#REF!=TRUE,#REF!=TRUE,#REF!=TRUE,#REF!=TRUE),TRUE,FALSE)</f>
        <v>#REF!</v>
      </c>
      <c r="S64" s="111"/>
      <c r="T64" s="111"/>
      <c r="U64" s="120"/>
      <c r="V64" s="924" t="s">
        <v>3</v>
      </c>
      <c r="W64" s="2820" t="b">
        <f>IF(OR(V64="Compliant",V64="FE with work-a-round",V64="Functionally Equivalent",V64="Not Required/Applicable"),TRUE,FALSE)</f>
        <v>0</v>
      </c>
      <c r="X64" s="111"/>
      <c r="Y64" s="111"/>
      <c r="Z64" s="120"/>
      <c r="AA64" s="65"/>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40"/>
    </row>
    <row r="65" spans="1:84" s="27" customFormat="1" ht="58.5" thickTop="1" x14ac:dyDescent="0.3">
      <c r="A65" s="81" t="s">
        <v>2206</v>
      </c>
      <c r="B65" s="1490" t="s">
        <v>2172</v>
      </c>
      <c r="C65" s="2829" t="s">
        <v>2205</v>
      </c>
      <c r="D65" s="1489" t="s">
        <v>565</v>
      </c>
      <c r="E65" s="978" t="b">
        <f>IF(AND(E66=TRUE,E67=TRUE,E68=TRUE),TRUE,FALSE)</f>
        <v>0</v>
      </c>
      <c r="F65" s="979">
        <f>COUNTIF(E66:E68,TRUE)</f>
        <v>0</v>
      </c>
      <c r="G65" s="663">
        <f>COUNTIFS(E66:E68,TRUE,G66:G68,"Not Blank")</f>
        <v>0</v>
      </c>
      <c r="H65" s="952">
        <f>COUNTIFS(E66:E68,FALSE,G66:G68,"Not Blank")</f>
        <v>0</v>
      </c>
      <c r="I65" s="1922" t="str">
        <f xml:space="preserve">
IF(F65&gt;3,"Too Many Entries - Check Red Lines",
IF(AND(E65=FALSE,G65=0,H65=0,E65=TRUE),"Nothing Required Below",
IF(G65&lt;F65,"Valid Entry required below - Check Amber Line/s",
IF(AND(E65=FALSE,G65=0,H65=0),"Nothing Entered below Yet",
IF(G65&lt;F65,"Valid Entry required below - Check Amber Line/s",
IF(AND(G65=0,H65&gt;0),"**Non-Valid Entry/ies below - Check Yellow Line/s",
IF(AND(G65&gt;0,H65&gt;0),"**Valid and Non-Valid Entries made below - Check Yellow Line/s",
IF(AND(E65=FALSE,F65&lt;3),"Not all requirements addressed below - Check Pink Line/s",
IF(AND(E65=FALSE,G65&lt;3,G65&gt;0,H65=0),"More entries to come",
IF(AND(E65,TRUE,G65=3,H65=0),"Valid Entries made below"
))))))))))</f>
        <v>Nothing Entered below Yet</v>
      </c>
      <c r="J65" s="1647">
        <f>COUNTIFS(E66:E68,TRUE,J66:J68,"Not Blank")</f>
        <v>0</v>
      </c>
      <c r="K65" s="1647">
        <f>COUNTIFS(E66:E68,FALSE,J66:J68,"Not Blank")</f>
        <v>0</v>
      </c>
      <c r="L65" s="1806" t="str">
        <f xml:space="preserve">
IF(J65&gt;3,"Too Many Entries - Check Red Lines",
IF(AND(E65=FALSE,J65=0,K65=0,E65=TRUE),"Nothing Required Below",
IF(J65&lt;F65,"Valid Entry required below - Check Amber Line/s",
IF(AND(E65=FALSE,J65=0,K65=0),"Nothing Entered below Yet",
IF(AND(J65=0,K65&gt;0),"**Non-Valid Entry/ies below - Check Yellow Line/s",
IF(AND(J65&gt;0,K65&gt;0),"**Valid and Non-Valid Entries made below - Check Yellow Line/s",
IF(AND(E65=FALSE,J65&lt;3),"Not all requirements addressed below - Check Pink Line/s",
IF(AND(E65=FALSE,J65&lt;3,J65&gt;0,K65=0),"More entries to come",
IF(AND(E65,TRUE,J65=3,K65=0),"Valid Entries made below"
)))))))))</f>
        <v>Nothing Entered below Yet</v>
      </c>
      <c r="M65" s="229"/>
      <c r="N65" s="4414" t="s">
        <v>3</v>
      </c>
      <c r="O65" s="4440" t="b">
        <f>IF(OR(N65="Compliant",N65="FE with work-a-round",N65="Functionally Equivalent"),TRUE,FALSE)</f>
        <v>0</v>
      </c>
      <c r="P65" s="120"/>
      <c r="Q65" s="702" t="s">
        <v>565</v>
      </c>
      <c r="R65" s="773" t="b">
        <f>IF(AND(R66=TRUE,R67=TRUE,R68=TRUE),TRUE,FALSE)</f>
        <v>0</v>
      </c>
      <c r="S65" s="111"/>
      <c r="T65" s="111"/>
      <c r="U65" s="120"/>
      <c r="V65" s="4414" t="s">
        <v>3</v>
      </c>
      <c r="W65" s="4495" t="b">
        <f>IF(OR(V65="Compliant",V65="FE with work-a-round",V65="Functionally Equivalent",V65="Not Required/Applicable"),TRUE,FALSE)</f>
        <v>0</v>
      </c>
      <c r="X65" s="111"/>
      <c r="Y65" s="111"/>
      <c r="Z65" s="120"/>
      <c r="AA65" s="65"/>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40"/>
    </row>
    <row r="66" spans="1:84" s="27" customFormat="1" ht="43.5" x14ac:dyDescent="0.3">
      <c r="A66" s="81"/>
      <c r="B66" s="1490"/>
      <c r="C66" s="1812" t="s">
        <v>2173</v>
      </c>
      <c r="D66" s="319" t="s">
        <v>3</v>
      </c>
      <c r="E66" s="67" t="b">
        <f>IF(D66="Compliant",TRUE,FALSE)</f>
        <v>0</v>
      </c>
      <c r="F66" s="44"/>
      <c r="G66" s="44" t="str">
        <f>IF(I66&lt;&gt;"", "Not Blank", "")</f>
        <v/>
      </c>
      <c r="H66" s="122"/>
      <c r="I66" s="67"/>
      <c r="J66" s="44" t="str">
        <f t="shared" ref="J66:J68" si="10">IF(L66&lt;&gt;"", "Not Blank", "")</f>
        <v/>
      </c>
      <c r="K66" s="44"/>
      <c r="L66" s="122"/>
      <c r="M66" s="122"/>
      <c r="N66" s="4415"/>
      <c r="O66" s="4441"/>
      <c r="P66" s="122"/>
      <c r="Q66" s="847" t="s">
        <v>3</v>
      </c>
      <c r="R66" s="574" t="b">
        <f>IF(OR(Q66="Compliant",Q66="FE with work-a-round",Q66="Functionally Equivalent"),TRUE,FALSE)</f>
        <v>0</v>
      </c>
      <c r="S66" s="44"/>
      <c r="T66" s="44"/>
      <c r="U66" s="122"/>
      <c r="V66" s="4415"/>
      <c r="W66" s="4496"/>
      <c r="X66" s="44"/>
      <c r="Y66" s="44"/>
      <c r="Z66" s="122"/>
      <c r="AA66" s="65"/>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40"/>
    </row>
    <row r="67" spans="1:84" s="27" customFormat="1" ht="145" x14ac:dyDescent="0.3">
      <c r="A67" s="81"/>
      <c r="B67" s="1490"/>
      <c r="C67" s="1812" t="s">
        <v>2204</v>
      </c>
      <c r="D67" s="319" t="s">
        <v>3</v>
      </c>
      <c r="E67" s="67" t="b">
        <f>IF(D67="Compliant",TRUE,FALSE)</f>
        <v>0</v>
      </c>
      <c r="F67" s="44"/>
      <c r="G67" s="44" t="str">
        <f>IF(I67&lt;&gt;"", "Not Blank", "")</f>
        <v/>
      </c>
      <c r="H67" s="122"/>
      <c r="I67" s="67"/>
      <c r="J67" s="44" t="str">
        <f t="shared" si="10"/>
        <v/>
      </c>
      <c r="K67" s="44"/>
      <c r="L67" s="122"/>
      <c r="M67" s="122"/>
      <c r="N67" s="4415"/>
      <c r="O67" s="4441"/>
      <c r="P67" s="122"/>
      <c r="Q67" s="847" t="s">
        <v>3</v>
      </c>
      <c r="R67" s="574" t="b">
        <f>IF(OR(Q67="Compliant",Q67="FE with work-a-round",Q67="Functionally Equivalent"),TRUE,FALSE)</f>
        <v>0</v>
      </c>
      <c r="S67" s="44"/>
      <c r="T67" s="44"/>
      <c r="U67" s="122"/>
      <c r="V67" s="4415"/>
      <c r="W67" s="4496"/>
      <c r="X67" s="44"/>
      <c r="Y67" s="44"/>
      <c r="Z67" s="122"/>
      <c r="AA67" s="65"/>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40"/>
    </row>
    <row r="68" spans="1:84" s="27" customFormat="1" ht="44" thickBot="1" x14ac:dyDescent="0.35">
      <c r="A68" s="81"/>
      <c r="B68" s="1490"/>
      <c r="C68" s="1812" t="s">
        <v>2174</v>
      </c>
      <c r="D68" s="319" t="s">
        <v>3</v>
      </c>
      <c r="E68" s="161" t="b">
        <f>IF(D68="Compliant",TRUE,FALSE)</f>
        <v>0</v>
      </c>
      <c r="F68" s="124"/>
      <c r="G68" s="124" t="str">
        <f>IF(I68&lt;&gt;"", "Not Blank", "")</f>
        <v/>
      </c>
      <c r="H68" s="125"/>
      <c r="I68" s="161"/>
      <c r="J68" s="124" t="str">
        <f t="shared" si="10"/>
        <v/>
      </c>
      <c r="K68" s="124"/>
      <c r="L68" s="125"/>
      <c r="M68" s="125"/>
      <c r="N68" s="4416"/>
      <c r="O68" s="4442"/>
      <c r="P68" s="125"/>
      <c r="Q68" s="848" t="s">
        <v>3</v>
      </c>
      <c r="R68" s="922" t="b">
        <f>IF(OR(Q68="Compliant",Q68="FE with work-a-round",Q68="Functionally Equivalent"),TRUE,FALSE)</f>
        <v>0</v>
      </c>
      <c r="S68" s="124"/>
      <c r="T68" s="124"/>
      <c r="U68" s="125"/>
      <c r="V68" s="4416"/>
      <c r="W68" s="4497"/>
      <c r="X68" s="124"/>
      <c r="Y68" s="124"/>
      <c r="Z68" s="125"/>
      <c r="AA68" s="65"/>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84" s="27" customFormat="1" ht="29.5" thickTop="1" x14ac:dyDescent="0.3">
      <c r="A69" s="81" t="s">
        <v>2223</v>
      </c>
      <c r="B69" s="1192" t="s">
        <v>2170</v>
      </c>
      <c r="C69" s="1819" t="s">
        <v>2171</v>
      </c>
      <c r="D69" s="1489" t="s">
        <v>565</v>
      </c>
      <c r="E69" s="978" t="b">
        <f>IF(AND(E70=TRUE,E71=TRUE,E72=TRUE),TRUE,FALSE)</f>
        <v>0</v>
      </c>
      <c r="F69" s="979">
        <f>COUNTIF(E70:E72,TRUE)</f>
        <v>0</v>
      </c>
      <c r="G69" s="663">
        <f>COUNTIFS(E70:E72,TRUE,G70:G72,"Not Blank")</f>
        <v>0</v>
      </c>
      <c r="H69" s="952">
        <f>COUNTIFS(E70:E72,FALSE,G70:G72,"Not Blank")</f>
        <v>0</v>
      </c>
      <c r="I69" s="1922" t="str">
        <f xml:space="preserve">
IF(F69&gt;3,"Too Many Entries - Check Red Lines",
IF(AND(E69=FALSE,G69=0,H69=0,E69=TRUE),"Nothing Required Below",
IF(G69&lt;F69,"Valid Entry required below - Check Amber Line/s",
IF(AND(E69=FALSE,G69=0,H69=0),"Nothing Entered below Yet",
IF(G69&lt;F69,"Valid Entry required below - Check Amber Line/s",
IF(AND(G69=0,H69&gt;0),"**Non-Valid Entry/ies below - Check Yellow Line/s",
IF(AND(G69&gt;0,H69&gt;0),"**Valid and Non-Valid Entries made below - Check Yellow Line/s",
IF(AND(E69=FALSE,F69&lt;3),"Not all requirements addressed below - Check Pink Line/s",
IF(AND(E69=FALSE,G69&lt;3,G69&gt;0,H69=0),"More entries to come",
IF(AND(E69,TRUE,G69=3,H69=0),"Valid Entries made below"
))))))))))</f>
        <v>Nothing Entered below Yet</v>
      </c>
      <c r="J69" s="1647">
        <f>COUNTIFS(E70:E72,TRUE,J70:J72,"Not Blank")</f>
        <v>0</v>
      </c>
      <c r="K69" s="1647">
        <f>COUNTIFS(E70:E72,FALSE,J70:J72,"Not Blank")</f>
        <v>0</v>
      </c>
      <c r="L69" s="1685" t="str">
        <f xml:space="preserve">
IF(J69&gt;3,"Too Many Entries - Check Red Lines",
IF(AND(E69=FALSE,J69=0,K69=0,E69=TRUE),"Nothing Required Below",
IF(J69&lt;F69,"Valid Entry required below - Check Amber Line/s",
IF(AND(E69=FALSE,J69=0,K69=0),"Nothing Entered below Yet",
IF(AND(J69=0,K69&gt;0),"**Non-Valid Entry/ies below - Check Yellow Line/s",
IF(AND(J69&gt;0,K69&gt;0),"**Valid and Non-Valid Entries made below - Check Yellow Line/s",
IF(AND(E69=FALSE,J69&lt;3),"Not all requirements addressed below - Check Pink Line/s",
IF(AND(E69=FALSE,J69&lt;3,J69&gt;0,K69=0),"More entries to come",
IF(AND(E69,TRUE,J69=3,K69=0),"Valid Entries made below"
)))))))))</f>
        <v>Nothing Entered below Yet</v>
      </c>
      <c r="M69" s="139"/>
      <c r="N69" s="4414" t="s">
        <v>3</v>
      </c>
      <c r="O69" s="4440" t="b">
        <f>IF(OR(N69="Compliant",N69="FE with work-a-round",N69="Functionally Equivalent"),TRUE,FALSE)</f>
        <v>0</v>
      </c>
      <c r="P69" s="120"/>
      <c r="Q69" s="702" t="s">
        <v>565</v>
      </c>
      <c r="R69" s="773" t="b">
        <f>IF(AND(R78=TRUE,R79=TRUE),TRUE,FALSE)</f>
        <v>0</v>
      </c>
      <c r="S69" s="111"/>
      <c r="T69" s="111"/>
      <c r="U69" s="120"/>
      <c r="V69" s="4414" t="s">
        <v>3</v>
      </c>
      <c r="W69" s="4495" t="b">
        <f>IF(OR(V69="Compliant",V69="FE with work-a-round",V69="Functionally Equivalent",V69="Not Required/Applicable"),TRUE,FALSE)</f>
        <v>0</v>
      </c>
      <c r="X69" s="111"/>
      <c r="Y69" s="111"/>
      <c r="Z69" s="120"/>
      <c r="AA69" s="65"/>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84" s="27" customFormat="1" ht="308.39999999999998" customHeight="1" x14ac:dyDescent="0.3">
      <c r="A70" s="81" t="s">
        <v>2224</v>
      </c>
      <c r="B70" s="2827" t="s">
        <v>1531</v>
      </c>
      <c r="C70" s="2822" t="s">
        <v>2255</v>
      </c>
      <c r="D70" s="319" t="s">
        <v>3</v>
      </c>
      <c r="E70" s="978" t="b">
        <f t="shared" ref="E70:E79" si="11">IF(D70="Compliant",TRUE,FALSE)</f>
        <v>0</v>
      </c>
      <c r="F70" s="979"/>
      <c r="G70" s="663" t="str">
        <f t="shared" ref="G70:G79" si="12">IF(I70&lt;&gt;"", "Not Blank", "")</f>
        <v/>
      </c>
      <c r="H70" s="952"/>
      <c r="I70" s="41"/>
      <c r="J70" s="979" t="str">
        <f t="shared" ref="J70:J82" si="13">IF(L70&lt;&gt;"", "Not Blank", "")</f>
        <v/>
      </c>
      <c r="K70" s="979"/>
      <c r="L70" s="128"/>
      <c r="M70" s="140"/>
      <c r="N70" s="4415"/>
      <c r="O70" s="4535"/>
      <c r="P70" s="128"/>
      <c r="Q70" s="1690"/>
      <c r="R70" s="1244"/>
      <c r="S70" s="42"/>
      <c r="T70" s="42"/>
      <c r="U70" s="128"/>
      <c r="V70" s="4415"/>
      <c r="W70" s="4536"/>
      <c r="X70" s="42"/>
      <c r="Y70" s="42"/>
      <c r="Z70" s="128"/>
      <c r="AA70" s="65"/>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40"/>
    </row>
    <row r="71" spans="1:84" s="27" customFormat="1" ht="67.25" customHeight="1" thickBot="1" x14ac:dyDescent="0.35">
      <c r="A71" s="81" t="s">
        <v>2260</v>
      </c>
      <c r="B71" s="2827" t="s">
        <v>2261</v>
      </c>
      <c r="C71" s="2826" t="s">
        <v>2262</v>
      </c>
      <c r="D71" s="230" t="s">
        <v>3</v>
      </c>
      <c r="E71" s="978" t="b">
        <f t="shared" si="11"/>
        <v>0</v>
      </c>
      <c r="F71" s="979"/>
      <c r="G71" s="663" t="str">
        <f t="shared" ref="G71" si="14">IF(I71&lt;&gt;"", "Not Blank", "")</f>
        <v/>
      </c>
      <c r="H71" s="325"/>
      <c r="I71" s="41"/>
      <c r="J71" s="979" t="str">
        <f t="shared" ref="J71" si="15">IF(L71&lt;&gt;"", "Not Blank", "")</f>
        <v/>
      </c>
      <c r="K71" s="979"/>
      <c r="L71" s="128"/>
      <c r="M71" s="81"/>
      <c r="N71" s="4415"/>
      <c r="O71" s="4535"/>
      <c r="P71" s="128"/>
      <c r="Q71" s="1690"/>
      <c r="R71" s="1244"/>
      <c r="S71" s="42"/>
      <c r="T71" s="42"/>
      <c r="U71" s="128"/>
      <c r="V71" s="4415"/>
      <c r="W71" s="4536"/>
      <c r="X71" s="42"/>
      <c r="Y71" s="42"/>
      <c r="Z71" s="128"/>
      <c r="AA71" s="65"/>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40"/>
    </row>
    <row r="72" spans="1:84" s="27" customFormat="1" ht="102.5" thickTop="1" thickBot="1" x14ac:dyDescent="0.35">
      <c r="A72" s="81" t="s">
        <v>2225</v>
      </c>
      <c r="B72" s="1491" t="s">
        <v>2264</v>
      </c>
      <c r="C72" s="2826" t="s">
        <v>2226</v>
      </c>
      <c r="D72" s="230" t="s">
        <v>3</v>
      </c>
      <c r="E72" s="935" t="b">
        <f t="shared" si="11"/>
        <v>0</v>
      </c>
      <c r="F72" s="558"/>
      <c r="G72" s="326" t="str">
        <f t="shared" si="12"/>
        <v/>
      </c>
      <c r="H72" s="327"/>
      <c r="I72" s="161"/>
      <c r="J72" s="558" t="str">
        <f t="shared" si="13"/>
        <v/>
      </c>
      <c r="K72" s="558"/>
      <c r="L72" s="246"/>
      <c r="M72" s="894"/>
      <c r="N72" s="4415"/>
      <c r="O72" s="4535"/>
      <c r="P72" s="128"/>
      <c r="Q72" s="1690"/>
      <c r="R72" s="1244"/>
      <c r="S72" s="42"/>
      <c r="T72" s="42"/>
      <c r="U72" s="128"/>
      <c r="V72" s="4415"/>
      <c r="W72" s="4536"/>
      <c r="X72" s="42"/>
      <c r="Y72" s="42"/>
      <c r="Z72" s="128"/>
      <c r="AA72" s="65"/>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40"/>
    </row>
    <row r="73" spans="1:84" s="27" customFormat="1" ht="29.5" thickTop="1" x14ac:dyDescent="0.3">
      <c r="A73" s="81" t="s">
        <v>2229</v>
      </c>
      <c r="B73" s="1192" t="s">
        <v>2228</v>
      </c>
      <c r="C73" s="1841" t="s">
        <v>2230</v>
      </c>
      <c r="D73" s="1489" t="s">
        <v>565</v>
      </c>
      <c r="E73" s="978" t="b">
        <f>IF(AND(E74=TRUE,E75=TRUE,E76=TRUE,E77=TRUE,E78=TRUE,E79=TRUE),TRUE,FALSE)</f>
        <v>0</v>
      </c>
      <c r="F73" s="979">
        <f>COUNTIF(E74:E79,TRUE)</f>
        <v>0</v>
      </c>
      <c r="G73" s="663">
        <f>COUNTIFS(E74:E79,TRUE,G74:G79,"Not Blank")</f>
        <v>0</v>
      </c>
      <c r="H73" s="952">
        <f>COUNTIFS(E74:E79,FALSE,G74:G79,"Not Blank")</f>
        <v>0</v>
      </c>
      <c r="I73" s="1922" t="str">
        <f xml:space="preserve">
IF(F73&gt;6,"Too Many Entries - Check Red Lines",
IF(AND(E73=FALSE,G73=0,H73=0,E73=TRUE),"Nothing Required Below",
IF(G73&lt;F73,"Valid Entry required below - Check Amber Line/s",
IF(AND(E73=FALSE,G73=0,H73=0),"Nothing Entered below Yet",
IF(G73&lt;F73,"Valid Entry required below - Check Amber Line/s",
IF(AND(G73=0,H73&gt;0),"**Non-Valid Entry/ies below - Check Yellow Line/s",
IF(AND(G73&gt;0,H73&gt;0),"**Valid and Non-Valid Entries made below - Check Yellow Line/s",
IF(AND(E73=FALSE,F73&lt;6),"Not all requirements addressed below - Check Pink Line/s",
IF(AND(E73=FALSE,G73&lt;6,G73&gt;0,H73=0),"More entries to come",
IF(AND(E73,TRUE,G73=6,H73=0),"Valid Entries made below"
))))))))))</f>
        <v>Nothing Entered below Yet</v>
      </c>
      <c r="J73" s="1647">
        <f>COUNTIFS(E74:E79,TRUE,J74:J79,"Not Blank")</f>
        <v>0</v>
      </c>
      <c r="K73" s="1647">
        <f>COUNTIFS(E74:E79,FALSE,J74:J79,"Not Blank")</f>
        <v>0</v>
      </c>
      <c r="L73" s="1685" t="str">
        <f xml:space="preserve">
IF(J73&gt;6,"Too Many Entries - Check Red Lines",
IF(AND(E73=FALSE,J73=0,K73=0,E73=TRUE),"Nothing Required Below",
IF(J73&lt;F73,"Valid Entry required below - Check Amber Line/s",
IF(AND(E73=FALSE,J73=0,K73=0),"Nothing Entered below Yet",
IF(AND(J73=0,K73&gt;0),"**Non-Valid Entry/ies below - Check Yellow Line/s",
IF(AND(J73&gt;0,K73&gt;0),"**Valid and Non-Valid Entries made below - Check Yellow Line/s",
IF(AND(E73=FALSE,J73&lt;6),"Not all requirements addressed below - Check Pink Line/s",
IF(AND(E73=FALSE,J73&lt;6,J73&gt;0,K73=0),"More entries to come",
IF(AND(E73,TRUE,J73=6,K73=0),"Valid Entries made below"
)))))))))</f>
        <v>Nothing Entered below Yet</v>
      </c>
      <c r="M73" s="120"/>
      <c r="N73" s="4415"/>
      <c r="O73" s="4535"/>
      <c r="P73" s="128"/>
      <c r="Q73" s="1690"/>
      <c r="R73" s="1244"/>
      <c r="S73" s="42"/>
      <c r="T73" s="42"/>
      <c r="U73" s="128"/>
      <c r="V73" s="4415"/>
      <c r="W73" s="4536"/>
      <c r="X73" s="42"/>
      <c r="Y73" s="42"/>
      <c r="Z73" s="128"/>
      <c r="AA73" s="65"/>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159.5" x14ac:dyDescent="0.3">
      <c r="A74" s="81" t="s">
        <v>2232</v>
      </c>
      <c r="B74" s="2827" t="s">
        <v>2257</v>
      </c>
      <c r="C74" s="2822" t="s">
        <v>2231</v>
      </c>
      <c r="D74" s="319" t="s">
        <v>3</v>
      </c>
      <c r="E74" s="978" t="b">
        <f t="shared" si="11"/>
        <v>0</v>
      </c>
      <c r="F74" s="979"/>
      <c r="G74" s="663" t="str">
        <f t="shared" si="12"/>
        <v/>
      </c>
      <c r="H74" s="952"/>
      <c r="I74" s="41"/>
      <c r="J74" s="979" t="str">
        <f t="shared" si="13"/>
        <v/>
      </c>
      <c r="K74" s="979"/>
      <c r="L74" s="122"/>
      <c r="M74" s="140"/>
      <c r="N74" s="4415"/>
      <c r="O74" s="4535"/>
      <c r="P74" s="128"/>
      <c r="Q74" s="1690"/>
      <c r="R74" s="1244"/>
      <c r="S74" s="42"/>
      <c r="T74" s="42"/>
      <c r="U74" s="128"/>
      <c r="V74" s="4415"/>
      <c r="W74" s="4536"/>
      <c r="X74" s="42"/>
      <c r="Y74" s="42"/>
      <c r="Z74" s="128"/>
      <c r="AA74" s="65"/>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27" customFormat="1" ht="72.5" x14ac:dyDescent="0.3">
      <c r="A75" s="81" t="s">
        <v>2234</v>
      </c>
      <c r="B75" s="2827" t="s">
        <v>2256</v>
      </c>
      <c r="C75" s="2822" t="s">
        <v>2233</v>
      </c>
      <c r="D75" s="319" t="s">
        <v>3</v>
      </c>
      <c r="E75" s="978" t="b">
        <f t="shared" si="11"/>
        <v>0</v>
      </c>
      <c r="F75" s="979"/>
      <c r="G75" s="663" t="str">
        <f t="shared" si="12"/>
        <v/>
      </c>
      <c r="H75" s="952"/>
      <c r="I75" s="41"/>
      <c r="J75" s="979" t="str">
        <f t="shared" si="13"/>
        <v/>
      </c>
      <c r="K75" s="979"/>
      <c r="L75" s="128"/>
      <c r="M75" s="140"/>
      <c r="N75" s="4415"/>
      <c r="O75" s="4535"/>
      <c r="P75" s="128"/>
      <c r="Q75" s="1690"/>
      <c r="R75" s="1244"/>
      <c r="S75" s="42"/>
      <c r="T75" s="42"/>
      <c r="U75" s="128"/>
      <c r="V75" s="4415"/>
      <c r="W75" s="4536"/>
      <c r="X75" s="42"/>
      <c r="Y75" s="42"/>
      <c r="Z75" s="128"/>
      <c r="AA75" s="65"/>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27" customFormat="1" ht="87" x14ac:dyDescent="0.3">
      <c r="A76" s="81" t="s">
        <v>2258</v>
      </c>
      <c r="B76" s="2827" t="s">
        <v>2154</v>
      </c>
      <c r="C76" s="2822" t="s">
        <v>2235</v>
      </c>
      <c r="D76" s="319" t="s">
        <v>3</v>
      </c>
      <c r="E76" s="978" t="b">
        <f t="shared" si="11"/>
        <v>0</v>
      </c>
      <c r="F76" s="979"/>
      <c r="G76" s="663" t="str">
        <f t="shared" si="12"/>
        <v/>
      </c>
      <c r="H76" s="952"/>
      <c r="I76" s="41"/>
      <c r="J76" s="979" t="str">
        <f t="shared" si="13"/>
        <v/>
      </c>
      <c r="K76" s="979"/>
      <c r="L76" s="128"/>
      <c r="M76" s="140"/>
      <c r="N76" s="4415"/>
      <c r="O76" s="4535"/>
      <c r="P76" s="128"/>
      <c r="Q76" s="1690"/>
      <c r="R76" s="1244"/>
      <c r="S76" s="42"/>
      <c r="T76" s="42"/>
      <c r="U76" s="128"/>
      <c r="V76" s="4415"/>
      <c r="W76" s="4536"/>
      <c r="X76" s="42"/>
      <c r="Y76" s="42"/>
      <c r="Z76" s="128"/>
      <c r="AA76" s="65"/>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40"/>
    </row>
    <row r="77" spans="1:84" s="27" customFormat="1" ht="188.5" x14ac:dyDescent="0.3">
      <c r="A77" s="81" t="s">
        <v>2259</v>
      </c>
      <c r="B77" s="2827" t="s">
        <v>2236</v>
      </c>
      <c r="C77" s="2822" t="s">
        <v>2237</v>
      </c>
      <c r="D77" s="319" t="s">
        <v>3</v>
      </c>
      <c r="E77" s="978" t="b">
        <f t="shared" si="11"/>
        <v>0</v>
      </c>
      <c r="F77" s="979"/>
      <c r="G77" s="663" t="str">
        <f t="shared" si="12"/>
        <v/>
      </c>
      <c r="H77" s="952"/>
      <c r="I77" s="41"/>
      <c r="J77" s="979" t="str">
        <f t="shared" si="13"/>
        <v/>
      </c>
      <c r="K77" s="979"/>
      <c r="L77" s="144"/>
      <c r="M77" s="319"/>
      <c r="N77" s="4415"/>
      <c r="O77" s="4535"/>
      <c r="P77" s="128"/>
      <c r="Q77" s="1690"/>
      <c r="R77" s="1244"/>
      <c r="S77" s="42"/>
      <c r="T77" s="42"/>
      <c r="U77" s="128"/>
      <c r="V77" s="4415"/>
      <c r="W77" s="4536"/>
      <c r="X77" s="42"/>
      <c r="Y77" s="42"/>
      <c r="Z77" s="128"/>
      <c r="AA77" s="65"/>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40"/>
    </row>
    <row r="78" spans="1:84" s="27" customFormat="1" ht="409.5" x14ac:dyDescent="0.3">
      <c r="A78" s="81" t="s">
        <v>2227</v>
      </c>
      <c r="B78" s="2827" t="s">
        <v>2239</v>
      </c>
      <c r="C78" s="1816" t="s">
        <v>2238</v>
      </c>
      <c r="D78" s="319" t="s">
        <v>3</v>
      </c>
      <c r="E78" s="67" t="b">
        <f t="shared" si="11"/>
        <v>0</v>
      </c>
      <c r="F78" s="44"/>
      <c r="G78" s="44" t="str">
        <f t="shared" si="12"/>
        <v/>
      </c>
      <c r="H78" s="122"/>
      <c r="I78" s="67"/>
      <c r="J78" s="44" t="str">
        <f t="shared" si="13"/>
        <v/>
      </c>
      <c r="K78" s="44"/>
      <c r="L78" s="122"/>
      <c r="M78" s="122"/>
      <c r="N78" s="4415"/>
      <c r="O78" s="4441"/>
      <c r="P78" s="122"/>
      <c r="Q78" s="847" t="s">
        <v>3</v>
      </c>
      <c r="R78" s="574" t="b">
        <f>IF(OR(Q78="Compliant",Q78="FE with work-a-round",Q78="Functionally Equivalent"),TRUE,FALSE)</f>
        <v>0</v>
      </c>
      <c r="S78" s="44"/>
      <c r="T78" s="44"/>
      <c r="U78" s="122"/>
      <c r="V78" s="4415"/>
      <c r="W78" s="4496"/>
      <c r="X78" s="44"/>
      <c r="Y78" s="44"/>
      <c r="Z78" s="122"/>
      <c r="AA78" s="65"/>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40"/>
    </row>
    <row r="79" spans="1:84" s="27" customFormat="1" ht="160" thickBot="1" x14ac:dyDescent="0.35">
      <c r="A79" s="81"/>
      <c r="B79" s="2827" t="s">
        <v>2167</v>
      </c>
      <c r="C79" s="1818" t="s">
        <v>2168</v>
      </c>
      <c r="D79" s="319" t="s">
        <v>3</v>
      </c>
      <c r="E79" s="161" t="b">
        <f t="shared" si="11"/>
        <v>0</v>
      </c>
      <c r="F79" s="124"/>
      <c r="G79" s="124" t="str">
        <f t="shared" si="12"/>
        <v/>
      </c>
      <c r="H79" s="125"/>
      <c r="I79" s="161"/>
      <c r="J79" s="124" t="str">
        <f t="shared" si="13"/>
        <v/>
      </c>
      <c r="K79" s="124"/>
      <c r="L79" s="125"/>
      <c r="M79" s="125"/>
      <c r="N79" s="4416"/>
      <c r="O79" s="4442"/>
      <c r="P79" s="125"/>
      <c r="Q79" s="848" t="s">
        <v>3</v>
      </c>
      <c r="R79" s="922" t="b">
        <f>IF(OR(Q79="Compliant",Q79="FE with work-a-round",Q79="Functionally Equivalent"),TRUE,FALSE)</f>
        <v>0</v>
      </c>
      <c r="S79" s="124"/>
      <c r="T79" s="124"/>
      <c r="U79" s="125"/>
      <c r="V79" s="4416"/>
      <c r="W79" s="4497"/>
      <c r="X79" s="124"/>
      <c r="Y79" s="124"/>
      <c r="Z79" s="125"/>
      <c r="AA79" s="65"/>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40"/>
    </row>
    <row r="80" spans="1:84" s="27" customFormat="1" ht="29.5" thickTop="1" x14ac:dyDescent="0.3">
      <c r="A80" s="81">
        <v>7.6</v>
      </c>
      <c r="B80" s="1192" t="s">
        <v>2163</v>
      </c>
      <c r="C80" s="1819" t="s">
        <v>2164</v>
      </c>
      <c r="D80" s="1489" t="s">
        <v>565</v>
      </c>
      <c r="E80" s="978" t="b">
        <f>IF(AND(E81=TRUE,E82=TRUE),TRUE,FALSE)</f>
        <v>0</v>
      </c>
      <c r="F80" s="979">
        <f>COUNTIF(E81:E82,TRUE)</f>
        <v>0</v>
      </c>
      <c r="G80" s="663">
        <f>COUNTIFS(E81:E82,TRUE,G81:G82,"Not Blank")</f>
        <v>0</v>
      </c>
      <c r="H80" s="952">
        <f>COUNTIFS(E81:E82,FALSE,G81:G82,"Not Blank")</f>
        <v>0</v>
      </c>
      <c r="I80" s="1922" t="str">
        <f xml:space="preserve">
IF(F80&gt;2,"Too Many Entries - Check Red Lines",
IF(AND(E80=FALSE,G80=0,H80=0,E80=TRUE),"Nothing Required Below",
IF(G80&lt;F80,"Valid Entry required below - Check Amber Line/s",
IF(AND(E80=FALSE,G80=0,H80=0),"Nothing Entered below Yet",
IF(G80&lt;F80,"Valid Entry required below - Check Amber Line/s",
IF(AND(G80=0,H80&gt;0),"**Non-Valid Entry/ies below - Check Yellow Line/s",
IF(AND(G80&gt;0,H80&gt;0),"**Valid and Non-Valid Entries made below - Check Yellow Line/s",
IF(AND(E80=FALSE,F80&lt;2),"Not all requirements addressed below - Check Pink Line/s",
IF(AND(E80=FALSE,G80&lt;2,G80&gt;0,H80=0),"More entries to come",
IF(AND(E80,TRUE,G80=2,H80=0),"Valid Entries made below"
))))))))))</f>
        <v>Nothing Entered below Yet</v>
      </c>
      <c r="J80" s="1647">
        <f>COUNTIFS(E81:E82,TRUE,J81:J82,"Not Blank")</f>
        <v>0</v>
      </c>
      <c r="K80" s="1647">
        <f>COUNTIFS(E81:E82,FALSE,J81:J82,"Not Blank")</f>
        <v>0</v>
      </c>
      <c r="L80" s="1806" t="str">
        <f xml:space="preserve">
IF(J80&gt;2,"Too Many Entries - Check Red Lines",
IF(AND(E80=FALSE,J80=0,K80=0,E80=TRUE),"Nothing Required Below",
IF(J80&lt;F80,"Valid Entry required below - Check Amber Line/s",
IF(AND(E80=FALSE,J80=0,K80=0),"Nothing Entered below Yet",
IF(AND(J80=0,K80&gt;0),"**Non-Valid Entry/ies below - Check Yellow Line/s",
IF(AND(J80&gt;0,K80&gt;0),"**Valid and Non-Valid Entries made below - Check Yellow Line/s",
IF(AND(E80=FALSE,J80&lt;2),"Not all requirements addressed below - Check Pink Line/s",
IF(AND(E80=FALSE,J80&lt;2,J80&gt;0,K80=0),"More entries to come",
IF(AND(E80,TRUE,J80=2,K80=0),"Valid Entries made below"
)))))))))</f>
        <v>Nothing Entered below Yet</v>
      </c>
      <c r="M80" s="229"/>
      <c r="N80" s="4414" t="s">
        <v>3</v>
      </c>
      <c r="O80" s="4440" t="b">
        <f>IF(OR(N80="Compliant",N80="FE with work-a-round",N80="Functionally Equivalent"),TRUE,FALSE)</f>
        <v>0</v>
      </c>
      <c r="P80" s="120"/>
      <c r="Q80" s="702" t="s">
        <v>565</v>
      </c>
      <c r="R80" s="119" t="e">
        <f>IF(AND(R81=TRUE,R82=TRUE,#REF!=TRUE,#REF!=TRUE,#REF!=TRUE,#REF!=TRUE),TRUE,FALSE)</f>
        <v>#REF!</v>
      </c>
      <c r="S80" s="111"/>
      <c r="T80" s="111"/>
      <c r="U80" s="120"/>
      <c r="V80" s="4414" t="s">
        <v>3</v>
      </c>
      <c r="W80" s="4495" t="b">
        <f>IF(OR(V80="Compliant",V80="FE with work-a-round",V80="Functionally Equivalent",V80="Not Required/Applicable"),TRUE,FALSE)</f>
        <v>0</v>
      </c>
      <c r="X80" s="111"/>
      <c r="Y80" s="111"/>
      <c r="Z80" s="120"/>
      <c r="AA80" s="65"/>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40"/>
    </row>
    <row r="81" spans="1:84" s="27" customFormat="1" ht="43.5" x14ac:dyDescent="0.3">
      <c r="A81" s="81"/>
      <c r="B81" s="1490"/>
      <c r="C81" s="1816" t="s">
        <v>2165</v>
      </c>
      <c r="D81" s="319" t="s">
        <v>3</v>
      </c>
      <c r="E81" s="67" t="b">
        <f t="shared" ref="E81" si="16">IF(D81="Compliant",TRUE,FALSE)</f>
        <v>0</v>
      </c>
      <c r="F81" s="44"/>
      <c r="G81" s="44" t="str">
        <f t="shared" ref="G81:G82" si="17">IF(I81&lt;&gt;"", "Not Blank", "")</f>
        <v/>
      </c>
      <c r="H81" s="122"/>
      <c r="I81" s="67"/>
      <c r="J81" s="44" t="str">
        <f t="shared" si="13"/>
        <v/>
      </c>
      <c r="K81" s="44"/>
      <c r="L81" s="122"/>
      <c r="M81" s="122"/>
      <c r="N81" s="4415"/>
      <c r="O81" s="4441"/>
      <c r="P81" s="122"/>
      <c r="Q81" s="847" t="s">
        <v>3</v>
      </c>
      <c r="R81" s="574" t="b">
        <f t="shared" ref="R81:R82" si="18">IF(OR(Q81="Compliant",Q81="FE with work-a-round",Q81="Functionally Equivalent"),TRUE,FALSE)</f>
        <v>0</v>
      </c>
      <c r="S81" s="44"/>
      <c r="T81" s="44"/>
      <c r="U81" s="122"/>
      <c r="V81" s="4415"/>
      <c r="W81" s="4496"/>
      <c r="X81" s="44"/>
      <c r="Y81" s="44"/>
      <c r="Z81" s="122"/>
      <c r="AA81" s="65"/>
      <c r="AB81" s="28"/>
      <c r="AC81" s="28"/>
      <c r="AD81" s="28"/>
      <c r="AE81" s="28"/>
      <c r="AF81" s="28"/>
      <c r="AG81" s="28"/>
      <c r="AH81" s="28"/>
      <c r="AI81" s="28"/>
      <c r="AJ81" s="28"/>
      <c r="AK81" s="28"/>
      <c r="AL81" s="28"/>
      <c r="AM81" s="28"/>
      <c r="AN81" s="28"/>
      <c r="AO81" s="28"/>
      <c r="AP81" s="28"/>
      <c r="AQ81" s="28"/>
      <c r="AR81" s="28"/>
      <c r="AS81" s="41"/>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3"/>
    </row>
    <row r="82" spans="1:84" s="27" customFormat="1" ht="102" thickBot="1" x14ac:dyDescent="0.35">
      <c r="A82" s="81"/>
      <c r="B82" s="1491"/>
      <c r="C82" s="1816" t="s">
        <v>2166</v>
      </c>
      <c r="D82" s="319" t="s">
        <v>3</v>
      </c>
      <c r="E82" s="67" t="b">
        <f t="shared" ref="E82" si="19">IF(D82="Compliant",TRUE,FALSE)</f>
        <v>0</v>
      </c>
      <c r="F82" s="44"/>
      <c r="G82" s="44" t="str">
        <f t="shared" si="17"/>
        <v/>
      </c>
      <c r="H82" s="122"/>
      <c r="I82" s="67"/>
      <c r="J82" s="44" t="str">
        <f t="shared" si="13"/>
        <v/>
      </c>
      <c r="K82" s="44"/>
      <c r="L82" s="122"/>
      <c r="M82" s="319"/>
      <c r="N82" s="4444"/>
      <c r="O82" s="4534"/>
      <c r="P82" s="319"/>
      <c r="Q82" s="847" t="s">
        <v>3</v>
      </c>
      <c r="R82" s="574" t="b">
        <f t="shared" si="18"/>
        <v>0</v>
      </c>
      <c r="S82" s="44"/>
      <c r="T82" s="44"/>
      <c r="U82" s="122"/>
      <c r="V82" s="4415"/>
      <c r="W82" s="4496"/>
      <c r="X82" s="44"/>
      <c r="Y82" s="44"/>
      <c r="Z82" s="122"/>
      <c r="AA82" s="28"/>
      <c r="AB82" s="28"/>
      <c r="AC82" s="28"/>
      <c r="AD82" s="28"/>
      <c r="AE82" s="28"/>
      <c r="AF82" s="28"/>
      <c r="AG82" s="28"/>
      <c r="AH82" s="28"/>
      <c r="AI82" s="28"/>
      <c r="AJ82" s="28"/>
      <c r="AK82" s="28"/>
      <c r="AL82" s="28"/>
      <c r="AM82" s="28"/>
      <c r="AN82" s="28"/>
      <c r="AO82" s="28"/>
      <c r="AP82" s="28"/>
      <c r="AQ82" s="28"/>
      <c r="AR82" s="28"/>
      <c r="AS82" s="67"/>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5"/>
    </row>
    <row r="83" spans="1:84" s="28" customFormat="1" ht="29.5" thickTop="1" x14ac:dyDescent="0.3">
      <c r="B83" s="1192" t="s">
        <v>2156</v>
      </c>
      <c r="C83" s="2826" t="s">
        <v>2157</v>
      </c>
      <c r="D83" s="1489" t="s">
        <v>565</v>
      </c>
      <c r="E83" s="978" t="b">
        <f>IF(AND(E84=TRUE,E85=TRUE),TRUE,FALSE)</f>
        <v>0</v>
      </c>
      <c r="F83" s="979">
        <f>COUNTIF(E84:E85,TRUE)</f>
        <v>0</v>
      </c>
      <c r="G83" s="663">
        <f>COUNTIFS(E84:E85,TRUE,G84:G85,"Not Blank")</f>
        <v>0</v>
      </c>
      <c r="H83" s="952">
        <f>COUNTIFS(E84:E85,FALSE,G84:G85,"Not Blank")</f>
        <v>0</v>
      </c>
      <c r="I83" s="1922" t="str">
        <f xml:space="preserve">
IF(F83&gt;2,"Too Many Entries - Check Red Lines",
IF(AND(E83=FALSE,G83=0,H83=0,E83=TRUE),"Nothing Required Below",
IF(G83&lt;F83,"Valid Entry required below - Check Amber Line/s",
IF(AND(E83=FALSE,G83=0,H83=0),"Nothing Entered below Yet",
IF(G83&lt;F83,"Valid Entry required below - Check Amber Line/s",
IF(AND(G83=0,H83&gt;0),"**Non-Valid Entry/ies below - Check Yellow Line/s",
IF(AND(G83&gt;0,H83&gt;0),"**Valid and Non-Valid Entries made below - Check Yellow Line/s",
IF(AND(E83=FALSE,F83&lt;2),"Not all requirements addressed below - Check Pink Line/s",
IF(AND(E83=FALSE,G83&lt;2,G83&gt;0,H83=0),"More entries to come",
IF(AND(E83,TRUE,G83=2,H83=0),"Valid Entries made below"
))))))))))</f>
        <v>Nothing Entered below Yet</v>
      </c>
      <c r="J83" s="1647">
        <f>COUNTIFS(E84:E85,TRUE,J84:J85,"Not Blank")</f>
        <v>0</v>
      </c>
      <c r="K83" s="1647">
        <f>COUNTIFS(E84:E85,FALSE,J84:J85,"Not Blank")</f>
        <v>0</v>
      </c>
      <c r="L83" s="1806" t="str">
        <f xml:space="preserve">
IF(J83&gt;2,"Too Many Entries - Check Red Lines",
IF(AND(E83=FALSE,J83=0,K83=0,E83=TRUE),"Nothing Required Below",
IF(J83&lt;F83,"Valid Entry required below - Check Amber Line/s",
IF(AND(E83=FALSE,J83=0,K83=0),"Nothing Entered below Yet",
IF(AND(J83=0,K83&gt;0),"**Non-Valid Entry/ies below - Check Yellow Line/s",
IF(AND(J83&gt;0,K83&gt;0),"**Valid and Non-Valid Entries made below - Check Yellow Line/s",
IF(AND(E83=FALSE,J83&lt;2),"Not all requirements addressed below - Check Pink Line/s",
IF(AND(E83=FALSE,J83&lt;2,J83&gt;0,K83=0),"More entries to come",
IF(AND(E83,TRUE,J83=2,K83=0),"Valid Entries made below"
)))))))))</f>
        <v>Nothing Entered below Yet</v>
      </c>
      <c r="M83" s="849"/>
      <c r="P83" s="65"/>
      <c r="V83" s="204"/>
      <c r="W83" s="57"/>
      <c r="Z83" s="81"/>
    </row>
    <row r="84" spans="1:84" s="28" customFormat="1" ht="87" x14ac:dyDescent="0.3">
      <c r="B84" s="1490"/>
      <c r="C84" s="2826" t="s">
        <v>2158</v>
      </c>
      <c r="D84" s="849" t="s">
        <v>3</v>
      </c>
      <c r="E84" s="67" t="b">
        <f t="shared" ref="E84:E85" si="20">IF(D84="Compliant",TRUE,FALSE)</f>
        <v>0</v>
      </c>
      <c r="F84" s="44"/>
      <c r="G84" s="44" t="str">
        <f t="shared" ref="G84:G85" si="21">IF(I84&lt;&gt;"", "Not Blank", "")</f>
        <v/>
      </c>
      <c r="H84" s="122"/>
      <c r="I84" s="67"/>
      <c r="J84" s="44" t="str">
        <f t="shared" ref="J84:J85" si="22">IF(L84&lt;&gt;"", "Not Blank", "")</f>
        <v/>
      </c>
      <c r="K84" s="44"/>
      <c r="L84" s="122"/>
      <c r="M84" s="2135"/>
      <c r="P84" s="65"/>
      <c r="V84" s="204"/>
      <c r="W84" s="57"/>
      <c r="Z84" s="81"/>
    </row>
    <row r="85" spans="1:84" s="28" customFormat="1" ht="29.5" thickBot="1" x14ac:dyDescent="0.35">
      <c r="B85" s="1490"/>
      <c r="C85" s="2205" t="s">
        <v>2159</v>
      </c>
      <c r="D85" s="230" t="s">
        <v>3</v>
      </c>
      <c r="E85" s="67" t="b">
        <f t="shared" si="20"/>
        <v>0</v>
      </c>
      <c r="F85" s="44"/>
      <c r="G85" s="44" t="str">
        <f t="shared" si="21"/>
        <v/>
      </c>
      <c r="H85" s="122"/>
      <c r="I85" s="123"/>
      <c r="J85" s="124" t="str">
        <f t="shared" si="22"/>
        <v/>
      </c>
      <c r="K85" s="124"/>
      <c r="L85" s="125"/>
      <c r="M85" s="894"/>
      <c r="N85" s="36"/>
      <c r="O85" s="36"/>
      <c r="P85" s="2140"/>
      <c r="V85" s="204"/>
      <c r="W85" s="57"/>
      <c r="Z85" s="81"/>
    </row>
    <row r="86" spans="1:84" s="28" customFormat="1" ht="29.5" thickTop="1" x14ac:dyDescent="0.3">
      <c r="A86" s="28" t="s">
        <v>2197</v>
      </c>
      <c r="B86" s="1192" t="s">
        <v>2160</v>
      </c>
      <c r="C86" s="2826" t="s">
        <v>2196</v>
      </c>
      <c r="D86" s="1489" t="s">
        <v>565</v>
      </c>
      <c r="E86" s="978" t="b">
        <f>IF(AND(E87=TRUE,OR(E88=TRUE,E89=TRUE)),TRUE,FALSE)</f>
        <v>0</v>
      </c>
      <c r="F86" s="979">
        <f>COUNTIF(E87:E89,TRUE)</f>
        <v>0</v>
      </c>
      <c r="G86" s="663">
        <f>COUNTIFS(E87:E89,TRUE,G87:G89,"Not Blank")</f>
        <v>0</v>
      </c>
      <c r="H86" s="952">
        <f>COUNTIFS(E87:E89,FALSE,G87:G89,"Not Blank")</f>
        <v>0</v>
      </c>
      <c r="I86" s="1922" t="str">
        <f xml:space="preserve">
IF(F86&gt;2,"Too Many Entries - Check Red Lines",
IF(AND(E86=FALSE,G86=0,H86=0,E86=TRUE),"Nothing Required Below",
IF(G86&lt;F86,"Valid Entry required below - Check Amber Line/s",
IF(AND(E86=FALSE,G86=0,H86=0),"Nothing Entered below Yet",
IF(G86&lt;F86,"Valid Entry required below - Check Amber Line/s",
IF(AND(G86=0,H86&gt;0),"**Non-Valid Entry/ies below - Check Yellow Line/s",
IF(AND(G86&gt;0,H86&gt;0),"**Valid and Non-Valid Entries made below - Check Yellow Line/s",
IF(AND(E86=FALSE,F86&lt;2),"Not all requirements addressed below - Check Pink Line/s",
IF(AND(E86=FALSE,G86&lt;2,G86&gt;0,H86=0),"More entries to come",
IF(AND(E86,TRUE,G86=2,H86=0),"Valid Entries made below"
))))))))))</f>
        <v>Nothing Entered below Yet</v>
      </c>
      <c r="J86" s="1647">
        <f>COUNTIFS(E87:E89,TRUE,J87:J89,"Not Blank")</f>
        <v>0</v>
      </c>
      <c r="K86" s="1647">
        <f>COUNTIFS(E87:E89,FALSE,J87:J89,"Not Blank")</f>
        <v>0</v>
      </c>
      <c r="L86" s="1702" t="str">
        <f xml:space="preserve">
IF(J86&gt;2,"Too Many Entries - Check Red Lines",
IF(AND(E86=FALSE,J86=0,K86=0,E86=TRUE),"Nothing Required Below",
IF(J86&lt;F86,"Valid Entry required below - Check Amber Line/s",
IF(AND(E86=FALSE,J86=0,K86=0),"Nothing Entered below Yet",
IF(AND(J86=0,K86&gt;0),"**Non-Valid Entry/ies below - Check Yellow Line/s",
IF(AND(J86&gt;0,K86&gt;0),"**Valid and Non-Valid Entries made below - Check Yellow Line/s",
IF(AND(E86=FALSE,J86&lt;2),"Not all requirements addressed below - Check Pink Line/s",
IF(AND(E86=FALSE,J86&lt;2,J86&gt;0,K86=0),"More entries to come",
IF(AND(E86,TRUE,J86=2,K86=0),"Valid Entries made below"
)))))))))</f>
        <v>Nothing Entered below Yet</v>
      </c>
      <c r="M86" s="2134"/>
      <c r="N86" s="2134"/>
      <c r="V86" s="204"/>
      <c r="W86" s="57"/>
      <c r="Z86" s="81"/>
    </row>
    <row r="87" spans="1:84" s="28" customFormat="1" ht="189" customHeight="1" x14ac:dyDescent="0.3">
      <c r="A87" s="28" t="s">
        <v>2200</v>
      </c>
      <c r="B87" s="2831"/>
      <c r="C87" s="2826" t="s">
        <v>2161</v>
      </c>
      <c r="D87" s="319" t="s">
        <v>3</v>
      </c>
      <c r="E87" s="67" t="b">
        <f t="shared" ref="E87" si="23">IF(D87="Compliant",TRUE,FALSE)</f>
        <v>0</v>
      </c>
      <c r="F87" s="44"/>
      <c r="G87" s="44" t="str">
        <f t="shared" ref="G87:G91" si="24">IF(I87&lt;&gt;"", "Not Blank", "")</f>
        <v/>
      </c>
      <c r="H87" s="122"/>
      <c r="I87" s="67"/>
      <c r="J87" s="44" t="str">
        <f t="shared" ref="J87:J91" si="25">IF(L87&lt;&gt;"", "Not Blank", "")</f>
        <v/>
      </c>
      <c r="K87" s="44"/>
      <c r="L87" s="122"/>
      <c r="M87" s="2135"/>
      <c r="N87" s="2135"/>
      <c r="V87" s="204"/>
      <c r="W87" s="57"/>
      <c r="AA87" s="65"/>
    </row>
    <row r="88" spans="1:84" s="28" customFormat="1" ht="188.5" x14ac:dyDescent="0.3">
      <c r="A88" s="28" t="s">
        <v>2199</v>
      </c>
      <c r="B88" s="2831"/>
      <c r="C88" s="2826" t="s">
        <v>2198</v>
      </c>
      <c r="D88" s="319" t="s">
        <v>3</v>
      </c>
      <c r="E88" s="67" t="b">
        <f t="shared" ref="E88" si="26">IF(D88="Compliant",TRUE,FALSE)</f>
        <v>0</v>
      </c>
      <c r="F88" s="44"/>
      <c r="G88" s="44" t="str">
        <f t="shared" si="24"/>
        <v/>
      </c>
      <c r="H88" s="122"/>
      <c r="I88" s="67"/>
      <c r="J88" s="44" t="str">
        <f t="shared" si="25"/>
        <v/>
      </c>
      <c r="K88" s="44"/>
      <c r="L88" s="122"/>
      <c r="M88" s="2135"/>
      <c r="N88" s="2135"/>
      <c r="V88" s="204"/>
      <c r="W88" s="57"/>
      <c r="AA88" s="65"/>
    </row>
    <row r="89" spans="1:84" s="28" customFormat="1" ht="145.5" thickBot="1" x14ac:dyDescent="0.35">
      <c r="A89" s="28" t="s">
        <v>2201</v>
      </c>
      <c r="B89" s="2831"/>
      <c r="C89" s="2123" t="s">
        <v>2162</v>
      </c>
      <c r="D89" s="894" t="s">
        <v>3</v>
      </c>
      <c r="E89" s="67" t="b">
        <f t="shared" ref="E89" si="27">IF(D89="Compliant",TRUE,FALSE)</f>
        <v>0</v>
      </c>
      <c r="F89" s="44"/>
      <c r="G89" s="44" t="str">
        <f t="shared" si="24"/>
        <v/>
      </c>
      <c r="H89" s="125"/>
      <c r="I89" s="67"/>
      <c r="J89" s="124" t="str">
        <f t="shared" si="25"/>
        <v/>
      </c>
      <c r="K89" s="124"/>
      <c r="L89" s="122"/>
      <c r="M89" s="894"/>
      <c r="N89" s="894"/>
      <c r="V89" s="204"/>
      <c r="W89" s="57"/>
      <c r="X89" s="36"/>
      <c r="Y89" s="36"/>
      <c r="Z89" s="196"/>
    </row>
    <row r="90" spans="1:84" s="3794" customFormat="1" ht="15.5" thickTop="1" thickBot="1" x14ac:dyDescent="0.35">
      <c r="A90" s="3634"/>
      <c r="B90" s="3638"/>
      <c r="C90" s="3764"/>
      <c r="D90" s="3764"/>
      <c r="E90" s="3764"/>
      <c r="F90" s="3764"/>
      <c r="G90" s="3764"/>
      <c r="H90" s="3764"/>
      <c r="I90" s="3764"/>
      <c r="J90" s="3638"/>
      <c r="K90" s="3764"/>
      <c r="L90" s="3764"/>
      <c r="M90" s="3638"/>
      <c r="N90" s="3638"/>
      <c r="O90" s="3634"/>
      <c r="P90" s="3729"/>
      <c r="Q90" s="3764"/>
      <c r="R90" s="3729"/>
      <c r="S90" s="3729"/>
      <c r="T90" s="3729"/>
      <c r="U90" s="3729"/>
      <c r="V90" s="4046"/>
      <c r="W90" s="3636"/>
      <c r="X90" s="4047"/>
      <c r="Y90" s="3634"/>
      <c r="Z90" s="3729"/>
      <c r="AA90" s="3634"/>
      <c r="AB90" s="3634"/>
      <c r="AC90" s="3634"/>
      <c r="AD90" s="3634"/>
      <c r="AE90" s="3634"/>
      <c r="AF90" s="3634"/>
      <c r="AG90" s="3634"/>
      <c r="AH90" s="3634"/>
      <c r="AI90" s="3634"/>
      <c r="AJ90" s="3634"/>
      <c r="AK90" s="3634"/>
      <c r="AL90" s="3634"/>
      <c r="AM90" s="3634"/>
      <c r="AN90" s="3634"/>
      <c r="AO90" s="3634"/>
      <c r="AP90" s="3634"/>
      <c r="AQ90" s="3634"/>
      <c r="AR90" s="3634"/>
      <c r="AS90" s="3666"/>
      <c r="AT90" s="3667"/>
      <c r="AU90" s="3667"/>
      <c r="AV90" s="3667"/>
      <c r="AW90" s="3667"/>
      <c r="AX90" s="3667"/>
      <c r="AY90" s="3667"/>
      <c r="AZ90" s="3667"/>
      <c r="BA90" s="3667"/>
      <c r="BB90" s="3667"/>
      <c r="BC90" s="3667"/>
      <c r="BD90" s="3667"/>
      <c r="BE90" s="3667"/>
      <c r="BF90" s="3667"/>
      <c r="BG90" s="3667"/>
      <c r="BH90" s="3667"/>
      <c r="BI90" s="3667"/>
      <c r="BJ90" s="3667"/>
      <c r="BK90" s="3667"/>
      <c r="BL90" s="3667"/>
      <c r="BM90" s="3667"/>
      <c r="BN90" s="3667"/>
      <c r="BO90" s="3667"/>
      <c r="BP90" s="3667"/>
      <c r="BQ90" s="3667"/>
      <c r="BR90" s="3667"/>
      <c r="BS90" s="3667"/>
      <c r="BT90" s="3667"/>
      <c r="BU90" s="3667"/>
      <c r="BV90" s="3667"/>
      <c r="BW90" s="3667"/>
      <c r="BX90" s="3667"/>
      <c r="BY90" s="3667"/>
      <c r="BZ90" s="3667"/>
      <c r="CA90" s="3667"/>
      <c r="CB90" s="3667"/>
      <c r="CC90" s="3667"/>
      <c r="CD90" s="3667"/>
      <c r="CE90" s="3667"/>
      <c r="CF90" s="4048"/>
    </row>
    <row r="91" spans="1:84" s="27" customFormat="1" ht="44.5" thickTop="1" thickBot="1" x14ac:dyDescent="0.35">
      <c r="A91" s="642"/>
      <c r="B91" s="1820" t="s">
        <v>456</v>
      </c>
      <c r="C91" s="1925" t="s">
        <v>2155</v>
      </c>
      <c r="D91" s="102" t="s">
        <v>3</v>
      </c>
      <c r="E91" s="215" t="b">
        <f>IF(D91="Compliant",TRUE,FALSE)</f>
        <v>0</v>
      </c>
      <c r="F91" s="79"/>
      <c r="G91" s="79" t="str">
        <f t="shared" si="24"/>
        <v/>
      </c>
      <c r="H91" s="579"/>
      <c r="I91" s="132"/>
      <c r="J91" s="124" t="str">
        <f t="shared" si="25"/>
        <v/>
      </c>
      <c r="K91" s="124"/>
      <c r="L91" s="125"/>
      <c r="M91" s="902"/>
      <c r="N91" s="1037" t="s">
        <v>3</v>
      </c>
      <c r="O91" s="1036" t="b">
        <f>IF(OR(N91="Compliant",N91="FE with work-a-round",N91="Functionally Equivalent"),TRUE,FALSE)</f>
        <v>0</v>
      </c>
      <c r="P91" s="134"/>
      <c r="Q91" s="925" t="s">
        <v>3</v>
      </c>
      <c r="R91" s="335" t="b">
        <f>IF(OR(Q91="Compliant",Q91="FE with work-a-round",Q91="Functionally Equivalent"),TRUE,FALSE)</f>
        <v>0</v>
      </c>
      <c r="S91" s="133"/>
      <c r="T91" s="133"/>
      <c r="U91" s="134"/>
      <c r="V91" s="924" t="s">
        <v>3</v>
      </c>
      <c r="W91" s="395" t="b">
        <f>IF(OR(V91="Compliant",V91="FE with work-a-round",V91="Functionally Equivalent",V91="Not Required/Applicable"),TRUE,FALSE)</f>
        <v>0</v>
      </c>
      <c r="X91" s="133"/>
      <c r="Y91" s="133"/>
      <c r="Z91" s="134"/>
      <c r="AA91" s="28"/>
      <c r="AB91" s="28"/>
      <c r="AC91" s="28"/>
      <c r="AD91" s="28"/>
      <c r="AE91" s="28"/>
      <c r="AF91" s="28"/>
      <c r="AG91" s="28"/>
      <c r="AH91" s="28"/>
      <c r="AI91" s="28"/>
      <c r="AJ91" s="28"/>
      <c r="AK91" s="28"/>
      <c r="AL91" s="28"/>
      <c r="AM91" s="28"/>
      <c r="AN91" s="28"/>
      <c r="AO91" s="28"/>
      <c r="AP91" s="28"/>
      <c r="AQ91" s="28"/>
      <c r="AR91" s="28"/>
      <c r="AS91" s="67"/>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5"/>
    </row>
    <row r="92" spans="1:84" s="3634" customFormat="1" ht="15" thickTop="1" x14ac:dyDescent="0.3">
      <c r="F92" s="4049"/>
      <c r="G92" s="4049"/>
      <c r="J92" s="4049"/>
      <c r="K92" s="3729"/>
      <c r="L92" s="3729"/>
      <c r="M92" s="3729"/>
      <c r="N92" s="3679"/>
      <c r="V92" s="3692"/>
      <c r="W92" s="3992"/>
      <c r="X92" s="3729"/>
      <c r="Y92" s="3729"/>
      <c r="AS92" s="3680"/>
      <c r="AT92" s="3681"/>
      <c r="AU92" s="3681"/>
      <c r="AV92" s="3681"/>
      <c r="AW92" s="3681"/>
      <c r="AX92" s="3681"/>
      <c r="AY92" s="3681"/>
      <c r="AZ92" s="3681"/>
      <c r="BA92" s="3681"/>
      <c r="BB92" s="3681"/>
      <c r="BC92" s="3681"/>
      <c r="BD92" s="3681"/>
      <c r="BE92" s="3681"/>
      <c r="BF92" s="3681"/>
      <c r="BG92" s="3681"/>
      <c r="BH92" s="3681"/>
      <c r="BI92" s="3681"/>
      <c r="BJ92" s="3681"/>
      <c r="BK92" s="3681"/>
      <c r="BL92" s="3681"/>
      <c r="BM92" s="3681"/>
      <c r="BN92" s="3681"/>
      <c r="BO92" s="3681"/>
      <c r="BP92" s="3681"/>
      <c r="BQ92" s="3681"/>
      <c r="BR92" s="3681"/>
      <c r="BS92" s="3681"/>
      <c r="BT92" s="3681"/>
      <c r="BU92" s="3681"/>
      <c r="BV92" s="3681"/>
      <c r="BW92" s="3681"/>
      <c r="BX92" s="3681"/>
      <c r="BY92" s="3681"/>
      <c r="BZ92" s="3681"/>
      <c r="CA92" s="3681"/>
      <c r="CB92" s="3681"/>
      <c r="CC92" s="3681"/>
      <c r="CD92" s="3681"/>
      <c r="CE92" s="3681"/>
      <c r="CF92" s="3682"/>
    </row>
    <row r="93" spans="1:84" s="4020" customFormat="1" ht="18.5" x14ac:dyDescent="0.3">
      <c r="A93" s="4482" t="s">
        <v>1133</v>
      </c>
      <c r="B93" s="4483"/>
      <c r="C93" s="4483"/>
      <c r="D93" s="4483"/>
      <c r="E93" s="4483"/>
      <c r="F93" s="4483"/>
      <c r="G93" s="4483"/>
      <c r="H93" s="4483"/>
      <c r="I93" s="4483"/>
      <c r="J93" s="4483"/>
      <c r="K93" s="4483"/>
      <c r="L93" s="4483"/>
      <c r="M93" s="4483"/>
      <c r="N93" s="4483"/>
      <c r="O93" s="3669"/>
      <c r="P93" s="3683"/>
      <c r="Q93" s="3683"/>
      <c r="R93" s="3683"/>
      <c r="S93" s="3684"/>
      <c r="T93" s="3685"/>
      <c r="U93" s="3685"/>
      <c r="V93" s="3669"/>
      <c r="W93" s="3882"/>
      <c r="X93" s="3683"/>
      <c r="Y93" s="3684"/>
      <c r="Z93" s="3685"/>
    </row>
    <row r="94" spans="1:84" s="3634" customFormat="1" ht="15" thickBot="1" x14ac:dyDescent="0.35">
      <c r="A94" s="3638"/>
      <c r="B94" s="3638"/>
      <c r="C94" s="3638"/>
      <c r="D94" s="3638"/>
      <c r="E94" s="3638"/>
      <c r="F94" s="3638"/>
      <c r="G94" s="3638"/>
      <c r="H94" s="3638"/>
      <c r="I94" s="3638"/>
      <c r="J94" s="3638"/>
      <c r="K94" s="3638"/>
      <c r="L94" s="3638"/>
      <c r="M94" s="3638"/>
      <c r="N94" s="3638"/>
      <c r="V94" s="3635"/>
      <c r="W94" s="3636"/>
      <c r="AS94" s="3687"/>
      <c r="AT94" s="3688"/>
      <c r="AU94" s="3688"/>
      <c r="AV94" s="3688"/>
      <c r="AW94" s="3688"/>
      <c r="AX94" s="3688"/>
      <c r="AY94" s="3688"/>
      <c r="AZ94" s="3688"/>
      <c r="BA94" s="3688"/>
      <c r="BB94" s="3688"/>
      <c r="BC94" s="3688"/>
      <c r="BD94" s="3688"/>
      <c r="BE94" s="3688"/>
      <c r="BF94" s="3688"/>
      <c r="BG94" s="3688"/>
      <c r="BH94" s="3688"/>
      <c r="BI94" s="3688"/>
      <c r="BJ94" s="3688"/>
      <c r="BK94" s="3688"/>
      <c r="BL94" s="3688"/>
      <c r="BM94" s="3688"/>
      <c r="BN94" s="3688"/>
      <c r="BO94" s="3688"/>
      <c r="BP94" s="3688"/>
      <c r="BQ94" s="3688"/>
      <c r="BR94" s="3688"/>
      <c r="BS94" s="3688"/>
      <c r="BT94" s="3688"/>
      <c r="BU94" s="3688"/>
      <c r="BV94" s="3688"/>
      <c r="BW94" s="3688"/>
      <c r="BX94" s="3688"/>
      <c r="BY94" s="3688"/>
      <c r="BZ94" s="3688"/>
      <c r="CA94" s="3688"/>
      <c r="CB94" s="3688"/>
      <c r="CC94" s="3688"/>
      <c r="CD94" s="3688"/>
      <c r="CE94" s="3688"/>
      <c r="CF94" s="3689"/>
    </row>
    <row r="95" spans="1:84" s="28" customFormat="1" ht="30" thickTop="1" thickBot="1" x14ac:dyDescent="0.35">
      <c r="A95" s="101">
        <v>11</v>
      </c>
      <c r="B95" s="1846" t="s">
        <v>769</v>
      </c>
      <c r="C95" s="2848" t="s">
        <v>1791</v>
      </c>
      <c r="D95" s="1640" t="s">
        <v>565</v>
      </c>
      <c r="E95" s="573" t="b">
        <f>IF(AND(E96=TRUE,E100=TRUE),TRUE,FALSE)</f>
        <v>0</v>
      </c>
      <c r="F95" s="388">
        <f>SUM(F96,F100)</f>
        <v>0</v>
      </c>
      <c r="G95" s="388">
        <f>SUM(G96,G100)</f>
        <v>0</v>
      </c>
      <c r="H95" s="552">
        <f>SUM(H96,H100)</f>
        <v>0</v>
      </c>
      <c r="I95" s="2100" t="str">
        <f xml:space="preserve">
IF(F95&gt;53,"Too Many Entries - Check Red Lines",
IF(AND(E95=FALSE,G95=0,H95=0,E19=TRUE),"Nothing Required Below",
IF(G95&lt;F95,"Valid Entry required below - Check Amber Line/s",
IF(AND(E95=FALSE,G95=0,H95=0),"Nothing Entered below Yet",
IF(G95&lt;F95,"Valid Entry required below - Check Amber Line/s",
IF(AND(G95=0,H95&gt;0),"**Non-Valid Entry/ies below - Check Yellow Line/s",
IF(AND(G95&gt;0,H95&gt;0),"**Valid and Non-Valid Entries made below - Check Yellow Line/s",
IF(AND(E95=FALSE,F95&lt;53),"Not all requirements addressed below - Check Pink Line/s",
IF(AND(E95=FALSE,G95&lt;53,G95&gt;0,H95=0),"More entries to come",
IF(AND(E95,TRUE,G95=53,H95=0),"Valid Entries made below"
))))))))))</f>
        <v>Nothing Entered below Yet</v>
      </c>
      <c r="J95" s="1642">
        <f>SUM(J96,J100)</f>
        <v>0</v>
      </c>
      <c r="K95" s="1642">
        <f>SUM(K96,K100,K144)</f>
        <v>0</v>
      </c>
      <c r="L95" s="1701" t="str">
        <f xml:space="preserve">
IF(J95&gt;53,"Too Many Entries - Check Red Lines",
IF(AND(E95=FALSE,J95=0,K95=0,E95=TRUE),"Nothing Required Below",
IF(J95&lt;F95,"Valid Entry required below - Check Amber Line/s",
IF(AND(E95=FALSE,J95=0,K95=0),"Nothing Entered below Yet",
IF(AND(J95=0,K95&gt;0),"**Non-Valid Entry/ies below - Check Yellow Line/s",
IF(AND(J95&gt;0,K95&gt;0),"**Valid and Non-Valid Entries made below - Check Yellow Line/s",
IF(AND(E95=FALSE,J95&lt;53),"Not all requirements addressed below - Check Pink Line/s",
IF(AND(E95=FALSE,J95&lt;53,J95&gt;0,K95=0),"More entries to come",
IF(AND(E95,TRUE,J95=53,K95=0),"Valid Entries made below"
)))))))))</f>
        <v>Nothing Entered below Yet</v>
      </c>
      <c r="M95" s="463"/>
      <c r="N95" s="698" t="s">
        <v>565</v>
      </c>
      <c r="O95" s="132" t="b">
        <f>IF(AND(O96=TRUE,O100=TRUE),TRUE,FALSE)</f>
        <v>0</v>
      </c>
      <c r="P95" s="134"/>
      <c r="Q95" s="698" t="s">
        <v>565</v>
      </c>
      <c r="R95" s="814" t="e">
        <f>IF(AND(R96=TRUE,R100=TRUE),TRUE,FALSE)</f>
        <v>#REF!</v>
      </c>
      <c r="S95" s="133"/>
      <c r="T95" s="133"/>
      <c r="U95" s="134"/>
      <c r="V95" s="698" t="s">
        <v>565</v>
      </c>
      <c r="W95" s="395" t="b">
        <f>IF(AND(W96=TRUE,W100=TRUE),TRUE,FALSE)</f>
        <v>0</v>
      </c>
      <c r="X95" s="133"/>
      <c r="Y95" s="133"/>
      <c r="Z95" s="134"/>
      <c r="AS95" s="67"/>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68"/>
    </row>
    <row r="96" spans="1:84" s="28" customFormat="1" ht="29.5" thickTop="1" x14ac:dyDescent="0.3">
      <c r="A96" s="1381"/>
      <c r="B96" s="1192"/>
      <c r="C96" s="1819" t="s">
        <v>1145</v>
      </c>
      <c r="D96" s="1489" t="s">
        <v>565</v>
      </c>
      <c r="E96" s="978" t="b">
        <f>IF(AND(E97=TRUE,E98=TRUE,E99=TRUE),TRUE,FALSE)</f>
        <v>0</v>
      </c>
      <c r="F96" s="979">
        <f>COUNTIF(E97:E99,TRUE)</f>
        <v>0</v>
      </c>
      <c r="G96" s="979">
        <f>COUNTIFS(E97:E99,TRUE,G97:G99,"Not Blank")</f>
        <v>0</v>
      </c>
      <c r="H96" s="2830">
        <f>COUNTIFS(E97:E99,FALSE,G97:G99,"Not Blank")</f>
        <v>0</v>
      </c>
      <c r="I96" s="1922" t="str">
        <f xml:space="preserve">
IF(F96&gt;3,"Too Many Entries - Check Red Lines",
IF(AND(E96=FALSE,G96=0,H96=0,E19=TRUE),"Nothing Required Below",
IF(G96&lt;F96,"Valid Entry required below - Check Amber Line/s",
IF(AND(E96=FALSE,G96=0,H96=0),"Nothing Entered below Yet",
IF(G96&lt;F96,"Valid Entry required below - Check Amber Line/s",
IF(AND(G96=0,H96&gt;0),"**Non-Valid Entry/ies below - Check Yellow Line/s",
IF(AND(G96&gt;0,H96&gt;0),"**Valid and Non-Valid Entries made below - Check Yellow Line/s",
IF(AND(E96=FALSE,F96&lt;3),"Not all requirements addressed below - Check Pink Line/s",
IF(AND(E96=FALSE,G96&lt;3,G96&gt;0,H96=0),"More entries to come",
IF(AND(E96,TRUE,G96=3,H96=0),"Valid Entries made below"
))))))))))</f>
        <v>Nothing Entered below Yet</v>
      </c>
      <c r="J96" s="1806">
        <f>COUNTIFS(E97:E99,TRUE,J97:J99,"Not Blank")</f>
        <v>0</v>
      </c>
      <c r="K96" s="1647">
        <f>COUNTIFS(E97:E99,FALSE,J97:J99,"Not Blank")</f>
        <v>0</v>
      </c>
      <c r="L96" s="1702" t="str">
        <f xml:space="preserve">
IF(J96&gt;3,"Too Many Entries - Check Red Lines",
IF(AND(E96=FALSE,J96=0,K96=0,E96=TRUE),"Nothing Required Below",
IF(J96&lt;F96,"Valid Entry required below - Check Amber Line/s",
IF(AND(E96=FALSE,J96=0,K96=0),"Nothing Entered below Yet",
IF(AND(J96=0,K96&gt;0),"**Non-Valid Entry/ies below - Check Yellow Line/s",
IF(AND(J96&gt;0,K96&gt;0),"**Valid and Non-Valid Entries made below - Check Yellow Line/s",
IF(AND(E96=FALSE,J96&lt;3),"Not all requirements addressed below - Check Pink Line/s",
IF(AND(E96=FALSE,J96&lt;3,J96&gt;0,K96=0),"More entries to come",
IF(AND(E96,TRUE,J96=3,K96=0),"Valid Entries made below"
)))))))))</f>
        <v>Nothing Entered below Yet</v>
      </c>
      <c r="M96" s="1013"/>
      <c r="N96" s="4457" t="s">
        <v>3</v>
      </c>
      <c r="O96" s="4492" t="b">
        <f>IF(OR(N96="Compliant",N96="FE with work-a-round",N96="Functionally Equivalent"),TRUE,FALSE)</f>
        <v>0</v>
      </c>
      <c r="P96" s="497"/>
      <c r="Q96" s="702" t="s">
        <v>565</v>
      </c>
      <c r="R96" s="814" t="b">
        <f>IF(AND(R97=TRUE,R98=TRUE,R99=TRUE),TRUE,FALSE)</f>
        <v>0</v>
      </c>
      <c r="S96" s="42"/>
      <c r="T96" s="42"/>
      <c r="U96" s="128"/>
      <c r="V96" s="4414" t="s">
        <v>3</v>
      </c>
      <c r="W96" s="4500" t="b">
        <f>IF(OR(V96="Compliant",V96="FE with work-a-round",V96="Functionally Equivalent",V96="Not Required/Applicable"),TRUE,FALSE)</f>
        <v>0</v>
      </c>
      <c r="X96" s="41"/>
      <c r="Y96" s="42"/>
      <c r="Z96" s="128"/>
      <c r="AS96" s="67"/>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68"/>
    </row>
    <row r="97" spans="1:84" s="28" customFormat="1" ht="29" x14ac:dyDescent="0.3">
      <c r="A97" s="81" t="s">
        <v>2241</v>
      </c>
      <c r="B97" s="1490"/>
      <c r="C97" s="2829" t="s">
        <v>2203</v>
      </c>
      <c r="D97" s="319" t="s">
        <v>3</v>
      </c>
      <c r="E97" s="67" t="b">
        <f>IF(D97="Compliant",TRUE,FALSE)</f>
        <v>0</v>
      </c>
      <c r="F97" s="44"/>
      <c r="G97" s="44" t="str">
        <f>IF(I97&lt;&gt;"", "Not Blank", "")</f>
        <v/>
      </c>
      <c r="H97" s="122"/>
      <c r="I97" s="3433"/>
      <c r="J97" s="44"/>
      <c r="K97" s="44"/>
      <c r="L97" s="3437"/>
      <c r="M97" s="319"/>
      <c r="N97" s="4415"/>
      <c r="O97" s="4492"/>
      <c r="P97" s="205"/>
      <c r="Q97" s="847" t="s">
        <v>3</v>
      </c>
      <c r="R97" s="716" t="b">
        <f>IF(OR(Q97="Compliant",Q97="FE with work-a-round",Q97="Functionally Equivalent"),TRUE,FALSE)</f>
        <v>0</v>
      </c>
      <c r="S97" s="44"/>
      <c r="T97" s="44"/>
      <c r="U97" s="122"/>
      <c r="V97" s="4415"/>
      <c r="W97" s="4500"/>
      <c r="X97" s="67"/>
      <c r="Y97" s="44"/>
      <c r="Z97" s="122"/>
      <c r="AS97" s="67"/>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68"/>
    </row>
    <row r="98" spans="1:84" s="28" customFormat="1" ht="29" x14ac:dyDescent="0.3">
      <c r="A98" s="81"/>
      <c r="B98" s="1490"/>
      <c r="C98" s="1812" t="s">
        <v>1143</v>
      </c>
      <c r="D98" s="319" t="s">
        <v>3</v>
      </c>
      <c r="E98" s="67" t="b">
        <f>IF(D98="Compliant",TRUE,FALSE)</f>
        <v>0</v>
      </c>
      <c r="F98" s="44"/>
      <c r="G98" s="44" t="str">
        <f>IF(I98&lt;&gt;"", "Not Blank", "")</f>
        <v/>
      </c>
      <c r="H98" s="122"/>
      <c r="I98" s="3433"/>
      <c r="J98" s="44"/>
      <c r="K98" s="44"/>
      <c r="L98" s="3437"/>
      <c r="M98" s="319"/>
      <c r="N98" s="4415"/>
      <c r="O98" s="4492"/>
      <c r="P98" s="205"/>
      <c r="Q98" s="847" t="s">
        <v>3</v>
      </c>
      <c r="R98" s="716" t="b">
        <f>IF(OR(Q98="Compliant",Q98="FE with work-a-round",Q98="Functionally Equivalent"),TRUE,FALSE)</f>
        <v>0</v>
      </c>
      <c r="S98" s="44"/>
      <c r="T98" s="44"/>
      <c r="U98" s="122"/>
      <c r="V98" s="4415"/>
      <c r="W98" s="4500"/>
      <c r="X98" s="67"/>
      <c r="Y98" s="44"/>
      <c r="Z98" s="122"/>
      <c r="AS98" s="67"/>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68"/>
    </row>
    <row r="99" spans="1:84" s="28" customFormat="1" ht="29.5" thickBot="1" x14ac:dyDescent="0.35">
      <c r="A99" s="81"/>
      <c r="B99" s="2850"/>
      <c r="C99" s="1671" t="s">
        <v>1144</v>
      </c>
      <c r="D99" s="319" t="s">
        <v>3</v>
      </c>
      <c r="E99" s="895" t="b">
        <f>IF(D99="Compliant",TRUE,FALSE)</f>
        <v>0</v>
      </c>
      <c r="F99" s="79"/>
      <c r="G99" s="79" t="str">
        <f>IF(I99&lt;&gt;"", "Not Blank", "")</f>
        <v/>
      </c>
      <c r="H99" s="127"/>
      <c r="I99" s="3433"/>
      <c r="J99" s="79"/>
      <c r="K99" s="79"/>
      <c r="L99" s="3437"/>
      <c r="M99" s="849"/>
      <c r="N99" s="4416"/>
      <c r="O99" s="4492"/>
      <c r="P99" s="206"/>
      <c r="Q99" s="848" t="s">
        <v>3</v>
      </c>
      <c r="R99" s="717" t="b">
        <f>IF(OR(Q99="Compliant",Q99="FE with work-a-round",Q99="Functionally Equivalent"),TRUE,FALSE)</f>
        <v>0</v>
      </c>
      <c r="S99" s="79"/>
      <c r="T99" s="79"/>
      <c r="U99" s="127"/>
      <c r="V99" s="4416"/>
      <c r="W99" s="4500"/>
      <c r="X99" s="78"/>
      <c r="Y99" s="79"/>
      <c r="Z99" s="127"/>
      <c r="AS99" s="67"/>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68"/>
    </row>
    <row r="100" spans="1:84" s="28" customFormat="1" ht="30" thickTop="1" thickBot="1" x14ac:dyDescent="0.35">
      <c r="A100" s="81"/>
      <c r="B100" s="1499" t="s">
        <v>1383</v>
      </c>
      <c r="C100" s="2087" t="s">
        <v>1142</v>
      </c>
      <c r="D100" s="1820" t="s">
        <v>565</v>
      </c>
      <c r="E100" s="1007" t="b">
        <f>IF(AND(E102=TRUE,E123=TRUE,E144=TRUE,E155=TRUE),TRUE,FALSE)</f>
        <v>0</v>
      </c>
      <c r="F100" s="689">
        <f>SUM(F102,F123,F144)</f>
        <v>0</v>
      </c>
      <c r="G100" s="689">
        <f>SUM(G102,G123,G144)</f>
        <v>0</v>
      </c>
      <c r="H100" s="686">
        <f>SUM(H102,H123,H144)</f>
        <v>0</v>
      </c>
      <c r="I100" s="2192" t="str">
        <f xml:space="preserve">
IF(F100&gt;50,"Too Many Entries - Check Red Lines",
IF(AND(E100=FALSE,G100=0,H100=0,E95=TRUE),"Nothing Required Below",
IF(G100&lt;F100,"Valid Entry required below - Check Amber Line/s",
IF(AND(E100=FALSE,G100=0,H100=0),"Nothing Entered below Yet",
IF(G100&lt;F100,"Valid Entry required below - Check Amber Line/s",
IF(AND(G100=0,H100&gt;0),"**Non-Valid Entry/ies below - Check Yellow Line/s",
IF(AND(G100&gt;0,H100&gt;0),"**Valid and Non-Valid Entries made below - Check Yellow Line/s",
IF(AND(E100=FALSE,F100&lt;50),"Not all requirements addressed below - Check Pink Line/s",
IF(AND(E100=FALSE,G100&lt;50,G100&gt;0,H100=0),"More entries to come",
IF(AND(E100,TRUE,G100=50,H100=0),"Valid Entries made below"
))))))))))</f>
        <v>Nothing Entered below Yet</v>
      </c>
      <c r="J100" s="1497">
        <f>SUM(J102,J123,J144)+COUNTIF(J155,"Not Blank")</f>
        <v>0</v>
      </c>
      <c r="K100" s="1497">
        <f>SUM(K102,K123)</f>
        <v>0</v>
      </c>
      <c r="L100" s="1809" t="str">
        <f xml:space="preserve">
IF(J100&gt;51,"Too Many Entries - Check Red Lines",
IF(AND(E100=FALSE,J100=0,K100=0,E100=TRUE),"Nothing Required Below",
IF(J100&lt;F100,"Valid Entry required below - Check Amber Line/s",
IF(AND(E100=FALSE,J100=0,K100=0),"Nothing Entered below Yet",
IF(AND(J100=0,K100&gt;0),"**Non-Valid Entry/ies below - Check Yellow Line/s",
IF(AND(J100&gt;0,K100&gt;0),"**Valid and Non-Valid Entries made below - Check Yellow Line/s",
IF(AND(E100=FALSE,J100&lt;51),"Not all requirements addressed below - Check Pink Line/s",
IF(AND(E100=FALSE,J100&lt;51,J100&gt;0,K100=0),"More entries to come",
IF(AND(E100,TRUE,J100=51,K100=0),"Valid Entries made below"
)))))))))</f>
        <v>Nothing Entered below Yet</v>
      </c>
      <c r="M100" s="102"/>
      <c r="N100" s="698" t="s">
        <v>565</v>
      </c>
      <c r="O100" s="132" t="b">
        <f>IF(AND(O102=TRUE,O123=TRUE,O144=TRUE),TRUE,FALSE)</f>
        <v>0</v>
      </c>
      <c r="P100" s="134"/>
      <c r="Q100" s="698" t="s">
        <v>565</v>
      </c>
      <c r="R100" s="816" t="e">
        <f>IF(AND(R102=TRUE,R123=TRUE,R144=TRUE),TRUE,FALSE)</f>
        <v>#REF!</v>
      </c>
      <c r="S100" s="133"/>
      <c r="T100" s="133"/>
      <c r="U100" s="134"/>
      <c r="V100" s="698" t="s">
        <v>565</v>
      </c>
      <c r="W100" s="395" t="b">
        <f>IF(AND(W102=TRUE,W123=TRUE,W144=TRUE),TRUE,FALSE)</f>
        <v>0</v>
      </c>
      <c r="X100" s="133"/>
      <c r="Y100" s="133"/>
      <c r="Z100" s="134"/>
      <c r="AS100" s="67"/>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68"/>
    </row>
    <row r="101" spans="1:84" s="28" customFormat="1" ht="73.5" thickTop="1" thickBot="1" x14ac:dyDescent="0.35">
      <c r="A101" s="81" t="s">
        <v>2250</v>
      </c>
      <c r="B101" s="1489" t="s">
        <v>2251</v>
      </c>
      <c r="C101" s="2087" t="s">
        <v>2252</v>
      </c>
      <c r="D101" s="102" t="s">
        <v>393</v>
      </c>
      <c r="E101" s="231" t="b">
        <f>IF(D101="Applicable",TRUE,FALSE)</f>
        <v>0</v>
      </c>
      <c r="F101" s="133"/>
      <c r="G101" s="133" t="str">
        <f>IF(I101&lt;&gt;"", "Not Blank", "")</f>
        <v/>
      </c>
      <c r="H101" s="134"/>
      <c r="I101" s="231"/>
      <c r="J101" s="133" t="str">
        <f>IF(L101&lt;&gt;"", "Not Blank", "")</f>
        <v/>
      </c>
      <c r="K101" s="133"/>
      <c r="L101" s="134"/>
      <c r="M101" s="319"/>
      <c r="N101" s="102" t="s">
        <v>393</v>
      </c>
      <c r="O101" s="65"/>
      <c r="Q101" s="102" t="s">
        <v>393</v>
      </c>
      <c r="R101" s="1265"/>
      <c r="S101" s="705"/>
      <c r="T101" s="133"/>
      <c r="U101" s="134"/>
      <c r="V101" s="102" t="s">
        <v>393</v>
      </c>
      <c r="W101" s="2821"/>
      <c r="X101" s="818"/>
      <c r="Y101" s="133"/>
      <c r="Z101" s="134"/>
      <c r="AS101" s="67"/>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68"/>
    </row>
    <row r="102" spans="1:84" s="28" customFormat="1" ht="29.5" thickTop="1" x14ac:dyDescent="0.3">
      <c r="A102" s="81" t="s">
        <v>2202</v>
      </c>
      <c r="B102" s="1804" t="s">
        <v>1985</v>
      </c>
      <c r="C102" s="2822" t="s">
        <v>1986</v>
      </c>
      <c r="D102" s="1645" t="s">
        <v>565</v>
      </c>
      <c r="E102" s="978" t="b">
        <f>IF(AND(E103=TRUE,E104=TRUE,E105=TRUE,E106=TRUE,E107=TRUE,E108=TRUE,E109=TRUE,E110=TRUE,E111=TRUE,E112=TRUE,E113=TRUE,E114=TRUE,E115=TRUE,E116=TRUE,E117=TRUE,E118=TRUE,E119=TRUE,E120=TRUE,E121=TRUE,E122=TRUE),TRUE,FALSE)</f>
        <v>0</v>
      </c>
      <c r="F102" s="979">
        <f>COUNTIF(E103:E122,TRUE)</f>
        <v>0</v>
      </c>
      <c r="G102" s="979">
        <f>COUNTIFS(E103:E122,TRUE,G103:G122,"Not Blank")</f>
        <v>0</v>
      </c>
      <c r="H102" s="2830">
        <f>COUNTIFS(E103:E122,FALSE,G103:G122,"Not Blank")</f>
        <v>0</v>
      </c>
      <c r="I102" s="1922" t="str">
        <f xml:space="preserve">
IF(F102&gt;20,"Too Many Entries - Check Red Lines",
IF(AND(E102=FALSE,G102=0,H102=0,E100=TRUE),"Nothing Required Below",
IF(G102&lt;F102,"Valid Entry required below - Check Amber Line/s",
IF(AND(E102=FALSE,G102=0,H102=0),"Nothing Entered below Yet",
IF(G102&lt;F102,"Valid Entry required below - Check Amber Line/s",
IF(AND(G102=0,H102&gt;0),"**Non-Valid Entry/ies below - Check Yellow Line/s",
IF(AND(G102&gt;0,H102&gt;0),"**Valid and Non-Valid Entries made below - Check Yellow Line/s",
IF(AND(E102=FALSE,F102&lt;20),"Not all requirements addressed below - Check Pink Line/s",
IF(AND(E102=FALSE,G102&lt;20,G102&gt;0,H102=0),"More entries to come",
IF(AND(E102,TRUE,G102=20,H102=0),"Valid Entries made below"
))))))))))</f>
        <v>Nothing Entered below Yet</v>
      </c>
      <c r="J102" s="1647">
        <f>COUNTIFS(E103:E122,TRUE,J103:J122,"Not Blank")</f>
        <v>0</v>
      </c>
      <c r="K102" s="1647">
        <f>COUNTIFS(E124:E143,FALSE,J124:J143,"Not Blank")+COUNTIFS(E103:E122,FALSE,J103:J122,"Not Blank")+COUNTIFS(E145:E155,FALSE,J145:J155,"Not Blank")</f>
        <v>0</v>
      </c>
      <c r="L102" s="1702" t="str">
        <f xml:space="preserve">
IF(J102&gt;20,"Too Many Entries - Check Red Lines",
IF(AND(E102=FALSE,J102=0,K102=0,E102=TRUE),"Nothing Required Below",
IF(J102&lt;F102,"Valid Entry required below - Check Amber Line/s",
IF(AND(E102=FALSE,J102=0,K102=0),"Nothing Entered below Yet",
IF(AND(J102=0,K102&gt;0),"**Non-Valid Entry/ies below - Check Yellow Line/s",
IF(AND(J102&gt;0,K102&gt;0),"**Valid and Non-Valid Entries made below - Check Yellow Line/s",
IF(AND(E102=FALSE,J102&lt;20),"Not all requirements addressed below - Check Pink Line/s",
IF(AND(E102=FALSE,J102&lt;20,J102&gt;0,K102=0),"More entries to come",
IF(AND(E102,TRUE,J102=20,K102=0),"Valid Entries made below"
)))))))))</f>
        <v>Nothing Entered below Yet</v>
      </c>
      <c r="M102" s="229"/>
      <c r="N102" s="4457" t="s">
        <v>3</v>
      </c>
      <c r="O102" s="4530" t="b">
        <f>IF(OR(N102="Compliant",N102="FE with work-a-round",N102="Functionally Equivalent"),TRUE,FALSE)</f>
        <v>0</v>
      </c>
      <c r="P102" s="139"/>
      <c r="Q102" s="702" t="s">
        <v>565</v>
      </c>
      <c r="R102" s="1444" t="e">
        <f>IF(AND(R103=TRUE,R104=TRUE,R105=TRUE,R106=TRUE,R107=TRUE,R108=TRUE,R109=TRUE,R110=TRUE,#REF!=TRUE,#REF!=TRUE),TRUE,FALSE)</f>
        <v>#REF!</v>
      </c>
      <c r="S102" s="111"/>
      <c r="T102" s="42"/>
      <c r="U102" s="128"/>
      <c r="V102" s="4414" t="s">
        <v>3</v>
      </c>
      <c r="W102" s="4500" t="b">
        <f>IF(OR(V102="Compliant",V102="FE with work-a-round",V102="Functionally Equivalent",V102="Not Required/Applicable"),TRUE,FALSE)</f>
        <v>0</v>
      </c>
      <c r="X102" s="111"/>
      <c r="Y102" s="42"/>
      <c r="Z102" s="128"/>
      <c r="AS102" s="67"/>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68"/>
    </row>
    <row r="103" spans="1:84" s="28" customFormat="1" ht="29" x14ac:dyDescent="0.3">
      <c r="A103" s="81"/>
      <c r="B103" s="1490"/>
      <c r="C103" s="2829" t="s">
        <v>1989</v>
      </c>
      <c r="D103" s="319" t="s">
        <v>3</v>
      </c>
      <c r="E103" s="67" t="b">
        <f t="shared" ref="E103:E122" si="28">IF(D103="Compliant",TRUE,FALSE)</f>
        <v>0</v>
      </c>
      <c r="F103" s="44"/>
      <c r="G103" s="44" t="str">
        <f t="shared" ref="G103:G143" si="29">IF(I103&lt;&gt;"", "Not Blank", "")</f>
        <v/>
      </c>
      <c r="H103" s="122"/>
      <c r="I103" s="67"/>
      <c r="J103" s="44" t="str">
        <f t="shared" ref="J103:J155" si="30">IF(L103&lt;&gt;"", "Not Blank", "")</f>
        <v/>
      </c>
      <c r="K103" s="44"/>
      <c r="L103" s="44"/>
      <c r="M103" s="319"/>
      <c r="N103" s="4415"/>
      <c r="O103" s="4530"/>
      <c r="P103" s="205"/>
      <c r="Q103" s="847" t="s">
        <v>3</v>
      </c>
      <c r="R103" s="717" t="b">
        <f>IF(OR(Q103="Compliant",Q103="FE with work-a-round",Q103="Functionally Equivalent"),TRUE,FALSE)</f>
        <v>0</v>
      </c>
      <c r="S103" s="44"/>
      <c r="T103" s="44"/>
      <c r="U103" s="122"/>
      <c r="V103" s="4415"/>
      <c r="W103" s="4500"/>
      <c r="X103" s="67"/>
      <c r="Y103" s="44"/>
      <c r="Z103" s="122"/>
      <c r="AS103" s="67"/>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68"/>
    </row>
    <row r="104" spans="1:84" s="28" customFormat="1" ht="29" x14ac:dyDescent="0.3">
      <c r="A104" s="81"/>
      <c r="B104" s="1490"/>
      <c r="C104" s="1812" t="s">
        <v>1990</v>
      </c>
      <c r="D104" s="319" t="s">
        <v>3</v>
      </c>
      <c r="E104" s="67" t="b">
        <f t="shared" si="28"/>
        <v>0</v>
      </c>
      <c r="F104" s="44"/>
      <c r="G104" s="44" t="str">
        <f t="shared" si="29"/>
        <v/>
      </c>
      <c r="H104" s="122"/>
      <c r="I104" s="67"/>
      <c r="J104" s="44" t="str">
        <f t="shared" si="30"/>
        <v/>
      </c>
      <c r="K104" s="44"/>
      <c r="L104" s="44"/>
      <c r="M104" s="319"/>
      <c r="N104" s="4415"/>
      <c r="O104" s="4530"/>
      <c r="P104" s="205"/>
      <c r="Q104" s="847" t="s">
        <v>3</v>
      </c>
      <c r="R104" s="716" t="b">
        <f t="shared" ref="R104:R110" si="31">IF(OR(Q104="Compliant",Q104="FE with work-a-round",Q104="Functionally Equivalent"),TRUE,FALSE)</f>
        <v>0</v>
      </c>
      <c r="S104" s="44"/>
      <c r="T104" s="44"/>
      <c r="U104" s="122"/>
      <c r="V104" s="4415"/>
      <c r="W104" s="4500"/>
      <c r="X104" s="67"/>
      <c r="Y104" s="44"/>
      <c r="Z104" s="122"/>
      <c r="AS104" s="67"/>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68"/>
    </row>
    <row r="105" spans="1:84" s="28" customFormat="1" ht="29" x14ac:dyDescent="0.3">
      <c r="A105" s="81"/>
      <c r="B105" s="1490"/>
      <c r="C105" s="1812" t="s">
        <v>1991</v>
      </c>
      <c r="D105" s="319" t="s">
        <v>3</v>
      </c>
      <c r="E105" s="67" t="b">
        <f t="shared" si="28"/>
        <v>0</v>
      </c>
      <c r="F105" s="44"/>
      <c r="G105" s="44" t="str">
        <f t="shared" si="29"/>
        <v/>
      </c>
      <c r="H105" s="122"/>
      <c r="I105" s="67"/>
      <c r="J105" s="44" t="str">
        <f t="shared" si="30"/>
        <v/>
      </c>
      <c r="K105" s="44"/>
      <c r="L105" s="44"/>
      <c r="M105" s="319"/>
      <c r="N105" s="4415"/>
      <c r="O105" s="4530"/>
      <c r="P105" s="205"/>
      <c r="Q105" s="847" t="s">
        <v>3</v>
      </c>
      <c r="R105" s="716" t="b">
        <f t="shared" si="31"/>
        <v>0</v>
      </c>
      <c r="S105" s="44"/>
      <c r="T105" s="44"/>
      <c r="U105" s="122"/>
      <c r="V105" s="4415"/>
      <c r="W105" s="4500"/>
      <c r="X105" s="67"/>
      <c r="Y105" s="44"/>
      <c r="Z105" s="122"/>
      <c r="AS105" s="67"/>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68"/>
    </row>
    <row r="106" spans="1:84" s="28" customFormat="1" ht="29" x14ac:dyDescent="0.3">
      <c r="A106" s="81"/>
      <c r="B106" s="1490"/>
      <c r="C106" s="1812" t="s">
        <v>1992</v>
      </c>
      <c r="D106" s="319" t="s">
        <v>3</v>
      </c>
      <c r="E106" s="67" t="b">
        <f t="shared" si="28"/>
        <v>0</v>
      </c>
      <c r="F106" s="44"/>
      <c r="G106" s="44" t="str">
        <f t="shared" si="29"/>
        <v/>
      </c>
      <c r="H106" s="122"/>
      <c r="I106" s="67"/>
      <c r="J106" s="44" t="str">
        <f t="shared" si="30"/>
        <v/>
      </c>
      <c r="K106" s="44"/>
      <c r="L106" s="44"/>
      <c r="M106" s="319"/>
      <c r="N106" s="4415"/>
      <c r="O106" s="4530"/>
      <c r="P106" s="205"/>
      <c r="Q106" s="847" t="s">
        <v>3</v>
      </c>
      <c r="R106" s="716" t="b">
        <f t="shared" si="31"/>
        <v>0</v>
      </c>
      <c r="S106" s="44"/>
      <c r="T106" s="44"/>
      <c r="U106" s="122"/>
      <c r="V106" s="4415"/>
      <c r="W106" s="4500"/>
      <c r="X106" s="67"/>
      <c r="Y106" s="44"/>
      <c r="Z106" s="122"/>
      <c r="AS106" s="67"/>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68"/>
    </row>
    <row r="107" spans="1:84" s="28" customFormat="1" ht="29" x14ac:dyDescent="0.3">
      <c r="A107" s="81"/>
      <c r="B107" s="1490"/>
      <c r="C107" s="1812" t="s">
        <v>1993</v>
      </c>
      <c r="D107" s="319" t="s">
        <v>3</v>
      </c>
      <c r="E107" s="67" t="b">
        <f t="shared" si="28"/>
        <v>0</v>
      </c>
      <c r="F107" s="44"/>
      <c r="G107" s="44" t="str">
        <f t="shared" si="29"/>
        <v/>
      </c>
      <c r="H107" s="122"/>
      <c r="I107" s="67"/>
      <c r="J107" s="44" t="str">
        <f t="shared" si="30"/>
        <v/>
      </c>
      <c r="K107" s="44"/>
      <c r="L107" s="44"/>
      <c r="M107" s="319"/>
      <c r="N107" s="4415"/>
      <c r="O107" s="4530"/>
      <c r="P107" s="205"/>
      <c r="Q107" s="847" t="s">
        <v>3</v>
      </c>
      <c r="R107" s="716" t="b">
        <f t="shared" si="31"/>
        <v>0</v>
      </c>
      <c r="S107" s="44"/>
      <c r="T107" s="44"/>
      <c r="U107" s="122"/>
      <c r="V107" s="4415"/>
      <c r="W107" s="4500"/>
      <c r="X107" s="67"/>
      <c r="Y107" s="44"/>
      <c r="Z107" s="122"/>
      <c r="AS107" s="67"/>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68"/>
    </row>
    <row r="108" spans="1:84" s="28" customFormat="1" ht="29" x14ac:dyDescent="0.3">
      <c r="A108" s="81"/>
      <c r="B108" s="1490"/>
      <c r="C108" s="1812" t="s">
        <v>1987</v>
      </c>
      <c r="D108" s="319" t="s">
        <v>3</v>
      </c>
      <c r="E108" s="67" t="b">
        <f t="shared" si="28"/>
        <v>0</v>
      </c>
      <c r="F108" s="44"/>
      <c r="G108" s="44" t="str">
        <f t="shared" si="29"/>
        <v/>
      </c>
      <c r="H108" s="122"/>
      <c r="I108" s="67"/>
      <c r="J108" s="44" t="str">
        <f t="shared" si="30"/>
        <v/>
      </c>
      <c r="K108" s="44"/>
      <c r="L108" s="44"/>
      <c r="M108" s="319"/>
      <c r="N108" s="4415"/>
      <c r="O108" s="4530"/>
      <c r="P108" s="205"/>
      <c r="Q108" s="847" t="s">
        <v>3</v>
      </c>
      <c r="R108" s="716" t="b">
        <f t="shared" si="31"/>
        <v>0</v>
      </c>
      <c r="S108" s="44"/>
      <c r="T108" s="44"/>
      <c r="U108" s="122"/>
      <c r="V108" s="4415"/>
      <c r="W108" s="4500"/>
      <c r="X108" s="67"/>
      <c r="Y108" s="44"/>
      <c r="Z108" s="122"/>
      <c r="AS108" s="67"/>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68"/>
    </row>
    <row r="109" spans="1:84" s="28" customFormat="1" ht="29" x14ac:dyDescent="0.3">
      <c r="A109" s="81"/>
      <c r="B109" s="1490"/>
      <c r="C109" s="1812" t="s">
        <v>1988</v>
      </c>
      <c r="D109" s="319" t="s">
        <v>3</v>
      </c>
      <c r="E109" s="67" t="b">
        <f t="shared" si="28"/>
        <v>0</v>
      </c>
      <c r="F109" s="44"/>
      <c r="G109" s="44" t="str">
        <f t="shared" si="29"/>
        <v/>
      </c>
      <c r="H109" s="122"/>
      <c r="I109" s="67"/>
      <c r="J109" s="44" t="str">
        <f t="shared" si="30"/>
        <v/>
      </c>
      <c r="K109" s="44"/>
      <c r="L109" s="44"/>
      <c r="M109" s="319"/>
      <c r="N109" s="4415"/>
      <c r="O109" s="4530"/>
      <c r="P109" s="205"/>
      <c r="Q109" s="847" t="s">
        <v>3</v>
      </c>
      <c r="R109" s="716" t="b">
        <f t="shared" si="31"/>
        <v>0</v>
      </c>
      <c r="S109" s="44"/>
      <c r="T109" s="44"/>
      <c r="U109" s="122"/>
      <c r="V109" s="4415"/>
      <c r="W109" s="4500"/>
      <c r="X109" s="67"/>
      <c r="Y109" s="44"/>
      <c r="Z109" s="122"/>
      <c r="AS109" s="67"/>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68"/>
    </row>
    <row r="110" spans="1:84" s="28" customFormat="1" ht="29" x14ac:dyDescent="0.3">
      <c r="A110" s="81"/>
      <c r="B110" s="1490"/>
      <c r="C110" s="1812" t="s">
        <v>1994</v>
      </c>
      <c r="D110" s="319" t="s">
        <v>3</v>
      </c>
      <c r="E110" s="67" t="b">
        <f t="shared" si="28"/>
        <v>0</v>
      </c>
      <c r="F110" s="44"/>
      <c r="G110" s="44" t="str">
        <f t="shared" si="29"/>
        <v/>
      </c>
      <c r="H110" s="122"/>
      <c r="I110" s="67"/>
      <c r="J110" s="44" t="str">
        <f t="shared" si="30"/>
        <v/>
      </c>
      <c r="K110" s="44"/>
      <c r="L110" s="44"/>
      <c r="M110" s="319"/>
      <c r="N110" s="4415"/>
      <c r="O110" s="4530"/>
      <c r="P110" s="205"/>
      <c r="Q110" s="847" t="s">
        <v>3</v>
      </c>
      <c r="R110" s="716" t="b">
        <f t="shared" si="31"/>
        <v>0</v>
      </c>
      <c r="S110" s="44"/>
      <c r="T110" s="44"/>
      <c r="U110" s="122"/>
      <c r="V110" s="4415"/>
      <c r="W110" s="4500"/>
      <c r="X110" s="67"/>
      <c r="Y110" s="44"/>
      <c r="Z110" s="122"/>
      <c r="AS110" s="78"/>
      <c r="AT110" s="79"/>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68"/>
    </row>
    <row r="111" spans="1:84" s="28" customFormat="1" ht="29" x14ac:dyDescent="0.3">
      <c r="A111" s="81"/>
      <c r="B111" s="1490"/>
      <c r="C111" s="1812" t="s">
        <v>1995</v>
      </c>
      <c r="D111" s="319" t="s">
        <v>3</v>
      </c>
      <c r="E111" s="67" t="b">
        <f t="shared" si="28"/>
        <v>0</v>
      </c>
      <c r="F111" s="44"/>
      <c r="G111" s="44" t="str">
        <f t="shared" si="29"/>
        <v/>
      </c>
      <c r="H111" s="122"/>
      <c r="I111" s="67"/>
      <c r="J111" s="44" t="str">
        <f t="shared" si="30"/>
        <v/>
      </c>
      <c r="K111" s="44"/>
      <c r="L111" s="44"/>
      <c r="M111" s="319"/>
      <c r="N111" s="4415"/>
      <c r="O111" s="4530"/>
      <c r="P111" s="205"/>
      <c r="Q111" s="847"/>
      <c r="R111" s="716"/>
      <c r="S111" s="44"/>
      <c r="T111" s="44"/>
      <c r="U111" s="122"/>
      <c r="V111" s="4415"/>
      <c r="W111" s="4500"/>
      <c r="X111" s="67"/>
      <c r="Y111" s="44"/>
      <c r="Z111" s="122"/>
      <c r="AU111" s="67"/>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68"/>
    </row>
    <row r="112" spans="1:84" s="28" customFormat="1" ht="29" x14ac:dyDescent="0.3">
      <c r="A112" s="81"/>
      <c r="B112" s="1490"/>
      <c r="C112" s="1812" t="s">
        <v>1996</v>
      </c>
      <c r="D112" s="319" t="s">
        <v>3</v>
      </c>
      <c r="E112" s="67" t="b">
        <f t="shared" si="28"/>
        <v>0</v>
      </c>
      <c r="F112" s="44"/>
      <c r="G112" s="44" t="str">
        <f t="shared" si="29"/>
        <v/>
      </c>
      <c r="H112" s="122"/>
      <c r="I112" s="67"/>
      <c r="J112" s="44" t="str">
        <f t="shared" si="30"/>
        <v/>
      </c>
      <c r="K112" s="44"/>
      <c r="L112" s="44"/>
      <c r="M112" s="319"/>
      <c r="N112" s="4415"/>
      <c r="O112" s="4530"/>
      <c r="P112" s="205"/>
      <c r="Q112" s="847"/>
      <c r="R112" s="716"/>
      <c r="S112" s="44"/>
      <c r="T112" s="44"/>
      <c r="U112" s="122"/>
      <c r="V112" s="4415"/>
      <c r="W112" s="4500"/>
      <c r="X112" s="67"/>
      <c r="Y112" s="44"/>
      <c r="Z112" s="122"/>
      <c r="AU112" s="67"/>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68"/>
    </row>
    <row r="113" spans="1:84" s="28" customFormat="1" ht="29" x14ac:dyDescent="0.3">
      <c r="A113" s="81"/>
      <c r="B113" s="1490"/>
      <c r="C113" s="1812" t="s">
        <v>1997</v>
      </c>
      <c r="D113" s="319" t="s">
        <v>3</v>
      </c>
      <c r="E113" s="67" t="b">
        <f t="shared" si="28"/>
        <v>0</v>
      </c>
      <c r="F113" s="44"/>
      <c r="G113" s="44" t="str">
        <f t="shared" si="29"/>
        <v/>
      </c>
      <c r="H113" s="122"/>
      <c r="I113" s="67"/>
      <c r="J113" s="44" t="str">
        <f t="shared" si="30"/>
        <v/>
      </c>
      <c r="K113" s="44"/>
      <c r="L113" s="44"/>
      <c r="M113" s="319"/>
      <c r="N113" s="4415"/>
      <c r="O113" s="4530"/>
      <c r="P113" s="205"/>
      <c r="Q113" s="847"/>
      <c r="R113" s="716"/>
      <c r="S113" s="44"/>
      <c r="T113" s="44"/>
      <c r="U113" s="122"/>
      <c r="V113" s="4415"/>
      <c r="W113" s="4500"/>
      <c r="X113" s="67"/>
      <c r="Y113" s="44"/>
      <c r="Z113" s="122"/>
      <c r="AU113" s="67"/>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68"/>
    </row>
    <row r="114" spans="1:84" s="28" customFormat="1" ht="29" x14ac:dyDescent="0.3">
      <c r="A114" s="81"/>
      <c r="B114" s="1490"/>
      <c r="C114" s="1812" t="s">
        <v>1998</v>
      </c>
      <c r="D114" s="319" t="s">
        <v>3</v>
      </c>
      <c r="E114" s="67" t="b">
        <f t="shared" si="28"/>
        <v>0</v>
      </c>
      <c r="F114" s="44"/>
      <c r="G114" s="44" t="str">
        <f t="shared" si="29"/>
        <v/>
      </c>
      <c r="H114" s="122"/>
      <c r="I114" s="67"/>
      <c r="J114" s="44" t="str">
        <f t="shared" si="30"/>
        <v/>
      </c>
      <c r="K114" s="44"/>
      <c r="L114" s="44"/>
      <c r="M114" s="319"/>
      <c r="N114" s="4415"/>
      <c r="O114" s="4530"/>
      <c r="P114" s="205"/>
      <c r="Q114" s="847"/>
      <c r="R114" s="716"/>
      <c r="S114" s="44"/>
      <c r="T114" s="44"/>
      <c r="U114" s="122"/>
      <c r="V114" s="4415"/>
      <c r="W114" s="4500"/>
      <c r="X114" s="67"/>
      <c r="Y114" s="44"/>
      <c r="Z114" s="122"/>
      <c r="AU114" s="67"/>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68"/>
    </row>
    <row r="115" spans="1:84" s="28" customFormat="1" ht="29" x14ac:dyDescent="0.3">
      <c r="A115" s="81"/>
      <c r="B115" s="1490"/>
      <c r="C115" s="1812" t="s">
        <v>1999</v>
      </c>
      <c r="D115" s="319" t="s">
        <v>3</v>
      </c>
      <c r="E115" s="67" t="b">
        <f t="shared" si="28"/>
        <v>0</v>
      </c>
      <c r="F115" s="44"/>
      <c r="G115" s="44" t="str">
        <f t="shared" si="29"/>
        <v/>
      </c>
      <c r="H115" s="122"/>
      <c r="I115" s="67"/>
      <c r="J115" s="44" t="str">
        <f t="shared" si="30"/>
        <v/>
      </c>
      <c r="K115" s="44"/>
      <c r="L115" s="44"/>
      <c r="M115" s="319"/>
      <c r="N115" s="4415"/>
      <c r="O115" s="4530"/>
      <c r="P115" s="205"/>
      <c r="Q115" s="847"/>
      <c r="R115" s="716"/>
      <c r="S115" s="44"/>
      <c r="T115" s="44"/>
      <c r="U115" s="122"/>
      <c r="V115" s="4415"/>
      <c r="W115" s="4500"/>
      <c r="X115" s="67"/>
      <c r="Y115" s="44"/>
      <c r="Z115" s="122"/>
      <c r="AU115" s="67"/>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68"/>
    </row>
    <row r="116" spans="1:84" s="28" customFormat="1" ht="29" x14ac:dyDescent="0.3">
      <c r="A116" s="81"/>
      <c r="B116" s="1490"/>
      <c r="C116" s="1812" t="s">
        <v>2000</v>
      </c>
      <c r="D116" s="319" t="s">
        <v>3</v>
      </c>
      <c r="E116" s="67" t="b">
        <f t="shared" si="28"/>
        <v>0</v>
      </c>
      <c r="F116" s="44"/>
      <c r="G116" s="44" t="str">
        <f t="shared" si="29"/>
        <v/>
      </c>
      <c r="H116" s="122"/>
      <c r="I116" s="67"/>
      <c r="J116" s="44" t="str">
        <f t="shared" si="30"/>
        <v/>
      </c>
      <c r="K116" s="44"/>
      <c r="L116" s="44"/>
      <c r="M116" s="319"/>
      <c r="N116" s="4415"/>
      <c r="O116" s="4530"/>
      <c r="P116" s="205"/>
      <c r="Q116" s="847"/>
      <c r="R116" s="716"/>
      <c r="S116" s="44"/>
      <c r="T116" s="44"/>
      <c r="U116" s="122"/>
      <c r="V116" s="4415"/>
      <c r="W116" s="4500"/>
      <c r="X116" s="67"/>
      <c r="Y116" s="44"/>
      <c r="Z116" s="122"/>
      <c r="AU116" s="67"/>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68"/>
    </row>
    <row r="117" spans="1:84" s="28" customFormat="1" ht="29" x14ac:dyDescent="0.3">
      <c r="A117" s="81"/>
      <c r="B117" s="1490"/>
      <c r="C117" s="1812" t="s">
        <v>2001</v>
      </c>
      <c r="D117" s="319" t="s">
        <v>3</v>
      </c>
      <c r="E117" s="67" t="b">
        <f t="shared" si="28"/>
        <v>0</v>
      </c>
      <c r="F117" s="44"/>
      <c r="G117" s="44" t="str">
        <f t="shared" si="29"/>
        <v/>
      </c>
      <c r="H117" s="122"/>
      <c r="I117" s="67"/>
      <c r="J117" s="44" t="str">
        <f t="shared" si="30"/>
        <v/>
      </c>
      <c r="K117" s="44"/>
      <c r="L117" s="44"/>
      <c r="M117" s="319"/>
      <c r="N117" s="4415"/>
      <c r="O117" s="4530"/>
      <c r="P117" s="205"/>
      <c r="Q117" s="847"/>
      <c r="R117" s="716"/>
      <c r="S117" s="44"/>
      <c r="T117" s="44"/>
      <c r="U117" s="122"/>
      <c r="V117" s="4415"/>
      <c r="W117" s="4500"/>
      <c r="X117" s="67"/>
      <c r="Y117" s="44"/>
      <c r="Z117" s="122"/>
      <c r="AU117" s="67"/>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68"/>
    </row>
    <row r="118" spans="1:84" s="28" customFormat="1" ht="29" x14ac:dyDescent="0.3">
      <c r="A118" s="81"/>
      <c r="B118" s="1490"/>
      <c r="C118" s="1812" t="s">
        <v>2002</v>
      </c>
      <c r="D118" s="319" t="s">
        <v>3</v>
      </c>
      <c r="E118" s="67" t="b">
        <f t="shared" si="28"/>
        <v>0</v>
      </c>
      <c r="F118" s="44"/>
      <c r="G118" s="44" t="str">
        <f t="shared" si="29"/>
        <v/>
      </c>
      <c r="H118" s="122"/>
      <c r="I118" s="67"/>
      <c r="J118" s="44" t="str">
        <f t="shared" si="30"/>
        <v/>
      </c>
      <c r="K118" s="44"/>
      <c r="L118" s="44"/>
      <c r="M118" s="319"/>
      <c r="N118" s="4415"/>
      <c r="O118" s="4530"/>
      <c r="P118" s="205"/>
      <c r="Q118" s="847"/>
      <c r="R118" s="716"/>
      <c r="S118" s="44"/>
      <c r="T118" s="44"/>
      <c r="U118" s="122"/>
      <c r="V118" s="4415"/>
      <c r="W118" s="4500"/>
      <c r="X118" s="67"/>
      <c r="Y118" s="44"/>
      <c r="Z118" s="122"/>
      <c r="AU118" s="67"/>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68"/>
    </row>
    <row r="119" spans="1:84" s="28" customFormat="1" ht="29" x14ac:dyDescent="0.3">
      <c r="A119" s="81"/>
      <c r="B119" s="1490"/>
      <c r="C119" s="1812" t="s">
        <v>2003</v>
      </c>
      <c r="D119" s="319" t="s">
        <v>3</v>
      </c>
      <c r="E119" s="67" t="b">
        <f t="shared" si="28"/>
        <v>0</v>
      </c>
      <c r="F119" s="44"/>
      <c r="G119" s="44" t="str">
        <f t="shared" si="29"/>
        <v/>
      </c>
      <c r="H119" s="122"/>
      <c r="I119" s="67"/>
      <c r="J119" s="44" t="str">
        <f t="shared" si="30"/>
        <v/>
      </c>
      <c r="K119" s="44"/>
      <c r="L119" s="44"/>
      <c r="M119" s="319"/>
      <c r="N119" s="4415"/>
      <c r="O119" s="4530"/>
      <c r="P119" s="205"/>
      <c r="Q119" s="847"/>
      <c r="R119" s="716"/>
      <c r="S119" s="44"/>
      <c r="T119" s="44"/>
      <c r="U119" s="122"/>
      <c r="V119" s="4415"/>
      <c r="W119" s="4500"/>
      <c r="X119" s="67"/>
      <c r="Y119" s="44"/>
      <c r="Z119" s="122"/>
      <c r="AU119" s="67"/>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68"/>
    </row>
    <row r="120" spans="1:84" s="28" customFormat="1" ht="29" x14ac:dyDescent="0.3">
      <c r="A120" s="81"/>
      <c r="B120" s="1490"/>
      <c r="C120" s="1812" t="s">
        <v>2004</v>
      </c>
      <c r="D120" s="319" t="s">
        <v>3</v>
      </c>
      <c r="E120" s="67" t="b">
        <f t="shared" si="28"/>
        <v>0</v>
      </c>
      <c r="F120" s="44"/>
      <c r="G120" s="44" t="str">
        <f t="shared" si="29"/>
        <v/>
      </c>
      <c r="H120" s="122"/>
      <c r="I120" s="67"/>
      <c r="J120" s="44" t="str">
        <f t="shared" si="30"/>
        <v/>
      </c>
      <c r="K120" s="44"/>
      <c r="L120" s="44"/>
      <c r="M120" s="319"/>
      <c r="N120" s="4415"/>
      <c r="O120" s="4530"/>
      <c r="P120" s="205"/>
      <c r="Q120" s="847"/>
      <c r="R120" s="716"/>
      <c r="S120" s="44"/>
      <c r="T120" s="44"/>
      <c r="U120" s="122"/>
      <c r="V120" s="4415"/>
      <c r="W120" s="4500"/>
      <c r="X120" s="67"/>
      <c r="Y120" s="44"/>
      <c r="Z120" s="122"/>
      <c r="AU120" s="67"/>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68"/>
    </row>
    <row r="121" spans="1:84" s="28" customFormat="1" ht="29" x14ac:dyDescent="0.3">
      <c r="A121" s="81"/>
      <c r="B121" s="1490"/>
      <c r="C121" s="1812" t="s">
        <v>2005</v>
      </c>
      <c r="D121" s="319" t="s">
        <v>3</v>
      </c>
      <c r="E121" s="67" t="b">
        <f t="shared" si="28"/>
        <v>0</v>
      </c>
      <c r="F121" s="44"/>
      <c r="G121" s="44" t="str">
        <f t="shared" si="29"/>
        <v/>
      </c>
      <c r="H121" s="122"/>
      <c r="I121" s="67"/>
      <c r="J121" s="44" t="str">
        <f t="shared" si="30"/>
        <v/>
      </c>
      <c r="K121" s="44"/>
      <c r="L121" s="44"/>
      <c r="M121" s="319"/>
      <c r="N121" s="4415"/>
      <c r="O121" s="4530"/>
      <c r="P121" s="205"/>
      <c r="Q121" s="847"/>
      <c r="R121" s="716"/>
      <c r="S121" s="44"/>
      <c r="T121" s="44"/>
      <c r="U121" s="122"/>
      <c r="V121" s="4415"/>
      <c r="W121" s="4500"/>
      <c r="X121" s="67"/>
      <c r="Y121" s="44"/>
      <c r="Z121" s="122"/>
      <c r="AU121" s="67"/>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68"/>
    </row>
    <row r="122" spans="1:84" s="28" customFormat="1" ht="29.5" thickBot="1" x14ac:dyDescent="0.35">
      <c r="A122" s="81"/>
      <c r="B122" s="1491"/>
      <c r="C122" s="1812" t="s">
        <v>2006</v>
      </c>
      <c r="D122" s="319" t="s">
        <v>3</v>
      </c>
      <c r="E122" s="67" t="b">
        <f t="shared" si="28"/>
        <v>0</v>
      </c>
      <c r="F122" s="44"/>
      <c r="G122" s="44" t="str">
        <f t="shared" si="29"/>
        <v/>
      </c>
      <c r="H122" s="122"/>
      <c r="I122" s="67"/>
      <c r="J122" s="44" t="str">
        <f t="shared" si="30"/>
        <v/>
      </c>
      <c r="K122" s="44"/>
      <c r="L122" s="44"/>
      <c r="M122" s="319"/>
      <c r="N122" s="4415"/>
      <c r="O122" s="4530"/>
      <c r="P122" s="205"/>
      <c r="Q122" s="847"/>
      <c r="R122" s="716"/>
      <c r="S122" s="44"/>
      <c r="T122" s="44"/>
      <c r="U122" s="122"/>
      <c r="V122" s="4415"/>
      <c r="W122" s="4500"/>
      <c r="X122" s="67"/>
      <c r="Y122" s="44"/>
      <c r="Z122" s="122"/>
      <c r="AU122" s="67"/>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68"/>
    </row>
    <row r="123" spans="1:84" s="28" customFormat="1" ht="29.5" thickTop="1" x14ac:dyDescent="0.3">
      <c r="A123" s="81" t="s">
        <v>2202</v>
      </c>
      <c r="B123" s="1192" t="s">
        <v>2007</v>
      </c>
      <c r="C123" s="1819" t="s">
        <v>2029</v>
      </c>
      <c r="D123" s="1489" t="s">
        <v>565</v>
      </c>
      <c r="E123" s="659" t="b">
        <f>IF(AND(E124=TRUE,E125=TRUE,E126=TRUE,E127=TRUE,E128=TRUE,E129=TRUE,E130=TRUE,E131=TRUE,E132=TRUE,E133=TRUE,E134=TRUE,E135=TRUE,E136=TRUE,E137=TRUE,E138=TRUE,E139=TRUE,E140=TRUE,E141=TRUE,E142=TRUE,E143=TRUE),TRUE,FALSE)</f>
        <v>0</v>
      </c>
      <c r="F123" s="207">
        <f>COUNTIF(E124:E143,TRUE)</f>
        <v>0</v>
      </c>
      <c r="G123" s="207">
        <f>COUNTIFS(E124:E143,TRUE,G124:G143,"Not Blank")</f>
        <v>0</v>
      </c>
      <c r="H123" s="199">
        <f>COUNTIFS(E124:E143,FALSE,G124:G143,"Not Blank")</f>
        <v>0</v>
      </c>
      <c r="I123" s="1929" t="str">
        <f xml:space="preserve">
IF(F123&gt;20,"Too Many Entries - Check Red Lines",
IF(AND(E123=FALSE,G123=0,H123=0,E100=TRUE),"Nothing Required Below",
IF(G123&lt;F123,"Valid Entry required below - Check Amber Line/s",
IF(AND(E123=FALSE,G123=0,H123=0),"Nothing Entered below Yet",
IF(G123&lt;F123,"Valid Entry required below - Check Amber Line/s",
IF(AND(G123=0,H123&gt;0),"**Non-Valid Entry/ies below - Check Yellow Line/s",
IF(AND(G123&gt;0,H123&gt;0),"**Valid and Non-Valid Entries made below - Check Yellow Line/s",
IF(AND(E123=FALSE,F123&lt;20),"Not all requirements addressed below - Check Pink Line/s",
IF(AND(E123=FALSE,G123&lt;20,G123&gt;0,H123=0),"More entries to come",
IF(AND(E123,TRUE,G123=20,H123=0),"Valid Entries made below"
))))))))))</f>
        <v>Nothing Entered below Yet</v>
      </c>
      <c r="J123" s="1514">
        <f>COUNTIFS(E124:E143,TRUE,J124:J143,"Not Blank")</f>
        <v>0</v>
      </c>
      <c r="K123" s="1514">
        <f>COUNTIFS(E125:E143,FALSE,J125:J143,"Not Blank")</f>
        <v>0</v>
      </c>
      <c r="L123" s="1685" t="str">
        <f xml:space="preserve">
IF(J123&gt;20,"Too Many Entries - Check Red Lines",
IF(AND(E123=FALSE,J123=0,K123=0,E123=TRUE),"Nothing Required Below",
IF(J123&lt;F123,"Valid Entry required below - Check Amber Line/s",
IF(AND(E123=FALSE,J123=0,K123=0),"Nothing Entered below Yet",
IF(AND(J123=0,K123&gt;0),"**Non-Valid Entry/ies below - Check Yellow Line/s",
IF(AND(J123&gt;0,K123&gt;0),"**Valid and Non-Valid Entries made below - Check Yellow Line/s",
IF(AND(E123=FALSE,J123&lt;10),"Not all requirements addressed below - Check Pink Line/s",
IF(AND(E123=FALSE,J123&lt;20,J123&gt;0,K123=0),"More entries to come",
IF(AND(E123,TRUE,J123=20,K123=0),"Valid Entries made below"
)))))))))</f>
        <v>Nothing Entered below Yet</v>
      </c>
      <c r="M123" s="229"/>
      <c r="N123" s="4414" t="s">
        <v>3</v>
      </c>
      <c r="O123" s="4533" t="b">
        <f>IF(OR(N123="Compliant",N123="FE with work-a-round",N123="Functionally Equivalent"),TRUE,FALSE)</f>
        <v>0</v>
      </c>
      <c r="P123" s="697"/>
      <c r="Q123" s="702" t="s">
        <v>565</v>
      </c>
      <c r="R123" s="814" t="e">
        <f>IF(AND(R125=TRUE,R126=TRUE,R127=TRUE,R128=TRUE,R129=TRUE,R130=TRUE,R131=TRUE,R132=TRUE,#REF!=TRUE,#REF!=TRUE),TRUE,FALSE)</f>
        <v>#REF!</v>
      </c>
      <c r="S123" s="111"/>
      <c r="T123" s="111"/>
      <c r="U123" s="120"/>
      <c r="V123" s="4414" t="s">
        <v>3</v>
      </c>
      <c r="W123" s="4499" t="b">
        <f>IF(OR(V123="Compliant",V123="FE with work-a-round",V123="Functionally Equivalent",V123="Not Required/Applicable"),TRUE,FALSE)</f>
        <v>0</v>
      </c>
      <c r="X123" s="138"/>
      <c r="Y123" s="111"/>
      <c r="Z123" s="120"/>
      <c r="AU123" s="67"/>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68"/>
    </row>
    <row r="124" spans="1:84" s="28" customFormat="1" ht="29" x14ac:dyDescent="0.3">
      <c r="A124" s="81"/>
      <c r="B124" s="1490"/>
      <c r="C124" s="2829" t="s">
        <v>2008</v>
      </c>
      <c r="D124" s="319" t="s">
        <v>3</v>
      </c>
      <c r="E124" s="978" t="b">
        <f t="shared" ref="E124:E143" si="32">IF(D124="Compliant",TRUE,FALSE)</f>
        <v>0</v>
      </c>
      <c r="F124" s="979"/>
      <c r="G124" s="979" t="str">
        <f t="shared" si="29"/>
        <v/>
      </c>
      <c r="H124" s="200"/>
      <c r="I124" s="67"/>
      <c r="J124" s="44" t="str">
        <f t="shared" si="30"/>
        <v/>
      </c>
      <c r="K124" s="44"/>
      <c r="L124" s="44"/>
      <c r="M124" s="1013"/>
      <c r="N124" s="4415"/>
      <c r="O124" s="4530"/>
      <c r="P124" s="497"/>
      <c r="Q124" s="1690"/>
      <c r="R124" s="1265"/>
      <c r="S124" s="42"/>
      <c r="T124" s="42"/>
      <c r="U124" s="128"/>
      <c r="V124" s="4415"/>
      <c r="W124" s="4500"/>
      <c r="X124" s="41"/>
      <c r="Y124" s="42"/>
      <c r="Z124" s="128"/>
      <c r="AU124" s="67"/>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68"/>
    </row>
    <row r="125" spans="1:84" s="28" customFormat="1" ht="29" x14ac:dyDescent="0.3">
      <c r="A125" s="81"/>
      <c r="B125" s="1490"/>
      <c r="C125" s="1812" t="s">
        <v>2009</v>
      </c>
      <c r="D125" s="319" t="s">
        <v>3</v>
      </c>
      <c r="E125" s="67" t="b">
        <f t="shared" si="32"/>
        <v>0</v>
      </c>
      <c r="F125" s="44"/>
      <c r="G125" s="44" t="str">
        <f t="shared" si="29"/>
        <v/>
      </c>
      <c r="H125" s="122"/>
      <c r="I125" s="67"/>
      <c r="J125" s="44" t="str">
        <f t="shared" si="30"/>
        <v/>
      </c>
      <c r="K125" s="44"/>
      <c r="L125" s="44"/>
      <c r="M125" s="319"/>
      <c r="N125" s="4415"/>
      <c r="O125" s="4530"/>
      <c r="P125" s="205"/>
      <c r="Q125" s="847" t="s">
        <v>3</v>
      </c>
      <c r="R125" s="717" t="b">
        <f>IF(OR(Q125="Compliant",Q125="FE with work-a-round",Q125="Functionally Equivalent"),TRUE,FALSE)</f>
        <v>0</v>
      </c>
      <c r="S125" s="44"/>
      <c r="T125" s="44"/>
      <c r="U125" s="122"/>
      <c r="V125" s="4415"/>
      <c r="W125" s="4500"/>
      <c r="X125" s="67"/>
      <c r="Y125" s="44"/>
      <c r="Z125" s="122"/>
      <c r="AU125" s="67"/>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68"/>
    </row>
    <row r="126" spans="1:84" s="28" customFormat="1" ht="29" x14ac:dyDescent="0.3">
      <c r="A126" s="81"/>
      <c r="B126" s="1490"/>
      <c r="C126" s="1812" t="s">
        <v>2010</v>
      </c>
      <c r="D126" s="319" t="s">
        <v>3</v>
      </c>
      <c r="E126" s="67" t="b">
        <f t="shared" si="32"/>
        <v>0</v>
      </c>
      <c r="F126" s="44"/>
      <c r="G126" s="44" t="str">
        <f t="shared" si="29"/>
        <v/>
      </c>
      <c r="H126" s="122"/>
      <c r="I126" s="67"/>
      <c r="J126" s="44" t="str">
        <f t="shared" si="30"/>
        <v/>
      </c>
      <c r="K126" s="44"/>
      <c r="L126" s="44"/>
      <c r="M126" s="319"/>
      <c r="N126" s="4415"/>
      <c r="O126" s="4530"/>
      <c r="P126" s="205"/>
      <c r="Q126" s="847" t="s">
        <v>3</v>
      </c>
      <c r="R126" s="716" t="b">
        <f t="shared" ref="R126:R132" si="33">IF(OR(Q126="Compliant",Q126="FE with work-a-round",Q126="Functionally Equivalent"),TRUE,FALSE)</f>
        <v>0</v>
      </c>
      <c r="S126" s="44"/>
      <c r="T126" s="44"/>
      <c r="U126" s="122"/>
      <c r="V126" s="4415"/>
      <c r="W126" s="4500"/>
      <c r="X126" s="67"/>
      <c r="Y126" s="44"/>
      <c r="Z126" s="122"/>
      <c r="AU126" s="67"/>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68"/>
    </row>
    <row r="127" spans="1:84" s="28" customFormat="1" ht="29" x14ac:dyDescent="0.3">
      <c r="A127" s="81"/>
      <c r="B127" s="1490"/>
      <c r="C127" s="1812" t="s">
        <v>2011</v>
      </c>
      <c r="D127" s="319" t="s">
        <v>3</v>
      </c>
      <c r="E127" s="67" t="b">
        <f t="shared" si="32"/>
        <v>0</v>
      </c>
      <c r="F127" s="44"/>
      <c r="G127" s="44" t="str">
        <f t="shared" si="29"/>
        <v/>
      </c>
      <c r="H127" s="122"/>
      <c r="I127" s="67"/>
      <c r="J127" s="44" t="str">
        <f t="shared" si="30"/>
        <v/>
      </c>
      <c r="K127" s="44"/>
      <c r="L127" s="44"/>
      <c r="M127" s="319"/>
      <c r="N127" s="4415"/>
      <c r="O127" s="4530"/>
      <c r="P127" s="205"/>
      <c r="Q127" s="847" t="s">
        <v>3</v>
      </c>
      <c r="R127" s="716" t="b">
        <f t="shared" si="33"/>
        <v>0</v>
      </c>
      <c r="S127" s="44"/>
      <c r="T127" s="44"/>
      <c r="U127" s="122"/>
      <c r="V127" s="4415"/>
      <c r="W127" s="4500"/>
      <c r="X127" s="67"/>
      <c r="Y127" s="44"/>
      <c r="Z127" s="122"/>
      <c r="AU127" s="67"/>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68"/>
    </row>
    <row r="128" spans="1:84" s="28" customFormat="1" ht="29" x14ac:dyDescent="0.3">
      <c r="A128" s="81"/>
      <c r="B128" s="1490"/>
      <c r="C128" s="1812" t="s">
        <v>2012</v>
      </c>
      <c r="D128" s="319" t="s">
        <v>3</v>
      </c>
      <c r="E128" s="67" t="b">
        <f t="shared" si="32"/>
        <v>0</v>
      </c>
      <c r="F128" s="44"/>
      <c r="G128" s="44" t="str">
        <f t="shared" si="29"/>
        <v/>
      </c>
      <c r="H128" s="122"/>
      <c r="I128" s="67"/>
      <c r="J128" s="44" t="str">
        <f t="shared" si="30"/>
        <v/>
      </c>
      <c r="K128" s="44"/>
      <c r="L128" s="44"/>
      <c r="M128" s="319"/>
      <c r="N128" s="4415"/>
      <c r="O128" s="4530"/>
      <c r="P128" s="205"/>
      <c r="Q128" s="847" t="s">
        <v>3</v>
      </c>
      <c r="R128" s="716" t="b">
        <f t="shared" si="33"/>
        <v>0</v>
      </c>
      <c r="S128" s="44"/>
      <c r="T128" s="44"/>
      <c r="U128" s="122"/>
      <c r="V128" s="4415"/>
      <c r="W128" s="4500"/>
      <c r="X128" s="67"/>
      <c r="Y128" s="44"/>
      <c r="Z128" s="122"/>
      <c r="AU128" s="67"/>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68"/>
    </row>
    <row r="129" spans="1:84" s="28" customFormat="1" ht="29" x14ac:dyDescent="0.3">
      <c r="A129" s="81"/>
      <c r="B129" s="1490"/>
      <c r="C129" s="1812" t="s">
        <v>2013</v>
      </c>
      <c r="D129" s="319" t="s">
        <v>3</v>
      </c>
      <c r="E129" s="67" t="b">
        <f t="shared" si="32"/>
        <v>0</v>
      </c>
      <c r="F129" s="44"/>
      <c r="G129" s="44" t="str">
        <f t="shared" si="29"/>
        <v/>
      </c>
      <c r="H129" s="122"/>
      <c r="I129" s="67"/>
      <c r="J129" s="44" t="str">
        <f t="shared" si="30"/>
        <v/>
      </c>
      <c r="K129" s="44"/>
      <c r="L129" s="44"/>
      <c r="M129" s="319"/>
      <c r="N129" s="4415"/>
      <c r="O129" s="4530"/>
      <c r="P129" s="205"/>
      <c r="Q129" s="847" t="s">
        <v>3</v>
      </c>
      <c r="R129" s="716" t="b">
        <f t="shared" si="33"/>
        <v>0</v>
      </c>
      <c r="S129" s="44"/>
      <c r="T129" s="44"/>
      <c r="U129" s="122"/>
      <c r="V129" s="4415"/>
      <c r="W129" s="4500"/>
      <c r="X129" s="67"/>
      <c r="Y129" s="44"/>
      <c r="Z129" s="122"/>
      <c r="AU129" s="67"/>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68"/>
    </row>
    <row r="130" spans="1:84" s="28" customFormat="1" ht="29" x14ac:dyDescent="0.3">
      <c r="A130" s="81"/>
      <c r="B130" s="1490"/>
      <c r="C130" s="1812" t="s">
        <v>2014</v>
      </c>
      <c r="D130" s="319" t="s">
        <v>3</v>
      </c>
      <c r="E130" s="67" t="b">
        <f t="shared" si="32"/>
        <v>0</v>
      </c>
      <c r="F130" s="44"/>
      <c r="G130" s="44" t="str">
        <f t="shared" si="29"/>
        <v/>
      </c>
      <c r="H130" s="122"/>
      <c r="I130" s="67"/>
      <c r="J130" s="44" t="str">
        <f t="shared" si="30"/>
        <v/>
      </c>
      <c r="K130" s="44"/>
      <c r="L130" s="44"/>
      <c r="M130" s="319"/>
      <c r="N130" s="4415"/>
      <c r="O130" s="4530"/>
      <c r="P130" s="205"/>
      <c r="Q130" s="847" t="s">
        <v>3</v>
      </c>
      <c r="R130" s="716" t="b">
        <f t="shared" si="33"/>
        <v>0</v>
      </c>
      <c r="S130" s="44"/>
      <c r="T130" s="44"/>
      <c r="U130" s="122"/>
      <c r="V130" s="4415"/>
      <c r="W130" s="4500"/>
      <c r="X130" s="67"/>
      <c r="Y130" s="44"/>
      <c r="Z130" s="122"/>
      <c r="AU130" s="67"/>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68"/>
    </row>
    <row r="131" spans="1:84" s="28" customFormat="1" ht="29" x14ac:dyDescent="0.3">
      <c r="A131" s="81"/>
      <c r="B131" s="1490"/>
      <c r="C131" s="1812" t="s">
        <v>2015</v>
      </c>
      <c r="D131" s="319" t="s">
        <v>3</v>
      </c>
      <c r="E131" s="67" t="b">
        <f t="shared" si="32"/>
        <v>0</v>
      </c>
      <c r="F131" s="44"/>
      <c r="G131" s="44" t="str">
        <f t="shared" si="29"/>
        <v/>
      </c>
      <c r="H131" s="122"/>
      <c r="I131" s="67"/>
      <c r="J131" s="44" t="str">
        <f t="shared" si="30"/>
        <v/>
      </c>
      <c r="K131" s="44"/>
      <c r="L131" s="44"/>
      <c r="M131" s="319"/>
      <c r="N131" s="4415"/>
      <c r="O131" s="4530"/>
      <c r="P131" s="205"/>
      <c r="Q131" s="847" t="s">
        <v>3</v>
      </c>
      <c r="R131" s="716" t="b">
        <f t="shared" si="33"/>
        <v>0</v>
      </c>
      <c r="S131" s="44"/>
      <c r="T131" s="44"/>
      <c r="U131" s="122"/>
      <c r="V131" s="4415"/>
      <c r="W131" s="4500"/>
      <c r="X131" s="67"/>
      <c r="Y131" s="44"/>
      <c r="Z131" s="122"/>
      <c r="AU131" s="67"/>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68"/>
    </row>
    <row r="132" spans="1:84" s="28" customFormat="1" ht="29" x14ac:dyDescent="0.3">
      <c r="A132" s="81"/>
      <c r="B132" s="1490"/>
      <c r="C132" s="1812" t="s">
        <v>2016</v>
      </c>
      <c r="D132" s="319" t="s">
        <v>3</v>
      </c>
      <c r="E132" s="67" t="b">
        <f t="shared" si="32"/>
        <v>0</v>
      </c>
      <c r="F132" s="44"/>
      <c r="G132" s="44" t="str">
        <f t="shared" si="29"/>
        <v/>
      </c>
      <c r="H132" s="122"/>
      <c r="I132" s="67"/>
      <c r="J132" s="44" t="str">
        <f t="shared" si="30"/>
        <v/>
      </c>
      <c r="K132" s="44"/>
      <c r="L132" s="44"/>
      <c r="M132" s="319"/>
      <c r="N132" s="4415"/>
      <c r="O132" s="4530"/>
      <c r="P132" s="205"/>
      <c r="Q132" s="847" t="s">
        <v>3</v>
      </c>
      <c r="R132" s="716" t="b">
        <f t="shared" si="33"/>
        <v>0</v>
      </c>
      <c r="S132" s="44"/>
      <c r="T132" s="44"/>
      <c r="U132" s="122"/>
      <c r="V132" s="4415"/>
      <c r="W132" s="4500"/>
      <c r="X132" s="67"/>
      <c r="Y132" s="44"/>
      <c r="Z132" s="122"/>
      <c r="AU132" s="67"/>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68"/>
    </row>
    <row r="133" spans="1:84" s="28" customFormat="1" ht="29" x14ac:dyDescent="0.3">
      <c r="A133" s="81"/>
      <c r="B133" s="1490"/>
      <c r="C133" s="1812" t="s">
        <v>2017</v>
      </c>
      <c r="D133" s="319" t="s">
        <v>3</v>
      </c>
      <c r="E133" s="67" t="b">
        <f t="shared" si="32"/>
        <v>0</v>
      </c>
      <c r="F133" s="44"/>
      <c r="G133" s="44" t="str">
        <f t="shared" si="29"/>
        <v/>
      </c>
      <c r="H133" s="122"/>
      <c r="I133" s="67"/>
      <c r="J133" s="44" t="str">
        <f t="shared" si="30"/>
        <v/>
      </c>
      <c r="K133" s="44"/>
      <c r="L133" s="44"/>
      <c r="M133" s="319"/>
      <c r="N133" s="4415"/>
      <c r="O133" s="4530"/>
      <c r="P133" s="205"/>
      <c r="Q133" s="847"/>
      <c r="R133" s="716"/>
      <c r="S133" s="44"/>
      <c r="T133" s="44"/>
      <c r="U133" s="122"/>
      <c r="V133" s="4415"/>
      <c r="W133" s="4500"/>
      <c r="X133" s="67"/>
      <c r="Y133" s="44"/>
      <c r="Z133" s="122"/>
      <c r="AU133" s="67"/>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68"/>
    </row>
    <row r="134" spans="1:84" s="28" customFormat="1" ht="29" x14ac:dyDescent="0.3">
      <c r="A134" s="81"/>
      <c r="B134" s="1490"/>
      <c r="C134" s="1812" t="s">
        <v>2018</v>
      </c>
      <c r="D134" s="319" t="s">
        <v>3</v>
      </c>
      <c r="E134" s="67" t="b">
        <f t="shared" si="32"/>
        <v>0</v>
      </c>
      <c r="F134" s="44"/>
      <c r="G134" s="44" t="str">
        <f t="shared" si="29"/>
        <v/>
      </c>
      <c r="H134" s="122"/>
      <c r="I134" s="67"/>
      <c r="J134" s="44" t="str">
        <f t="shared" si="30"/>
        <v/>
      </c>
      <c r="K134" s="44"/>
      <c r="L134" s="44"/>
      <c r="M134" s="319"/>
      <c r="N134" s="4415"/>
      <c r="O134" s="4530"/>
      <c r="P134" s="205"/>
      <c r="Q134" s="847"/>
      <c r="R134" s="716"/>
      <c r="S134" s="44"/>
      <c r="T134" s="44"/>
      <c r="U134" s="122"/>
      <c r="V134" s="4415"/>
      <c r="W134" s="4500"/>
      <c r="X134" s="67"/>
      <c r="Y134" s="44"/>
      <c r="Z134" s="122"/>
      <c r="AU134" s="67"/>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68"/>
    </row>
    <row r="135" spans="1:84" s="28" customFormat="1" ht="29" x14ac:dyDescent="0.3">
      <c r="A135" s="81"/>
      <c r="B135" s="1490"/>
      <c r="C135" s="1812" t="s">
        <v>2019</v>
      </c>
      <c r="D135" s="319" t="s">
        <v>3</v>
      </c>
      <c r="E135" s="67" t="b">
        <f t="shared" si="32"/>
        <v>0</v>
      </c>
      <c r="F135" s="44"/>
      <c r="G135" s="44" t="str">
        <f t="shared" si="29"/>
        <v/>
      </c>
      <c r="H135" s="122"/>
      <c r="I135" s="67"/>
      <c r="J135" s="44" t="str">
        <f t="shared" si="30"/>
        <v/>
      </c>
      <c r="K135" s="44"/>
      <c r="L135" s="44"/>
      <c r="M135" s="319"/>
      <c r="N135" s="4415"/>
      <c r="O135" s="4530"/>
      <c r="P135" s="205"/>
      <c r="Q135" s="847"/>
      <c r="R135" s="716"/>
      <c r="S135" s="44"/>
      <c r="T135" s="44"/>
      <c r="U135" s="122"/>
      <c r="V135" s="4415"/>
      <c r="W135" s="4500"/>
      <c r="X135" s="67"/>
      <c r="Y135" s="44"/>
      <c r="Z135" s="122"/>
      <c r="AU135" s="67"/>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68"/>
    </row>
    <row r="136" spans="1:84" s="28" customFormat="1" ht="29" x14ac:dyDescent="0.3">
      <c r="A136" s="81"/>
      <c r="B136" s="1490"/>
      <c r="C136" s="1812" t="s">
        <v>2020</v>
      </c>
      <c r="D136" s="319" t="s">
        <v>3</v>
      </c>
      <c r="E136" s="67" t="b">
        <f t="shared" si="32"/>
        <v>0</v>
      </c>
      <c r="F136" s="44"/>
      <c r="G136" s="44" t="str">
        <f t="shared" si="29"/>
        <v/>
      </c>
      <c r="H136" s="122"/>
      <c r="I136" s="67"/>
      <c r="J136" s="44" t="str">
        <f t="shared" si="30"/>
        <v/>
      </c>
      <c r="K136" s="44"/>
      <c r="L136" s="44"/>
      <c r="M136" s="319"/>
      <c r="N136" s="4415"/>
      <c r="O136" s="4530"/>
      <c r="P136" s="205"/>
      <c r="Q136" s="847"/>
      <c r="R136" s="716"/>
      <c r="S136" s="44"/>
      <c r="T136" s="44"/>
      <c r="U136" s="122"/>
      <c r="V136" s="4415"/>
      <c r="W136" s="4500"/>
      <c r="X136" s="67"/>
      <c r="Y136" s="44"/>
      <c r="Z136" s="122"/>
      <c r="AU136" s="67"/>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68"/>
    </row>
    <row r="137" spans="1:84" s="28" customFormat="1" ht="29" x14ac:dyDescent="0.3">
      <c r="A137" s="81"/>
      <c r="B137" s="1490"/>
      <c r="C137" s="1812" t="s">
        <v>2021</v>
      </c>
      <c r="D137" s="319" t="s">
        <v>3</v>
      </c>
      <c r="E137" s="67" t="b">
        <f t="shared" si="32"/>
        <v>0</v>
      </c>
      <c r="F137" s="44"/>
      <c r="G137" s="44" t="str">
        <f t="shared" si="29"/>
        <v/>
      </c>
      <c r="H137" s="122"/>
      <c r="I137" s="67"/>
      <c r="J137" s="44" t="str">
        <f t="shared" si="30"/>
        <v/>
      </c>
      <c r="K137" s="44"/>
      <c r="L137" s="44"/>
      <c r="M137" s="319"/>
      <c r="N137" s="4415"/>
      <c r="O137" s="4530"/>
      <c r="P137" s="205"/>
      <c r="Q137" s="847"/>
      <c r="R137" s="716"/>
      <c r="S137" s="44"/>
      <c r="T137" s="44"/>
      <c r="U137" s="122"/>
      <c r="V137" s="4415"/>
      <c r="W137" s="4500"/>
      <c r="X137" s="67"/>
      <c r="Y137" s="44"/>
      <c r="Z137" s="122"/>
      <c r="AU137" s="67"/>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68"/>
    </row>
    <row r="138" spans="1:84" s="28" customFormat="1" ht="29" x14ac:dyDescent="0.3">
      <c r="A138" s="81"/>
      <c r="B138" s="1490"/>
      <c r="C138" s="1812" t="s">
        <v>2022</v>
      </c>
      <c r="D138" s="319" t="s">
        <v>3</v>
      </c>
      <c r="E138" s="67" t="b">
        <f t="shared" si="32"/>
        <v>0</v>
      </c>
      <c r="F138" s="44"/>
      <c r="G138" s="44" t="str">
        <f t="shared" si="29"/>
        <v/>
      </c>
      <c r="H138" s="122"/>
      <c r="I138" s="67"/>
      <c r="J138" s="44" t="str">
        <f t="shared" si="30"/>
        <v/>
      </c>
      <c r="K138" s="44"/>
      <c r="L138" s="44"/>
      <c r="M138" s="319"/>
      <c r="N138" s="4415"/>
      <c r="O138" s="4530"/>
      <c r="P138" s="205"/>
      <c r="Q138" s="847"/>
      <c r="R138" s="716"/>
      <c r="S138" s="44"/>
      <c r="T138" s="44"/>
      <c r="U138" s="122"/>
      <c r="V138" s="4415"/>
      <c r="W138" s="4500"/>
      <c r="X138" s="67"/>
      <c r="Y138" s="44"/>
      <c r="Z138" s="122"/>
      <c r="AU138" s="67"/>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68"/>
    </row>
    <row r="139" spans="1:84" s="28" customFormat="1" ht="29" x14ac:dyDescent="0.3">
      <c r="A139" s="81"/>
      <c r="B139" s="1490"/>
      <c r="C139" s="1812" t="s">
        <v>2023</v>
      </c>
      <c r="D139" s="319" t="s">
        <v>3</v>
      </c>
      <c r="E139" s="67" t="b">
        <f t="shared" si="32"/>
        <v>0</v>
      </c>
      <c r="F139" s="44"/>
      <c r="G139" s="44" t="str">
        <f t="shared" si="29"/>
        <v/>
      </c>
      <c r="H139" s="122"/>
      <c r="I139" s="67"/>
      <c r="J139" s="44" t="str">
        <f t="shared" si="30"/>
        <v/>
      </c>
      <c r="K139" s="44"/>
      <c r="L139" s="44"/>
      <c r="M139" s="319"/>
      <c r="N139" s="4415"/>
      <c r="O139" s="4530"/>
      <c r="P139" s="205"/>
      <c r="Q139" s="847"/>
      <c r="R139" s="716"/>
      <c r="S139" s="44"/>
      <c r="T139" s="44"/>
      <c r="U139" s="122"/>
      <c r="V139" s="4415"/>
      <c r="W139" s="4500"/>
      <c r="X139" s="67"/>
      <c r="Y139" s="44"/>
      <c r="Z139" s="122"/>
      <c r="AU139" s="67"/>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68"/>
    </row>
    <row r="140" spans="1:84" s="28" customFormat="1" ht="29" x14ac:dyDescent="0.3">
      <c r="A140" s="81"/>
      <c r="B140" s="1490"/>
      <c r="C140" s="1812" t="s">
        <v>2024</v>
      </c>
      <c r="D140" s="319" t="s">
        <v>3</v>
      </c>
      <c r="E140" s="67" t="b">
        <f t="shared" si="32"/>
        <v>0</v>
      </c>
      <c r="F140" s="44"/>
      <c r="G140" s="44" t="str">
        <f t="shared" si="29"/>
        <v/>
      </c>
      <c r="H140" s="122"/>
      <c r="I140" s="67"/>
      <c r="J140" s="44" t="str">
        <f t="shared" si="30"/>
        <v/>
      </c>
      <c r="K140" s="44"/>
      <c r="L140" s="44"/>
      <c r="M140" s="319"/>
      <c r="N140" s="4415"/>
      <c r="O140" s="4530"/>
      <c r="P140" s="205"/>
      <c r="Q140" s="847"/>
      <c r="R140" s="716"/>
      <c r="S140" s="44"/>
      <c r="T140" s="44"/>
      <c r="U140" s="122"/>
      <c r="V140" s="4415"/>
      <c r="W140" s="4500"/>
      <c r="X140" s="67"/>
      <c r="Y140" s="44"/>
      <c r="Z140" s="122"/>
      <c r="AU140" s="67"/>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68"/>
    </row>
    <row r="141" spans="1:84" s="28" customFormat="1" ht="29" x14ac:dyDescent="0.3">
      <c r="A141" s="81"/>
      <c r="B141" s="1490"/>
      <c r="C141" s="1812" t="s">
        <v>2025</v>
      </c>
      <c r="D141" s="319" t="s">
        <v>3</v>
      </c>
      <c r="E141" s="67" t="b">
        <f t="shared" si="32"/>
        <v>0</v>
      </c>
      <c r="F141" s="44"/>
      <c r="G141" s="44" t="str">
        <f t="shared" si="29"/>
        <v/>
      </c>
      <c r="H141" s="122"/>
      <c r="I141" s="67"/>
      <c r="J141" s="44" t="str">
        <f t="shared" si="30"/>
        <v/>
      </c>
      <c r="K141" s="44"/>
      <c r="L141" s="44"/>
      <c r="M141" s="319"/>
      <c r="N141" s="4415"/>
      <c r="O141" s="4530"/>
      <c r="P141" s="205"/>
      <c r="Q141" s="847"/>
      <c r="R141" s="716"/>
      <c r="S141" s="44"/>
      <c r="T141" s="44"/>
      <c r="U141" s="122"/>
      <c r="V141" s="4415"/>
      <c r="W141" s="4500"/>
      <c r="X141" s="67"/>
      <c r="Y141" s="44"/>
      <c r="Z141" s="122"/>
      <c r="AU141" s="67"/>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68"/>
    </row>
    <row r="142" spans="1:84" s="28" customFormat="1" ht="29" x14ac:dyDescent="0.3">
      <c r="A142" s="81"/>
      <c r="B142" s="1490"/>
      <c r="C142" s="1812" t="s">
        <v>2026</v>
      </c>
      <c r="D142" s="319" t="s">
        <v>3</v>
      </c>
      <c r="E142" s="67" t="b">
        <f t="shared" si="32"/>
        <v>0</v>
      </c>
      <c r="F142" s="44"/>
      <c r="G142" s="44" t="str">
        <f t="shared" si="29"/>
        <v/>
      </c>
      <c r="H142" s="122"/>
      <c r="I142" s="67"/>
      <c r="J142" s="44" t="str">
        <f t="shared" si="30"/>
        <v/>
      </c>
      <c r="K142" s="44"/>
      <c r="L142" s="44"/>
      <c r="M142" s="319"/>
      <c r="N142" s="4415"/>
      <c r="O142" s="4530"/>
      <c r="P142" s="205"/>
      <c r="Q142" s="847"/>
      <c r="R142" s="716"/>
      <c r="S142" s="44"/>
      <c r="T142" s="44"/>
      <c r="U142" s="122"/>
      <c r="V142" s="4415"/>
      <c r="W142" s="4500"/>
      <c r="X142" s="67"/>
      <c r="Y142" s="44"/>
      <c r="Z142" s="122"/>
      <c r="AU142" s="67"/>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68"/>
    </row>
    <row r="143" spans="1:84" s="28" customFormat="1" ht="29.5" thickBot="1" x14ac:dyDescent="0.35">
      <c r="A143" s="81"/>
      <c r="B143" s="1490"/>
      <c r="C143" s="1818" t="s">
        <v>2027</v>
      </c>
      <c r="D143" s="319" t="s">
        <v>3</v>
      </c>
      <c r="E143" s="123" t="b">
        <f t="shared" si="32"/>
        <v>0</v>
      </c>
      <c r="F143" s="124"/>
      <c r="G143" s="124" t="str">
        <f t="shared" si="29"/>
        <v/>
      </c>
      <c r="H143" s="125"/>
      <c r="I143" s="161"/>
      <c r="J143" s="124" t="str">
        <f t="shared" si="30"/>
        <v/>
      </c>
      <c r="K143" s="124"/>
      <c r="L143" s="125"/>
      <c r="M143" s="230"/>
      <c r="N143" s="4416"/>
      <c r="O143" s="4531"/>
      <c r="P143" s="590"/>
      <c r="Q143" s="1380"/>
      <c r="R143" s="716"/>
      <c r="S143" s="79"/>
      <c r="T143" s="124"/>
      <c r="U143" s="125"/>
      <c r="V143" s="4416"/>
      <c r="W143" s="4500"/>
      <c r="X143" s="78"/>
      <c r="Y143" s="124"/>
      <c r="Z143" s="127"/>
      <c r="AU143" s="67"/>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68"/>
    </row>
    <row r="144" spans="1:84" s="28" customFormat="1" ht="27.65" customHeight="1" thickTop="1" x14ac:dyDescent="0.3">
      <c r="A144" s="81" t="s">
        <v>2202</v>
      </c>
      <c r="B144" s="1645" t="s">
        <v>2028</v>
      </c>
      <c r="C144" s="2822" t="s">
        <v>2266</v>
      </c>
      <c r="D144" s="1489" t="s">
        <v>565</v>
      </c>
      <c r="E144" s="978" t="b">
        <f>IF(AND(E145=TRUE,E146=TRUE,E147=TRUE,E148=TRUE,E149=TRUE,E150=TRUE,E151=TRUE,E152=TRUE,E153=TRUE,E155=TRUE),TRUE,FALSE)</f>
        <v>0</v>
      </c>
      <c r="F144" s="979">
        <f>COUNTIF(E145:E154,TRUE)</f>
        <v>0</v>
      </c>
      <c r="G144" s="979">
        <f>COUNTIFS(E145:E154,TRUE,G145:G154,"Not Blank")</f>
        <v>0</v>
      </c>
      <c r="H144" s="199">
        <f>COUNTIFS(E145:E154,FALSE,G145:G154,"Not Blank")</f>
        <v>0</v>
      </c>
      <c r="I144" s="1922" t="str">
        <f xml:space="preserve">
IF(F144&gt;10,"Too Many Entries - Check Red Lines",
IF(AND(E144=FALSE,G144=0,H144=0,E100=TRUE),"Nothing Required Below",
IF(G144&lt;F144,"Valid Entry required below - Check Amber Line/s",
IF(AND(E144=FALSE,G144=0,H144=0),"Nothing Entered below Yet",
IF(G144&lt;F144,"Valid Entry required below - Check Amber Line/s",
IF(AND(G144=0,H144&gt;0),"**Non-Valid Entry/ies below - Check Yellow Line/s",
IF(AND(G144&gt;0,H144&gt;0),"**Valid and Non-Valid Entries made below - Check Yellow Line/s",
IF(AND(E144=FALSE,F144&lt;10),"Not all requirements addressed below - Check Pink Line/s",
IF(AND(E144=FALSE,G144&lt;10,G144&gt;0,H144=0),"More entries to come",
IF(AND(E144,TRUE,G144=10,H144=0),"Valid Entries made below"
))))))))))</f>
        <v>Nothing Entered below Yet</v>
      </c>
      <c r="J144" s="1647">
        <f>COUNTIFS(E145:E154,TRUE,J145:J154,"Not Blank")</f>
        <v>0</v>
      </c>
      <c r="K144" s="1647">
        <f>COUNTIFS(E145:E154,FALSE,J145:J154,"Not Blank")</f>
        <v>0</v>
      </c>
      <c r="L144" s="1702" t="str">
        <f xml:space="preserve">
IF(J144&gt;10,"Too Many Entries - Check Red Lines",
IF(AND(E144=FALSE,J144=0,K144=0,E144=TRUE),"Nothing Required Below",
IF(J144&lt;F144,"Valid Entry required below - Check Amber Line/s",
IF(AND(E144=FALSE,J144=0,K144=0),"Nothing Entered below Yet",
IF(AND(J144=0,K144&gt;0),"**Non-Valid Entry/ies below - Check Yellow Line/s",
IF(AND(J144&gt;0,K144&gt;0),"**Valid and Non-Valid Entries made below - Check Yellow Line/s",
IF(AND(E144=FALSE,J144&lt;10),"Not all requirements addressed below - Check Pink Line/s",
IF(AND(E144=FALSE,J144&lt;10,J144&gt;0,K144=0),"More entries to come",
IF(AND(E144,TRUE,J144=10,K144=0),"Valid Entries made below"
)))))))))</f>
        <v>Nothing Entered below Yet</v>
      </c>
      <c r="M144" s="1013"/>
      <c r="N144" s="4415" t="s">
        <v>3</v>
      </c>
      <c r="O144" s="4530" t="b">
        <f>IF(OR(N144="Compliant",N144="FE with work-a-round",N144="Functionally Equivalent"),TRUE,FALSE)</f>
        <v>0</v>
      </c>
      <c r="P144" s="497"/>
      <c r="Q144" s="702" t="s">
        <v>565</v>
      </c>
      <c r="R144" s="1444" t="e">
        <f>IF(AND(R145=TRUE,R146=TRUE,R147=TRUE,R148=TRUE,R149=TRUE,R150=TRUE,R151=TRUE,R152=TRUE,R153=TRUE,#REF!=TRUE,#REF!=TRUE,#REF!=TRUE,#REF!=TRUE,#REF!=TRUE,#REF!=TRUE,#REF!=TRUE,#REF!=TRUE,#REF!=TRUE,#REF!=TRUE,#REF!=TRUE,#REF!=TRUE,R155=TRUE),TRUE,FALSE)</f>
        <v>#REF!</v>
      </c>
      <c r="S144" s="111"/>
      <c r="T144" s="42"/>
      <c r="U144" s="128"/>
      <c r="V144" s="4414" t="s">
        <v>3</v>
      </c>
      <c r="W144" s="4500" t="b">
        <f>IF(OR(V144="Compliant",V144="FE with work-a-round",V144="Functionally Equivalent",V144="Not Required/Applicable"),TRUE,FALSE)</f>
        <v>0</v>
      </c>
      <c r="X144" s="111"/>
      <c r="Y144" s="42"/>
      <c r="Z144" s="120"/>
      <c r="AU144" s="67"/>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68"/>
    </row>
    <row r="145" spans="1:84" s="28" customFormat="1" ht="29" x14ac:dyDescent="0.3">
      <c r="A145" s="81"/>
      <c r="B145" s="1490"/>
      <c r="C145" s="1812" t="s">
        <v>2030</v>
      </c>
      <c r="D145" s="319" t="s">
        <v>3</v>
      </c>
      <c r="E145" s="67" t="b">
        <f t="shared" ref="E145:E155" si="34">IF(D145="Compliant",TRUE,FALSE)</f>
        <v>0</v>
      </c>
      <c r="F145" s="44"/>
      <c r="G145" s="44" t="str">
        <f t="shared" ref="G145:G155" si="35">IF(I145&lt;&gt;"", "Not Blank", "")</f>
        <v/>
      </c>
      <c r="H145" s="122"/>
      <c r="I145" s="67"/>
      <c r="J145" s="44" t="str">
        <f t="shared" si="30"/>
        <v/>
      </c>
      <c r="K145" s="44"/>
      <c r="L145" s="44"/>
      <c r="M145" s="319"/>
      <c r="N145" s="4415"/>
      <c r="O145" s="4530"/>
      <c r="P145" s="205"/>
      <c r="Q145" s="847" t="s">
        <v>3</v>
      </c>
      <c r="R145" s="717" t="b">
        <f>IF(OR(Q145="Compliant",Q145="FE with work-a-round",Q145="Functionally Equivalent"),TRUE,FALSE)</f>
        <v>0</v>
      </c>
      <c r="S145" s="44"/>
      <c r="T145" s="44"/>
      <c r="U145" s="122"/>
      <c r="V145" s="4415"/>
      <c r="W145" s="4500"/>
      <c r="X145" s="67"/>
      <c r="Y145" s="44"/>
      <c r="Z145" s="122"/>
      <c r="AU145" s="67"/>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68"/>
    </row>
    <row r="146" spans="1:84" s="28" customFormat="1" ht="29" x14ac:dyDescent="0.3">
      <c r="A146" s="81"/>
      <c r="B146" s="1490"/>
      <c r="C146" s="1812" t="s">
        <v>2031</v>
      </c>
      <c r="D146" s="319" t="s">
        <v>3</v>
      </c>
      <c r="E146" s="67" t="b">
        <f t="shared" si="34"/>
        <v>0</v>
      </c>
      <c r="F146" s="44"/>
      <c r="G146" s="44" t="str">
        <f t="shared" si="35"/>
        <v/>
      </c>
      <c r="H146" s="122"/>
      <c r="I146" s="67"/>
      <c r="J146" s="44" t="str">
        <f t="shared" si="30"/>
        <v/>
      </c>
      <c r="K146" s="44"/>
      <c r="L146" s="44"/>
      <c r="M146" s="319"/>
      <c r="N146" s="4415"/>
      <c r="O146" s="4530"/>
      <c r="P146" s="205"/>
      <c r="Q146" s="847" t="s">
        <v>3</v>
      </c>
      <c r="R146" s="716" t="b">
        <f t="shared" ref="R146:R155" si="36">IF(OR(Q146="Compliant",Q146="FE with work-a-round",Q146="Functionally Equivalent"),TRUE,FALSE)</f>
        <v>0</v>
      </c>
      <c r="S146" s="44"/>
      <c r="T146" s="44"/>
      <c r="U146" s="122"/>
      <c r="V146" s="4415"/>
      <c r="W146" s="4500"/>
      <c r="X146" s="67"/>
      <c r="Y146" s="44"/>
      <c r="Z146" s="122"/>
      <c r="AU146" s="67"/>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68"/>
    </row>
    <row r="147" spans="1:84" s="28" customFormat="1" ht="29" x14ac:dyDescent="0.3">
      <c r="A147" s="81"/>
      <c r="B147" s="1490"/>
      <c r="C147" s="1812" t="s">
        <v>2032</v>
      </c>
      <c r="D147" s="319" t="s">
        <v>3</v>
      </c>
      <c r="E147" s="67" t="b">
        <f t="shared" si="34"/>
        <v>0</v>
      </c>
      <c r="F147" s="44"/>
      <c r="G147" s="44" t="str">
        <f t="shared" si="35"/>
        <v/>
      </c>
      <c r="H147" s="122"/>
      <c r="I147" s="67"/>
      <c r="J147" s="44" t="str">
        <f t="shared" si="30"/>
        <v/>
      </c>
      <c r="K147" s="44"/>
      <c r="L147" s="44"/>
      <c r="M147" s="319"/>
      <c r="N147" s="4415"/>
      <c r="O147" s="4530"/>
      <c r="P147" s="205"/>
      <c r="Q147" s="847" t="s">
        <v>3</v>
      </c>
      <c r="R147" s="716" t="b">
        <f t="shared" si="36"/>
        <v>0</v>
      </c>
      <c r="S147" s="44"/>
      <c r="T147" s="44"/>
      <c r="U147" s="122"/>
      <c r="V147" s="4415"/>
      <c r="W147" s="4500"/>
      <c r="X147" s="67"/>
      <c r="Y147" s="44"/>
      <c r="Z147" s="122"/>
      <c r="AU147" s="67"/>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68"/>
    </row>
    <row r="148" spans="1:84" s="28" customFormat="1" ht="43.5" x14ac:dyDescent="0.3">
      <c r="A148" s="81"/>
      <c r="B148" s="1490"/>
      <c r="C148" s="1812" t="s">
        <v>2033</v>
      </c>
      <c r="D148" s="319" t="s">
        <v>3</v>
      </c>
      <c r="E148" s="67" t="b">
        <f t="shared" si="34"/>
        <v>0</v>
      </c>
      <c r="F148" s="44"/>
      <c r="G148" s="44" t="str">
        <f t="shared" si="35"/>
        <v/>
      </c>
      <c r="H148" s="122"/>
      <c r="I148" s="67"/>
      <c r="J148" s="44" t="str">
        <f t="shared" si="30"/>
        <v/>
      </c>
      <c r="K148" s="44"/>
      <c r="L148" s="44"/>
      <c r="M148" s="319"/>
      <c r="N148" s="4415"/>
      <c r="O148" s="4530"/>
      <c r="P148" s="205"/>
      <c r="Q148" s="847" t="s">
        <v>3</v>
      </c>
      <c r="R148" s="716" t="b">
        <f t="shared" si="36"/>
        <v>0</v>
      </c>
      <c r="S148" s="44"/>
      <c r="T148" s="44"/>
      <c r="U148" s="122"/>
      <c r="V148" s="4415"/>
      <c r="W148" s="4500"/>
      <c r="X148" s="67"/>
      <c r="Y148" s="44"/>
      <c r="Z148" s="122"/>
      <c r="AU148" s="67"/>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68"/>
    </row>
    <row r="149" spans="1:84" s="28" customFormat="1" ht="29" x14ac:dyDescent="0.3">
      <c r="A149" s="81"/>
      <c r="B149" s="1490"/>
      <c r="C149" s="1812" t="s">
        <v>2034</v>
      </c>
      <c r="D149" s="319" t="s">
        <v>3</v>
      </c>
      <c r="E149" s="67" t="b">
        <f t="shared" si="34"/>
        <v>0</v>
      </c>
      <c r="F149" s="44"/>
      <c r="G149" s="44" t="str">
        <f t="shared" si="35"/>
        <v/>
      </c>
      <c r="H149" s="122"/>
      <c r="I149" s="67"/>
      <c r="J149" s="44" t="str">
        <f t="shared" si="30"/>
        <v/>
      </c>
      <c r="K149" s="44"/>
      <c r="L149" s="44"/>
      <c r="M149" s="319"/>
      <c r="N149" s="4415"/>
      <c r="O149" s="4530"/>
      <c r="P149" s="205"/>
      <c r="Q149" s="847" t="s">
        <v>3</v>
      </c>
      <c r="R149" s="716" t="b">
        <f t="shared" si="36"/>
        <v>0</v>
      </c>
      <c r="S149" s="44"/>
      <c r="T149" s="44"/>
      <c r="U149" s="122"/>
      <c r="V149" s="4415"/>
      <c r="W149" s="4500"/>
      <c r="X149" s="67"/>
      <c r="Y149" s="44"/>
      <c r="Z149" s="122"/>
      <c r="AU149" s="67"/>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68"/>
    </row>
    <row r="150" spans="1:84" s="28" customFormat="1" ht="43.5" x14ac:dyDescent="0.3">
      <c r="A150" s="81"/>
      <c r="B150" s="1490"/>
      <c r="C150" s="1812" t="s">
        <v>2035</v>
      </c>
      <c r="D150" s="319" t="s">
        <v>3</v>
      </c>
      <c r="E150" s="67" t="b">
        <f t="shared" si="34"/>
        <v>0</v>
      </c>
      <c r="F150" s="44"/>
      <c r="G150" s="44" t="str">
        <f t="shared" si="35"/>
        <v/>
      </c>
      <c r="H150" s="122"/>
      <c r="I150" s="67"/>
      <c r="J150" s="44" t="str">
        <f t="shared" si="30"/>
        <v/>
      </c>
      <c r="K150" s="44"/>
      <c r="L150" s="44"/>
      <c r="M150" s="319"/>
      <c r="N150" s="4415"/>
      <c r="O150" s="4530"/>
      <c r="P150" s="205"/>
      <c r="Q150" s="847" t="s">
        <v>3</v>
      </c>
      <c r="R150" s="716" t="b">
        <f t="shared" si="36"/>
        <v>0</v>
      </c>
      <c r="S150" s="44"/>
      <c r="T150" s="44"/>
      <c r="U150" s="122"/>
      <c r="V150" s="4415"/>
      <c r="W150" s="4500"/>
      <c r="X150" s="67"/>
      <c r="Y150" s="44"/>
      <c r="Z150" s="122"/>
      <c r="AU150" s="67"/>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68"/>
    </row>
    <row r="151" spans="1:84" s="28" customFormat="1" ht="29" x14ac:dyDescent="0.3">
      <c r="A151" s="81"/>
      <c r="B151" s="1490"/>
      <c r="C151" s="1812" t="s">
        <v>2036</v>
      </c>
      <c r="D151" s="319" t="s">
        <v>3</v>
      </c>
      <c r="E151" s="67" t="b">
        <f t="shared" si="34"/>
        <v>0</v>
      </c>
      <c r="F151" s="44"/>
      <c r="G151" s="44" t="str">
        <f t="shared" si="35"/>
        <v/>
      </c>
      <c r="H151" s="122"/>
      <c r="I151" s="67"/>
      <c r="J151" s="44" t="str">
        <f t="shared" si="30"/>
        <v/>
      </c>
      <c r="K151" s="44"/>
      <c r="L151" s="44"/>
      <c r="M151" s="319"/>
      <c r="N151" s="4415"/>
      <c r="O151" s="4530"/>
      <c r="P151" s="205"/>
      <c r="Q151" s="847" t="s">
        <v>3</v>
      </c>
      <c r="R151" s="716" t="b">
        <f t="shared" si="36"/>
        <v>0</v>
      </c>
      <c r="S151" s="44"/>
      <c r="T151" s="44"/>
      <c r="U151" s="122"/>
      <c r="V151" s="4415"/>
      <c r="W151" s="4500"/>
      <c r="X151" s="67"/>
      <c r="Y151" s="44"/>
      <c r="Z151" s="122"/>
      <c r="AU151" s="67"/>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68"/>
    </row>
    <row r="152" spans="1:84" s="28" customFormat="1" ht="29" x14ac:dyDescent="0.3">
      <c r="A152" s="81"/>
      <c r="B152" s="1490"/>
      <c r="C152" s="1812" t="s">
        <v>2037</v>
      </c>
      <c r="D152" s="319" t="s">
        <v>3</v>
      </c>
      <c r="E152" s="67" t="b">
        <f t="shared" si="34"/>
        <v>0</v>
      </c>
      <c r="F152" s="44"/>
      <c r="G152" s="44" t="str">
        <f t="shared" si="35"/>
        <v/>
      </c>
      <c r="H152" s="122"/>
      <c r="I152" s="67"/>
      <c r="J152" s="44" t="str">
        <f t="shared" si="30"/>
        <v/>
      </c>
      <c r="K152" s="44"/>
      <c r="L152" s="44"/>
      <c r="M152" s="319"/>
      <c r="N152" s="4415"/>
      <c r="O152" s="4530"/>
      <c r="P152" s="205"/>
      <c r="Q152" s="847" t="s">
        <v>3</v>
      </c>
      <c r="R152" s="716" t="b">
        <f t="shared" si="36"/>
        <v>0</v>
      </c>
      <c r="S152" s="44"/>
      <c r="T152" s="44"/>
      <c r="U152" s="122"/>
      <c r="V152" s="4415"/>
      <c r="W152" s="4500"/>
      <c r="X152" s="67"/>
      <c r="Y152" s="44"/>
      <c r="Z152" s="122"/>
      <c r="AU152" s="67"/>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68"/>
    </row>
    <row r="153" spans="1:84" s="28" customFormat="1" ht="29" x14ac:dyDescent="0.3">
      <c r="A153" s="81"/>
      <c r="B153" s="1490"/>
      <c r="C153" s="1812" t="s">
        <v>2038</v>
      </c>
      <c r="D153" s="319" t="s">
        <v>3</v>
      </c>
      <c r="E153" s="67" t="b">
        <f t="shared" si="34"/>
        <v>0</v>
      </c>
      <c r="F153" s="44"/>
      <c r="G153" s="44" t="str">
        <f t="shared" si="35"/>
        <v/>
      </c>
      <c r="H153" s="122"/>
      <c r="I153" s="67"/>
      <c r="J153" s="44" t="str">
        <f t="shared" si="30"/>
        <v/>
      </c>
      <c r="K153" s="44"/>
      <c r="L153" s="44"/>
      <c r="M153" s="319"/>
      <c r="N153" s="4415"/>
      <c r="O153" s="4530"/>
      <c r="P153" s="205"/>
      <c r="Q153" s="847" t="s">
        <v>3</v>
      </c>
      <c r="R153" s="716" t="b">
        <f t="shared" si="36"/>
        <v>0</v>
      </c>
      <c r="S153" s="44"/>
      <c r="T153" s="44"/>
      <c r="U153" s="122"/>
      <c r="V153" s="4415"/>
      <c r="W153" s="4500"/>
      <c r="X153" s="67"/>
      <c r="Y153" s="44"/>
      <c r="Z153" s="122"/>
      <c r="AU153" s="67"/>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68"/>
    </row>
    <row r="154" spans="1:84" s="28" customFormat="1" ht="29.5" thickBot="1" x14ac:dyDescent="0.35">
      <c r="A154" s="81"/>
      <c r="B154" s="2850"/>
      <c r="C154" s="1814" t="s">
        <v>2039</v>
      </c>
      <c r="D154" s="849" t="s">
        <v>3</v>
      </c>
      <c r="E154" s="161" t="b">
        <f t="shared" ref="E154" si="37">IF(D154="Compliant",TRUE,FALSE)</f>
        <v>0</v>
      </c>
      <c r="F154" s="124"/>
      <c r="G154" s="124" t="str">
        <f t="shared" ref="G154" si="38">IF(I154&lt;&gt;"", "Not Blank", "")</f>
        <v/>
      </c>
      <c r="H154" s="125"/>
      <c r="I154" s="161"/>
      <c r="J154" s="124" t="str">
        <f t="shared" si="30"/>
        <v/>
      </c>
      <c r="K154" s="124"/>
      <c r="L154" s="79"/>
      <c r="M154" s="230"/>
      <c r="N154" s="4415"/>
      <c r="O154" s="4530"/>
      <c r="P154" s="206"/>
      <c r="Q154" s="1380"/>
      <c r="R154" s="717"/>
      <c r="S154" s="124"/>
      <c r="T154" s="124"/>
      <c r="U154" s="125"/>
      <c r="V154" s="4415"/>
      <c r="W154" s="4500"/>
      <c r="X154" s="124"/>
      <c r="Y154" s="124"/>
      <c r="Z154" s="125"/>
      <c r="AU154" s="67"/>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68"/>
    </row>
    <row r="155" spans="1:84" s="28" customFormat="1" ht="131.5" thickTop="1" thickBot="1" x14ac:dyDescent="0.35">
      <c r="A155" s="81"/>
      <c r="B155" s="1491" t="s">
        <v>2253</v>
      </c>
      <c r="C155" s="1814" t="s">
        <v>2254</v>
      </c>
      <c r="D155" s="102" t="s">
        <v>3</v>
      </c>
      <c r="E155" s="161" t="b">
        <f t="shared" si="34"/>
        <v>0</v>
      </c>
      <c r="F155" s="124"/>
      <c r="G155" s="124" t="str">
        <f t="shared" si="35"/>
        <v/>
      </c>
      <c r="H155" s="125"/>
      <c r="I155" s="706"/>
      <c r="J155" s="124" t="str">
        <f t="shared" si="30"/>
        <v/>
      </c>
      <c r="K155" s="42"/>
      <c r="L155" s="134"/>
      <c r="M155" s="894"/>
      <c r="N155" s="4416"/>
      <c r="O155" s="4531"/>
      <c r="P155" s="102"/>
      <c r="Q155" s="925" t="s">
        <v>3</v>
      </c>
      <c r="R155" s="921" t="b">
        <f t="shared" si="36"/>
        <v>0</v>
      </c>
      <c r="S155" s="160"/>
      <c r="T155" s="160"/>
      <c r="U155" s="135"/>
      <c r="V155" s="1139"/>
      <c r="W155" s="4501"/>
      <c r="X155" s="706"/>
      <c r="Y155" s="160"/>
      <c r="Z155" s="135"/>
      <c r="AU155" s="67"/>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68"/>
    </row>
    <row r="156" spans="1:84" s="3634" customFormat="1" ht="15" thickTop="1" x14ac:dyDescent="0.3">
      <c r="A156" s="3679"/>
      <c r="B156" s="4049"/>
      <c r="D156" s="4049"/>
      <c r="K156" s="3729"/>
      <c r="L156" s="3729"/>
      <c r="V156" s="3692"/>
      <c r="W156" s="3992"/>
      <c r="X156" s="3729"/>
      <c r="Y156" s="3729"/>
      <c r="AS156" s="3680"/>
      <c r="AT156" s="3681"/>
      <c r="AU156" s="3681"/>
      <c r="AV156" s="3681"/>
      <c r="AW156" s="3681"/>
      <c r="AX156" s="3681"/>
      <c r="AY156" s="3681"/>
      <c r="AZ156" s="3681"/>
      <c r="BA156" s="3681"/>
      <c r="BB156" s="3681"/>
      <c r="BC156" s="3681"/>
      <c r="BD156" s="3681"/>
      <c r="BE156" s="3681"/>
      <c r="BF156" s="3681"/>
      <c r="BG156" s="3681"/>
      <c r="BH156" s="3681"/>
      <c r="BI156" s="3681"/>
      <c r="BJ156" s="3681"/>
      <c r="BK156" s="3681"/>
      <c r="BL156" s="3681"/>
      <c r="BM156" s="3681"/>
      <c r="BN156" s="3681"/>
      <c r="BO156" s="3681"/>
      <c r="BP156" s="3681"/>
      <c r="BQ156" s="3681"/>
      <c r="BR156" s="3681"/>
      <c r="BS156" s="3681"/>
      <c r="BT156" s="3681"/>
      <c r="BU156" s="3681"/>
      <c r="BV156" s="3681"/>
      <c r="BW156" s="3681"/>
      <c r="BX156" s="3681"/>
      <c r="BY156" s="3681"/>
      <c r="BZ156" s="3681"/>
      <c r="CA156" s="3681"/>
      <c r="CB156" s="3681"/>
      <c r="CC156" s="3681"/>
      <c r="CD156" s="3681"/>
      <c r="CE156" s="3681"/>
      <c r="CF156" s="3682"/>
    </row>
    <row r="157" spans="1:84" s="4020" customFormat="1" ht="18.649999999999999" customHeight="1" x14ac:dyDescent="0.3">
      <c r="A157" s="4482" t="s">
        <v>1245</v>
      </c>
      <c r="B157" s="4483"/>
      <c r="C157" s="4483"/>
      <c r="D157" s="4483"/>
      <c r="E157" s="4483"/>
      <c r="F157" s="4483"/>
      <c r="G157" s="4483"/>
      <c r="H157" s="4483"/>
      <c r="I157" s="4483"/>
      <c r="J157" s="4483"/>
      <c r="K157" s="4483"/>
      <c r="L157" s="4483"/>
      <c r="M157" s="4483"/>
      <c r="N157" s="4483"/>
      <c r="O157" s="3669"/>
      <c r="P157" s="3683"/>
      <c r="Q157" s="3683"/>
      <c r="R157" s="3683"/>
      <c r="S157" s="3684"/>
      <c r="T157" s="3685"/>
      <c r="U157" s="3685"/>
      <c r="V157" s="3669"/>
      <c r="W157" s="3882"/>
      <c r="X157" s="3683"/>
      <c r="Y157" s="3684"/>
      <c r="Z157" s="3685"/>
    </row>
    <row r="158" spans="1:84" s="3634" customFormat="1" ht="15" thickBot="1" x14ac:dyDescent="0.35">
      <c r="A158" s="3638"/>
      <c r="B158" s="3638"/>
      <c r="C158" s="3638"/>
      <c r="D158" s="3638"/>
      <c r="E158" s="3638"/>
      <c r="F158" s="3638"/>
      <c r="G158" s="3638"/>
      <c r="H158" s="3638"/>
      <c r="I158" s="3638"/>
      <c r="J158" s="3638"/>
      <c r="K158" s="3638"/>
      <c r="L158" s="3740"/>
      <c r="M158" s="3638"/>
      <c r="N158" s="3638"/>
      <c r="V158" s="3635"/>
      <c r="W158" s="3636"/>
      <c r="AS158" s="3687"/>
      <c r="AT158" s="3688"/>
      <c r="AU158" s="3688"/>
      <c r="AV158" s="3688"/>
      <c r="AW158" s="3688"/>
      <c r="AX158" s="3688"/>
      <c r="AY158" s="3688"/>
      <c r="AZ158" s="3688"/>
      <c r="BA158" s="3688"/>
      <c r="BB158" s="3688"/>
      <c r="BC158" s="3688"/>
      <c r="BD158" s="3688"/>
      <c r="BE158" s="3688"/>
      <c r="BF158" s="3688"/>
      <c r="BG158" s="3688"/>
      <c r="BH158" s="3688"/>
      <c r="BI158" s="3688"/>
      <c r="BJ158" s="3688"/>
      <c r="BK158" s="3688"/>
      <c r="BL158" s="3688"/>
      <c r="BM158" s="3688"/>
      <c r="BN158" s="3688"/>
      <c r="BO158" s="3688"/>
      <c r="BP158" s="3688"/>
      <c r="BQ158" s="3688"/>
      <c r="BR158" s="3688"/>
      <c r="BS158" s="3688"/>
      <c r="BT158" s="3688"/>
      <c r="BU158" s="3688"/>
      <c r="BV158" s="3688"/>
      <c r="BW158" s="3688"/>
      <c r="BX158" s="3688"/>
      <c r="BY158" s="3688"/>
      <c r="BZ158" s="3688"/>
      <c r="CA158" s="3688"/>
      <c r="CB158" s="3688"/>
      <c r="CC158" s="3688"/>
      <c r="CD158" s="3688"/>
      <c r="CE158" s="3688"/>
      <c r="CF158" s="3689"/>
    </row>
    <row r="159" spans="1:84" s="3633" customFormat="1" ht="15" thickTop="1" x14ac:dyDescent="0.3">
      <c r="A159" s="3634"/>
      <c r="B159" s="3634" t="s">
        <v>2194</v>
      </c>
      <c r="C159" s="3634"/>
      <c r="D159" s="3634"/>
      <c r="H159" s="3634"/>
      <c r="I159" s="3652"/>
      <c r="J159" s="3652"/>
      <c r="K159" s="3652"/>
      <c r="L159" s="3652"/>
      <c r="M159" s="3652"/>
      <c r="N159" s="3652"/>
      <c r="O159" s="3652"/>
      <c r="P159" s="3652"/>
      <c r="Q159" s="3652"/>
      <c r="R159" s="3652"/>
      <c r="S159" s="3652"/>
      <c r="T159" s="3652"/>
      <c r="W159" s="3663"/>
    </row>
    <row r="160" spans="1:84" x14ac:dyDescent="0.3">
      <c r="D160" s="28"/>
      <c r="E160" s="28"/>
      <c r="F160" s="28"/>
      <c r="G160" s="28"/>
      <c r="H160" s="28"/>
    </row>
    <row r="161" spans="4:8" x14ac:dyDescent="0.3">
      <c r="D161" s="28"/>
      <c r="E161" s="28"/>
      <c r="F161" s="28"/>
      <c r="G161" s="28"/>
      <c r="H161" s="28"/>
    </row>
    <row r="162" spans="4:8" x14ac:dyDescent="0.3">
      <c r="D162" s="28"/>
      <c r="E162" s="28"/>
      <c r="F162" s="28"/>
      <c r="G162" s="28"/>
      <c r="H162" s="28"/>
    </row>
    <row r="163" spans="4:8" x14ac:dyDescent="0.3">
      <c r="D163" s="28"/>
    </row>
    <row r="164" spans="4:8" x14ac:dyDescent="0.3">
      <c r="D164" s="28"/>
      <c r="E164" s="28"/>
      <c r="F164" s="28"/>
      <c r="G164" s="28"/>
      <c r="H164" s="28"/>
    </row>
    <row r="165" spans="4:8" x14ac:dyDescent="0.3">
      <c r="D165" s="28"/>
      <c r="E165" s="28"/>
      <c r="F165" s="28"/>
      <c r="G165" s="28"/>
      <c r="H165" s="28"/>
    </row>
    <row r="166" spans="4:8" x14ac:dyDescent="0.3">
      <c r="D166" s="28"/>
      <c r="E166" s="28"/>
      <c r="F166" s="28"/>
      <c r="G166" s="28"/>
      <c r="H166" s="28"/>
    </row>
    <row r="167" spans="4:8" x14ac:dyDescent="0.3">
      <c r="D167" s="28"/>
      <c r="E167" s="28"/>
      <c r="F167" s="28"/>
      <c r="G167" s="28"/>
      <c r="H167" s="28"/>
    </row>
    <row r="168" spans="4:8" x14ac:dyDescent="0.3">
      <c r="D168" s="28"/>
      <c r="E168" s="28"/>
      <c r="F168" s="28"/>
      <c r="G168" s="28"/>
      <c r="H168" s="28"/>
    </row>
    <row r="169" spans="4:8" x14ac:dyDescent="0.3">
      <c r="D169" s="28"/>
      <c r="E169" s="28"/>
      <c r="F169" s="28"/>
      <c r="G169" s="28"/>
      <c r="H169" s="28"/>
    </row>
    <row r="170" spans="4:8" x14ac:dyDescent="0.3">
      <c r="D170" s="28"/>
      <c r="E170" s="28"/>
      <c r="F170" s="28"/>
      <c r="G170" s="28"/>
      <c r="H170" s="28"/>
    </row>
    <row r="171" spans="4:8" x14ac:dyDescent="0.3">
      <c r="D171" s="28"/>
      <c r="E171" s="28"/>
      <c r="F171" s="28"/>
      <c r="G171" s="28"/>
      <c r="H171" s="28"/>
    </row>
    <row r="172" spans="4:8" x14ac:dyDescent="0.3">
      <c r="D172" s="28"/>
      <c r="E172" s="28"/>
      <c r="F172" s="28"/>
      <c r="G172" s="28"/>
      <c r="H172" s="28"/>
    </row>
    <row r="173" spans="4:8" x14ac:dyDescent="0.3">
      <c r="D173" s="28"/>
      <c r="E173" s="28"/>
      <c r="F173" s="28"/>
      <c r="G173" s="28"/>
    </row>
    <row r="174" spans="4:8" x14ac:dyDescent="0.3">
      <c r="D174" s="28"/>
      <c r="E174" s="28"/>
      <c r="F174" s="28"/>
      <c r="G174" s="28"/>
      <c r="H174" s="28"/>
    </row>
    <row r="175" spans="4:8" x14ac:dyDescent="0.3">
      <c r="D175" s="28"/>
      <c r="E175" s="28"/>
      <c r="F175" s="28"/>
      <c r="G175" s="28"/>
      <c r="H175" s="28"/>
    </row>
    <row r="176" spans="4:8" x14ac:dyDescent="0.3">
      <c r="D176" s="28"/>
      <c r="E176" s="28"/>
      <c r="F176" s="28"/>
      <c r="G176" s="28"/>
    </row>
    <row r="177" spans="4:8" x14ac:dyDescent="0.3">
      <c r="D177" s="28"/>
      <c r="H177" s="28"/>
    </row>
    <row r="178" spans="4:8" x14ac:dyDescent="0.3">
      <c r="D178" s="28"/>
      <c r="E178" s="28"/>
      <c r="F178" s="28"/>
      <c r="G178" s="28"/>
    </row>
    <row r="179" spans="4:8" x14ac:dyDescent="0.3">
      <c r="D179" s="28"/>
      <c r="E179" s="28"/>
      <c r="F179" s="28"/>
      <c r="G179" s="28"/>
      <c r="H179" s="28"/>
    </row>
    <row r="180" spans="4:8" x14ac:dyDescent="0.3">
      <c r="D180" s="28"/>
      <c r="E180" s="28"/>
      <c r="F180" s="28"/>
      <c r="G180" s="28"/>
      <c r="H180" s="28"/>
    </row>
    <row r="181" spans="4:8" x14ac:dyDescent="0.3">
      <c r="D181" s="28"/>
      <c r="E181" s="28"/>
      <c r="F181" s="28"/>
      <c r="G181" s="28"/>
    </row>
    <row r="182" spans="4:8" x14ac:dyDescent="0.3">
      <c r="D182" s="28"/>
      <c r="E182" s="28"/>
      <c r="F182" s="28"/>
      <c r="G182" s="28"/>
      <c r="H182" s="28"/>
    </row>
    <row r="183" spans="4:8" x14ac:dyDescent="0.3">
      <c r="D183" s="28"/>
      <c r="E183" s="28"/>
      <c r="F183" s="28"/>
      <c r="G183" s="28"/>
      <c r="H183" s="28"/>
    </row>
    <row r="184" spans="4:8" x14ac:dyDescent="0.3">
      <c r="D184" s="28"/>
      <c r="E184" s="28"/>
      <c r="F184" s="28"/>
      <c r="G184" s="28"/>
      <c r="H184" s="28"/>
    </row>
    <row r="185" spans="4:8" x14ac:dyDescent="0.3">
      <c r="D185" s="28"/>
      <c r="E185" s="28"/>
      <c r="F185" s="28"/>
      <c r="G185" s="28"/>
      <c r="H185" s="28"/>
    </row>
    <row r="186" spans="4:8" x14ac:dyDescent="0.3">
      <c r="D186" s="28"/>
      <c r="E186" s="28"/>
      <c r="F186" s="28"/>
      <c r="G186" s="28"/>
      <c r="H186" s="28"/>
    </row>
    <row r="187" spans="4:8" x14ac:dyDescent="0.3">
      <c r="D187" s="28"/>
      <c r="H187" s="28"/>
    </row>
    <row r="188" spans="4:8" x14ac:dyDescent="0.3">
      <c r="D188" s="28"/>
      <c r="E188" s="28"/>
      <c r="F188" s="28"/>
      <c r="G188" s="28"/>
      <c r="H188" s="28"/>
    </row>
    <row r="189" spans="4:8" x14ac:dyDescent="0.3">
      <c r="D189" s="28"/>
      <c r="E189" s="28"/>
      <c r="F189" s="28"/>
      <c r="G189" s="28"/>
      <c r="H189" s="28"/>
    </row>
    <row r="190" spans="4:8" x14ac:dyDescent="0.3">
      <c r="H190" s="28"/>
    </row>
    <row r="191" spans="4:8" x14ac:dyDescent="0.3">
      <c r="D191" s="28"/>
      <c r="E191" s="28"/>
      <c r="F191" s="28"/>
      <c r="G191" s="28"/>
      <c r="H191" s="28"/>
    </row>
    <row r="192" spans="4:8" x14ac:dyDescent="0.3">
      <c r="D192" s="28"/>
      <c r="H192" s="28"/>
    </row>
    <row r="193" spans="4:8" x14ac:dyDescent="0.3">
      <c r="D193" s="28"/>
      <c r="E193" s="28"/>
      <c r="F193" s="28"/>
      <c r="G193" s="28"/>
      <c r="H193" s="28"/>
    </row>
    <row r="194" spans="4:8" x14ac:dyDescent="0.3">
      <c r="D194" s="28"/>
      <c r="E194" s="28"/>
      <c r="F194" s="28"/>
      <c r="G194" s="28"/>
      <c r="H194" s="28"/>
    </row>
    <row r="195" spans="4:8" x14ac:dyDescent="0.3">
      <c r="D195" s="28"/>
      <c r="H195" s="204"/>
    </row>
    <row r="196" spans="4:8" x14ac:dyDescent="0.3">
      <c r="D196" s="28"/>
      <c r="E196" s="28"/>
      <c r="F196" s="28"/>
      <c r="G196" s="28"/>
      <c r="H196" s="28"/>
    </row>
    <row r="197" spans="4:8" x14ac:dyDescent="0.3">
      <c r="D197" s="28"/>
      <c r="E197" s="28"/>
      <c r="F197" s="28"/>
      <c r="G197" s="28"/>
      <c r="H197" s="1559"/>
    </row>
    <row r="198" spans="4:8" x14ac:dyDescent="0.3">
      <c r="D198" s="28"/>
      <c r="E198" s="28"/>
      <c r="F198" s="28"/>
      <c r="G198" s="28"/>
      <c r="H198" s="28"/>
    </row>
    <row r="199" spans="4:8" x14ac:dyDescent="0.3">
      <c r="D199" s="28"/>
      <c r="E199" s="28"/>
      <c r="F199" s="28"/>
      <c r="G199" s="28"/>
      <c r="H199" s="28"/>
    </row>
    <row r="200" spans="4:8" x14ac:dyDescent="0.3">
      <c r="D200" s="28"/>
      <c r="E200" s="28"/>
      <c r="F200" s="28"/>
      <c r="G200" s="28"/>
      <c r="H200" s="28"/>
    </row>
    <row r="201" spans="4:8" x14ac:dyDescent="0.3">
      <c r="D201" s="28"/>
      <c r="E201" s="28"/>
      <c r="F201" s="28"/>
      <c r="G201" s="28"/>
      <c r="H201" s="1559"/>
    </row>
    <row r="202" spans="4:8" x14ac:dyDescent="0.3">
      <c r="D202" s="28"/>
      <c r="E202" s="28"/>
      <c r="F202" s="28"/>
      <c r="G202" s="28"/>
      <c r="H202" s="1559"/>
    </row>
    <row r="203" spans="4:8" x14ac:dyDescent="0.3">
      <c r="D203" s="28"/>
      <c r="E203" s="28"/>
      <c r="F203" s="28"/>
      <c r="G203" s="28"/>
      <c r="H203" s="1559"/>
    </row>
  </sheetData>
  <sheetProtection algorithmName="SHA-512" hashValue="uGJpaSmZ6+9TQdyIYqynNPBM80IOAizQhO2IFOpjGlPcYEfTCpM9HuIoTt6eYoRWzqI4iclhsONLbCHToFycLg==" saltValue="6Qw/CLzcJ7ROSw2olW8Yfg==" spinCount="100000" sheet="1" formatCells="0" formatColumns="0" formatRows="0" insertHyperlinks="0" selectLockedCells="1" autoFilter="0"/>
  <mergeCells count="68">
    <mergeCell ref="B2:D2"/>
    <mergeCell ref="B3:D3"/>
    <mergeCell ref="B1:D1"/>
    <mergeCell ref="O24:O27"/>
    <mergeCell ref="V24:V27"/>
    <mergeCell ref="A21:C21"/>
    <mergeCell ref="D21:N21"/>
    <mergeCell ref="A4:D4"/>
    <mergeCell ref="A6:C6"/>
    <mergeCell ref="N24:N27"/>
    <mergeCell ref="W28:W35"/>
    <mergeCell ref="W24:W27"/>
    <mergeCell ref="O58:O61"/>
    <mergeCell ref="V58:V61"/>
    <mergeCell ref="W58:W61"/>
    <mergeCell ref="W39:W53"/>
    <mergeCell ref="N28:N35"/>
    <mergeCell ref="O28:O35"/>
    <mergeCell ref="N39:N53"/>
    <mergeCell ref="O39:O53"/>
    <mergeCell ref="V39:V53"/>
    <mergeCell ref="V28:V35"/>
    <mergeCell ref="O69:O79"/>
    <mergeCell ref="V69:V79"/>
    <mergeCell ref="W69:W79"/>
    <mergeCell ref="O65:O68"/>
    <mergeCell ref="V65:V68"/>
    <mergeCell ref="W65:W68"/>
    <mergeCell ref="V80:V82"/>
    <mergeCell ref="W80:W82"/>
    <mergeCell ref="N96:N99"/>
    <mergeCell ref="O96:O99"/>
    <mergeCell ref="V96:V99"/>
    <mergeCell ref="W96:W99"/>
    <mergeCell ref="N80:N82"/>
    <mergeCell ref="A37:C37"/>
    <mergeCell ref="D37:N37"/>
    <mergeCell ref="O144:O155"/>
    <mergeCell ref="W144:W155"/>
    <mergeCell ref="A157:N157"/>
    <mergeCell ref="A55:C55"/>
    <mergeCell ref="O123:O143"/>
    <mergeCell ref="V123:V143"/>
    <mergeCell ref="W123:W143"/>
    <mergeCell ref="N144:N155"/>
    <mergeCell ref="V102:V122"/>
    <mergeCell ref="W102:W122"/>
    <mergeCell ref="N102:N122"/>
    <mergeCell ref="O102:O122"/>
    <mergeCell ref="V144:V154"/>
    <mergeCell ref="O80:O82"/>
    <mergeCell ref="D55:N55"/>
    <mergeCell ref="A93:C93"/>
    <mergeCell ref="D93:N93"/>
    <mergeCell ref="N58:N61"/>
    <mergeCell ref="N123:N143"/>
    <mergeCell ref="N65:N68"/>
    <mergeCell ref="N69:N79"/>
    <mergeCell ref="W12:W14"/>
    <mergeCell ref="V12:V14"/>
    <mergeCell ref="O12:O14"/>
    <mergeCell ref="N12:N14"/>
    <mergeCell ref="Q12:Q14"/>
    <mergeCell ref="W8:W11"/>
    <mergeCell ref="V8:V11"/>
    <mergeCell ref="O8:O11"/>
    <mergeCell ref="N8:N11"/>
    <mergeCell ref="Q8:Q11"/>
  </mergeCells>
  <conditionalFormatting sqref="B8 D8 B144 D144 B65">
    <cfRule type="expression" dxfId="7757" priority="1429">
      <formula>IF($E8=TRUE,TRUE,FALSE)</formula>
    </cfRule>
  </conditionalFormatting>
  <conditionalFormatting sqref="B9:B11">
    <cfRule type="expression" dxfId="7756" priority="1146">
      <formula>IF(AND($E9=FALSE,OR($I9&lt;&gt;"",$L9&lt;&gt;"")),TRUE,FALSE)</formula>
    </cfRule>
    <cfRule type="expression" dxfId="7755" priority="1147">
      <formula>IF(AND($E9=TRUE,OR($I9="",$J9="")),TRUE,FALSE)</formula>
    </cfRule>
    <cfRule type="expression" dxfId="7754" priority="1148">
      <formula>IF(AND($E9=TRUE,OR($I9&lt;&gt;"",$L9="")),TRUE,FALSE)</formula>
    </cfRule>
    <cfRule type="expression" dxfId="7753" priority="1149">
      <formula>IF(AND($E9=FALSE,$E$8=TRUE),TRUE,FALSE)</formula>
    </cfRule>
  </conditionalFormatting>
  <conditionalFormatting sqref="B12 D12">
    <cfRule type="expression" dxfId="7752" priority="1054">
      <formula>IF(AND($E13,TRUE,$E14,TRUE),TRUE,FALSE)</formula>
    </cfRule>
    <cfRule type="expression" dxfId="7751" priority="1055">
      <formula>IF($E12,TRUE)</formula>
    </cfRule>
  </conditionalFormatting>
  <conditionalFormatting sqref="B13:B14">
    <cfRule type="expression" dxfId="7750" priority="1049">
      <formula>IF(AND($E$13=TRUE,$E$14=TRUE),TRUE,FALSE)</formula>
    </cfRule>
    <cfRule type="expression" dxfId="7749" priority="1050">
      <formula>IF(AND($E13=FALSE,OR($I13&lt;&gt;"",$L13&lt;&gt;"")),TRUE,FALSE)</formula>
    </cfRule>
    <cfRule type="expression" dxfId="7748" priority="1051">
      <formula>IF(AND($E13=TRUE,OR($I13="",$J13="")),TRUE,FALSE)</formula>
    </cfRule>
    <cfRule type="expression" dxfId="7747" priority="1052">
      <formula>IF(AND($E13=TRUE,OR($I13&lt;&gt;"",$L13="")),TRUE,FALSE)</formula>
    </cfRule>
    <cfRule type="expression" dxfId="7746" priority="1053">
      <formula>IF(AND($F$12&gt;0,$D13="",$E13=FALSE),TRUE,FALSE)</formula>
    </cfRule>
  </conditionalFormatting>
  <conditionalFormatting sqref="B16:B19">
    <cfRule type="expression" dxfId="7745" priority="1061">
      <formula>IF($E16=TRUE,TRUE,FALSE)</formula>
    </cfRule>
  </conditionalFormatting>
  <conditionalFormatting sqref="B23:B24 D23:D24">
    <cfRule type="expression" dxfId="7744" priority="1230">
      <formula>IF($E23=TRUE,TRUE,FALSE)</formula>
    </cfRule>
  </conditionalFormatting>
  <conditionalFormatting sqref="D28 D30 B28 B30">
    <cfRule type="expression" dxfId="7743" priority="1231">
      <formula>IF($E28=TRUE,TRUE,FALSE)</formula>
    </cfRule>
  </conditionalFormatting>
  <conditionalFormatting sqref="B39 D39">
    <cfRule type="expression" dxfId="7742" priority="1232">
      <formula>IF($E39=TRUE,TRUE,FALSE)</formula>
    </cfRule>
  </conditionalFormatting>
  <conditionalFormatting sqref="B57:B58 D57:D58">
    <cfRule type="expression" dxfId="7741" priority="1233">
      <formula>IF($E57=TRUE,TRUE,FALSE)</formula>
    </cfRule>
  </conditionalFormatting>
  <conditionalFormatting sqref="B59:B61">
    <cfRule type="expression" dxfId="7740" priority="1137">
      <formula>IF(AND($E59=FALSE,OR($I59&lt;&gt;"",$L59&lt;&gt;"")),TRUE,FALSE)</formula>
    </cfRule>
    <cfRule type="expression" dxfId="7739" priority="1138">
      <formula>IF(AND($E59=TRUE,$I59&lt;&gt;"",$L59&lt;&gt;""),TRUE,FALSE)</formula>
    </cfRule>
    <cfRule type="expression" dxfId="7738" priority="1139">
      <formula>IF(AND($E59=TRUE,OR($I59="",$L59="")),TRUE,FALSE)</formula>
    </cfRule>
  </conditionalFormatting>
  <conditionalFormatting sqref="B63 D63">
    <cfRule type="expression" dxfId="7737" priority="1234">
      <formula>IF($E63=TRUE,TRUE,FALSE)</formula>
    </cfRule>
  </conditionalFormatting>
  <conditionalFormatting sqref="D65">
    <cfRule type="expression" dxfId="7736" priority="1151">
      <formula>IF($E65=TRUE,TRUE,FALSE)</formula>
    </cfRule>
  </conditionalFormatting>
  <conditionalFormatting sqref="B66:B68">
    <cfRule type="expression" dxfId="7735" priority="1131">
      <formula>IF(AND($E66=FALSE,OR($I66&lt;&gt;"",$L66&lt;&gt;"")),TRUE,FALSE)</formula>
    </cfRule>
    <cfRule type="expression" dxfId="7734" priority="1132">
      <formula>IF(AND($E66=TRUE,$I66&lt;&gt;"",$L66&lt;&gt;""),TRUE,FALSE)</formula>
    </cfRule>
    <cfRule type="expression" dxfId="7733" priority="1133">
      <formula>IF(AND($E66=TRUE,OR($I66="",$L66="")),TRUE,FALSE)</formula>
    </cfRule>
  </conditionalFormatting>
  <conditionalFormatting sqref="D69">
    <cfRule type="expression" dxfId="7732" priority="1152">
      <formula>IF($E69=TRUE,TRUE,FALSE)</formula>
    </cfRule>
  </conditionalFormatting>
  <conditionalFormatting sqref="D80">
    <cfRule type="expression" dxfId="7731" priority="1150">
      <formula>IF($E80=TRUE,TRUE,FALSE)</formula>
    </cfRule>
  </conditionalFormatting>
  <conditionalFormatting sqref="B91">
    <cfRule type="expression" dxfId="7730" priority="1122">
      <formula>IF(AND($E91=FALSE,OR($I91&lt;&gt;"",$L91&lt;&gt;"")),TRUE,FALSE)</formula>
    </cfRule>
    <cfRule type="expression" dxfId="7729" priority="1123">
      <formula>IF(AND($E91=TRUE,$I91&lt;&gt;"",$L91&lt;&gt;""),TRUE,FALSE)</formula>
    </cfRule>
    <cfRule type="expression" dxfId="7728" priority="1124">
      <formula>IF(AND($E91=TRUE,OR($I91="",$L91="")),TRUE,FALSE)</formula>
    </cfRule>
  </conditionalFormatting>
  <conditionalFormatting sqref="B95:B96 D95:D96">
    <cfRule type="expression" dxfId="7727" priority="1228">
      <formula>IF($E95=TRUE,TRUE,FALSE)</formula>
    </cfRule>
  </conditionalFormatting>
  <conditionalFormatting sqref="B97:B99">
    <cfRule type="expression" dxfId="7726" priority="1119">
      <formula>IF(AND($E97=FALSE,OR($I97&lt;&gt;"",$L97&lt;&gt;"")),TRUE,FALSE)</formula>
    </cfRule>
    <cfRule type="expression" dxfId="7725" priority="1120">
      <formula>IF(AND($E97=TRUE,$I97&lt;&gt;"",$L97&lt;&gt;""),TRUE,FALSE)</formula>
    </cfRule>
    <cfRule type="expression" dxfId="7724" priority="1121">
      <formula>IF(AND($E97=TRUE,OR($I97="",$L97="")),TRUE,FALSE)</formula>
    </cfRule>
  </conditionalFormatting>
  <conditionalFormatting sqref="B100 D100 D102 B102">
    <cfRule type="expression" dxfId="7723" priority="1227">
      <formula>IF($E100=TRUE,TRUE,FALSE)</formula>
    </cfRule>
  </conditionalFormatting>
  <conditionalFormatting sqref="B123 D123">
    <cfRule type="expression" dxfId="7722" priority="1226">
      <formula>IF($E123=TRUE,TRUE,FALSE)</formula>
    </cfRule>
  </conditionalFormatting>
  <conditionalFormatting sqref="D9:D11 D25:D27 D31:D35 D40:D42 D45:D47 D49:D53 D66:D68 D64 D103:D122 D124:D143 D145:D155">
    <cfRule type="expression" dxfId="7721" priority="1413">
      <formula>IF($D9="Compliant",TRUE)</formula>
    </cfRule>
    <cfRule type="expression" dxfId="7720" priority="1414">
      <formula>IF($D9=" ",TRUE)</formula>
    </cfRule>
    <cfRule type="expression" dxfId="7719" priority="1420">
      <formula>IF($D9="Not Compliant",TRUE)</formula>
    </cfRule>
  </conditionalFormatting>
  <conditionalFormatting sqref="D13:D14">
    <cfRule type="expression" dxfId="7718" priority="1405">
      <formula>IF($D13="Compliant",TRUE)</formula>
    </cfRule>
    <cfRule type="expression" dxfId="7717" priority="1406">
      <formula>IF($D13=" ",TRUE)</formula>
    </cfRule>
    <cfRule type="expression" dxfId="7716" priority="1412">
      <formula>IF($D13="Not Compliant",TRUE)</formula>
    </cfRule>
  </conditionalFormatting>
  <conditionalFormatting sqref="D16:D19 Q83:R89">
    <cfRule type="expression" dxfId="7715" priority="1060">
      <formula>IF($E16,TRUE)</formula>
    </cfRule>
  </conditionalFormatting>
  <conditionalFormatting sqref="D59:D61 D81:D82 D91 D97:D99 D74:D79 D70:D72">
    <cfRule type="expression" dxfId="7714" priority="1389">
      <formula>IF($D59="Compliant",TRUE)</formula>
    </cfRule>
    <cfRule type="expression" dxfId="7713" priority="1390">
      <formula>IF($D59=" ",TRUE)</formula>
    </cfRule>
    <cfRule type="expression" dxfId="7712" priority="1396">
      <formula>IF($D59="Not Compliant",TRUE)</formula>
    </cfRule>
  </conditionalFormatting>
  <conditionalFormatting sqref="N8 N144 N64:N65">
    <cfRule type="expression" dxfId="7711" priority="416">
      <formula>IF($N8="Compliant",TRUE)</formula>
    </cfRule>
    <cfRule type="expression" dxfId="7710" priority="417">
      <formula>IF($N8="FE with work-a-round",TRUE)</formula>
    </cfRule>
    <cfRule type="expression" dxfId="7709" priority="418">
      <formula>IF($N8="Functionally Equivalent",TRUE)</formula>
    </cfRule>
    <cfRule type="expression" dxfId="7708" priority="419">
      <formula>IF($N8="Likely to become compliant",TRUE)</formula>
    </cfRule>
    <cfRule type="expression" dxfId="7707" priority="420">
      <formula>IF($N8="Partly Compliant",TRUE)</formula>
    </cfRule>
    <cfRule type="expression" dxfId="7706" priority="421">
      <formula>IF($N8="Unknown/Missing",TRUE)</formula>
    </cfRule>
    <cfRule type="expression" dxfId="7705" priority="422">
      <formula>IF($N8="Not Required/Applicable",TRUE)</formula>
    </cfRule>
    <cfRule type="expression" dxfId="7704" priority="423">
      <formula>IF($N8="Not Compliant",TRUE)</formula>
    </cfRule>
    <cfRule type="expression" dxfId="7703" priority="424">
      <formula>IF($N8=" ",TRUE)</formula>
    </cfRule>
  </conditionalFormatting>
  <conditionalFormatting sqref="N12">
    <cfRule type="expression" dxfId="7702" priority="389">
      <formula>IF($N12="Compliant",TRUE)</formula>
    </cfRule>
    <cfRule type="expression" dxfId="7701" priority="390">
      <formula>IF($N12="FE with work-a-round",TRUE)</formula>
    </cfRule>
    <cfRule type="expression" dxfId="7700" priority="391">
      <formula>IF($N12="Functionally Equivalent",TRUE)</formula>
    </cfRule>
    <cfRule type="expression" dxfId="7699" priority="392">
      <formula>IF($N12="Likely to become compliant",TRUE)</formula>
    </cfRule>
    <cfRule type="expression" dxfId="7698" priority="393">
      <formula>IF($N12="Partly Compliant",TRUE)</formula>
    </cfRule>
    <cfRule type="expression" dxfId="7697" priority="394">
      <formula>IF($N12="Unknown/Missing",TRUE)</formula>
    </cfRule>
    <cfRule type="expression" dxfId="7696" priority="395">
      <formula>IF($N12="Not Required/Applicable",TRUE)</formula>
    </cfRule>
    <cfRule type="expression" dxfId="7695" priority="396">
      <formula>IF($N12="Not Compliant",TRUE)</formula>
    </cfRule>
    <cfRule type="expression" dxfId="7694" priority="397">
      <formula>IF($N12=" ",TRUE)</formula>
    </cfRule>
  </conditionalFormatting>
  <conditionalFormatting sqref="N16:N19 Q16:Q19 V16:V19 Q144 Q63:Q65">
    <cfRule type="expression" dxfId="7693" priority="966">
      <formula>IF(O16=FALSE,TRUE,FALSE)</formula>
    </cfRule>
    <cfRule type="expression" dxfId="7692" priority="967">
      <formula>IF(O16=TRUE,TRUE,FALSE)</formula>
    </cfRule>
  </conditionalFormatting>
  <conditionalFormatting sqref="N23">
    <cfRule type="expression" dxfId="7691" priority="822">
      <formula>IF(O23=FALSE,TRUE,FALSE)</formula>
    </cfRule>
    <cfRule type="expression" dxfId="7690" priority="823">
      <formula>IF(O23=TRUE,TRUE,FALSE)</formula>
    </cfRule>
  </conditionalFormatting>
  <conditionalFormatting sqref="N24">
    <cfRule type="expression" dxfId="7689" priority="828">
      <formula>IF($N24="Compliant",TRUE)</formula>
    </cfRule>
    <cfRule type="expression" dxfId="7688" priority="829">
      <formula>IF($N24="FE with work-a-round",TRUE)</formula>
    </cfRule>
    <cfRule type="expression" dxfId="7687" priority="830">
      <formula>IF($N24="Functionally Equivalent",TRUE)</formula>
    </cfRule>
    <cfRule type="expression" dxfId="7686" priority="831">
      <formula>IF($N24="Likely to become compliant",TRUE)</formula>
    </cfRule>
    <cfRule type="expression" dxfId="7685" priority="832">
      <formula>IF($N24="Partly Compliant",TRUE)</formula>
    </cfRule>
    <cfRule type="expression" dxfId="7684" priority="833">
      <formula>IF($N24="Unknown/Missing",TRUE)</formula>
    </cfRule>
    <cfRule type="expression" dxfId="7683" priority="834">
      <formula>IF($N24="Not Required/Applicable",TRUE)</formula>
    </cfRule>
    <cfRule type="expression" dxfId="7682" priority="835">
      <formula>IF($N24="Not Compliant",TRUE)</formula>
    </cfRule>
    <cfRule type="expression" dxfId="7681" priority="836">
      <formula>IF($N24=" ",TRUE)</formula>
    </cfRule>
  </conditionalFormatting>
  <conditionalFormatting sqref="N28">
    <cfRule type="expression" dxfId="7680" priority="813">
      <formula>IF($N28="Compliant",TRUE)</formula>
    </cfRule>
    <cfRule type="expression" dxfId="7679" priority="814">
      <formula>IF($N28="FE with work-a-round",TRUE)</formula>
    </cfRule>
    <cfRule type="expression" dxfId="7678" priority="815">
      <formula>IF($N28="Functionally Equivalent",TRUE)</formula>
    </cfRule>
    <cfRule type="expression" dxfId="7677" priority="816">
      <formula>IF($N28="Likely to become compliant",TRUE)</formula>
    </cfRule>
    <cfRule type="expression" dxfId="7676" priority="817">
      <formula>IF($N28="Partly Compliant",TRUE)</formula>
    </cfRule>
    <cfRule type="expression" dxfId="7675" priority="818">
      <formula>IF($N28="Unknown/Missing",TRUE)</formula>
    </cfRule>
    <cfRule type="expression" dxfId="7674" priority="819">
      <formula>IF($N28="Not Required/Applicable",TRUE)</formula>
    </cfRule>
    <cfRule type="expression" dxfId="7673" priority="820">
      <formula>IF($N28="Not Compliant",TRUE)</formula>
    </cfRule>
    <cfRule type="expression" dxfId="7672" priority="821">
      <formula>IF($N28=" ",TRUE)</formula>
    </cfRule>
  </conditionalFormatting>
  <conditionalFormatting sqref="N39">
    <cfRule type="expression" dxfId="7671" priority="998">
      <formula>IF($N39="Compliant",TRUE)</formula>
    </cfRule>
    <cfRule type="expression" dxfId="7670" priority="999">
      <formula>IF($N39="FE with work-a-round",TRUE)</formula>
    </cfRule>
    <cfRule type="expression" dxfId="7669" priority="1000">
      <formula>IF($N39="Functionally Equivalent",TRUE)</formula>
    </cfRule>
    <cfRule type="expression" dxfId="7668" priority="1001">
      <formula>IF($N39="Likely to become compliant",TRUE)</formula>
    </cfRule>
    <cfRule type="expression" dxfId="7667" priority="1002">
      <formula>IF($N39="Partly Compliant",TRUE)</formula>
    </cfRule>
    <cfRule type="expression" dxfId="7666" priority="1003">
      <formula>IF($N39="Unknown/Missing",TRUE)</formula>
    </cfRule>
    <cfRule type="expression" dxfId="7665" priority="1004">
      <formula>IF($N39="Not Required/Applicable",TRUE)</formula>
    </cfRule>
    <cfRule type="expression" dxfId="7664" priority="1005">
      <formula>IF($N39="Not Compliant",TRUE)</formula>
    </cfRule>
    <cfRule type="expression" dxfId="7663" priority="1006">
      <formula>IF($N39=" ",TRUE)</formula>
    </cfRule>
  </conditionalFormatting>
  <conditionalFormatting sqref="N57">
    <cfRule type="expression" dxfId="7662" priority="972">
      <formula>IF(O57=FALSE,TRUE,FALSE)</formula>
    </cfRule>
    <cfRule type="expression" dxfId="7661" priority="973">
      <formula>IF(O57=TRUE,TRUE,FALSE)</formula>
    </cfRule>
  </conditionalFormatting>
  <conditionalFormatting sqref="N58">
    <cfRule type="expression" dxfId="7660" priority="1025">
      <formula>IF($N58="Compliant",TRUE)</formula>
    </cfRule>
    <cfRule type="expression" dxfId="7659" priority="1026">
      <formula>IF($N58="FE with work-a-round",TRUE)</formula>
    </cfRule>
    <cfRule type="expression" dxfId="7658" priority="1027">
      <formula>IF($N58="Functionally Equivalent",TRUE)</formula>
    </cfRule>
    <cfRule type="expression" dxfId="7657" priority="1028">
      <formula>IF($N58="Likely to become compliant",TRUE)</formula>
    </cfRule>
    <cfRule type="expression" dxfId="7656" priority="1029">
      <formula>IF($N58="Partly Compliant",TRUE)</formula>
    </cfRule>
    <cfRule type="expression" dxfId="7655" priority="1030">
      <formula>IF($N58="Unknown/Missing",TRUE)</formula>
    </cfRule>
    <cfRule type="expression" dxfId="7654" priority="1031">
      <formula>IF($N58="Not Required/Applicable",TRUE)</formula>
    </cfRule>
    <cfRule type="expression" dxfId="7653" priority="1032">
      <formula>IF($N58="Not Compliant",TRUE)</formula>
    </cfRule>
    <cfRule type="expression" dxfId="7652" priority="1033">
      <formula>IF($N58=" ",TRUE)</formula>
    </cfRule>
  </conditionalFormatting>
  <conditionalFormatting sqref="N63">
    <cfRule type="expression" dxfId="7651" priority="951">
      <formula>IF(O63=FALSE,TRUE,FALSE)</formula>
    </cfRule>
    <cfRule type="expression" dxfId="7650" priority="952">
      <formula>IF(O63=TRUE,TRUE,FALSE)</formula>
    </cfRule>
  </conditionalFormatting>
  <conditionalFormatting sqref="N69:N77 N80 N91">
    <cfRule type="expression" dxfId="7649" priority="942">
      <formula>IF($N69="Compliant",TRUE)</formula>
    </cfRule>
    <cfRule type="expression" dxfId="7648" priority="943">
      <formula>IF($N69="FE with work-a-round",TRUE)</formula>
    </cfRule>
    <cfRule type="expression" dxfId="7647" priority="944">
      <formula>IF($N69="Functionally Equivalent",TRUE)</formula>
    </cfRule>
    <cfRule type="expression" dxfId="7646" priority="945">
      <formula>IF($N69="Likely to become compliant",TRUE)</formula>
    </cfRule>
    <cfRule type="expression" dxfId="7645" priority="946">
      <formula>IF($N69="Partly Compliant",TRUE)</formula>
    </cfRule>
    <cfRule type="expression" dxfId="7644" priority="947">
      <formula>IF($N69="Unknown/Missing",TRUE)</formula>
    </cfRule>
    <cfRule type="expression" dxfId="7643" priority="948">
      <formula>IF($N69="Not Required/Applicable",TRUE)</formula>
    </cfRule>
    <cfRule type="expression" dxfId="7642" priority="949">
      <formula>IF($N69="Not Compliant",TRUE)</formula>
    </cfRule>
    <cfRule type="expression" dxfId="7641" priority="950">
      <formula>IF($N69=" ",TRUE)</formula>
    </cfRule>
  </conditionalFormatting>
  <conditionalFormatting sqref="N95">
    <cfRule type="expression" dxfId="7640" priority="927">
      <formula>IF(O95=FALSE,TRUE,FALSE)</formula>
    </cfRule>
    <cfRule type="expression" dxfId="7639" priority="928">
      <formula>IF(O95=TRUE,TRUE,FALSE)</formula>
    </cfRule>
  </conditionalFormatting>
  <conditionalFormatting sqref="N96">
    <cfRule type="expression" dxfId="7638" priority="933">
      <formula>IF($N96="Compliant",TRUE)</formula>
    </cfRule>
    <cfRule type="expression" dxfId="7637" priority="934">
      <formula>IF($N96="FE with work-a-round",TRUE)</formula>
    </cfRule>
    <cfRule type="expression" dxfId="7636" priority="935">
      <formula>IF($N96="Functionally Equivalent",TRUE)</formula>
    </cfRule>
    <cfRule type="expression" dxfId="7635" priority="936">
      <formula>IF($N96="Likely to become compliant",TRUE)</formula>
    </cfRule>
    <cfRule type="expression" dxfId="7634" priority="937">
      <formula>IF($N96="Partly Compliant",TRUE)</formula>
    </cfRule>
    <cfRule type="expression" dxfId="7633" priority="938">
      <formula>IF($N96="Unknown/Missing",TRUE)</formula>
    </cfRule>
    <cfRule type="expression" dxfId="7632" priority="939">
      <formula>IF($N96="Not Required/Applicable",TRUE)</formula>
    </cfRule>
    <cfRule type="expression" dxfId="7631" priority="940">
      <formula>IF($N96="Not Compliant",TRUE)</formula>
    </cfRule>
    <cfRule type="expression" dxfId="7630" priority="941">
      <formula>IF($N96=" ",TRUE)</formula>
    </cfRule>
  </conditionalFormatting>
  <conditionalFormatting sqref="N100">
    <cfRule type="expression" dxfId="7629" priority="912">
      <formula>IF(O100=FALSE,TRUE,FALSE)</formula>
    </cfRule>
    <cfRule type="expression" dxfId="7628" priority="913">
      <formula>IF(O100=TRUE,TRUE,FALSE)</formula>
    </cfRule>
  </conditionalFormatting>
  <conditionalFormatting sqref="N102">
    <cfRule type="expression" dxfId="7627" priority="918">
      <formula>IF($N102="Compliant",TRUE)</formula>
    </cfRule>
    <cfRule type="expression" dxfId="7626" priority="919">
      <formula>IF($N102="FE with work-a-round",TRUE)</formula>
    </cfRule>
    <cfRule type="expression" dxfId="7625" priority="920">
      <formula>IF($N102="Functionally Equivalent",TRUE)</formula>
    </cfRule>
    <cfRule type="expression" dxfId="7624" priority="921">
      <formula>IF($N102="Likely to become compliant",TRUE)</formula>
    </cfRule>
    <cfRule type="expression" dxfId="7623" priority="922">
      <formula>IF($N102="Partly Compliant",TRUE)</formula>
    </cfRule>
    <cfRule type="expression" dxfId="7622" priority="923">
      <formula>IF($N102="Unknown/Missing",TRUE)</formula>
    </cfRule>
    <cfRule type="expression" dxfId="7621" priority="924">
      <formula>IF($N102="Not Required/Applicable",TRUE)</formula>
    </cfRule>
    <cfRule type="expression" dxfId="7620" priority="925">
      <formula>IF($N102="Not Compliant",TRUE)</formula>
    </cfRule>
    <cfRule type="expression" dxfId="7619" priority="926">
      <formula>IF($N102=" ",TRUE)</formula>
    </cfRule>
  </conditionalFormatting>
  <conditionalFormatting sqref="N123:N124">
    <cfRule type="expression" dxfId="7618" priority="903">
      <formula>IF($N123="Compliant",TRUE)</formula>
    </cfRule>
    <cfRule type="expression" dxfId="7617" priority="904">
      <formula>IF($N123="FE with work-a-round",TRUE)</formula>
    </cfRule>
    <cfRule type="expression" dxfId="7616" priority="905">
      <formula>IF($N123="Functionally Equivalent",TRUE)</formula>
    </cfRule>
    <cfRule type="expression" dxfId="7615" priority="906">
      <formula>IF($N123="Likely to become compliant",TRUE)</formula>
    </cfRule>
    <cfRule type="expression" dxfId="7614" priority="907">
      <formula>IF($N123="Partly Compliant",TRUE)</formula>
    </cfRule>
    <cfRule type="expression" dxfId="7613" priority="908">
      <formula>IF($N123="Unknown/Missing",TRUE)</formula>
    </cfRule>
    <cfRule type="expression" dxfId="7612" priority="909">
      <formula>IF($N123="Not Required/Applicable",TRUE)</formula>
    </cfRule>
    <cfRule type="expression" dxfId="7611" priority="910">
      <formula>IF($N123="Not Compliant",TRUE)</formula>
    </cfRule>
    <cfRule type="expression" dxfId="7610" priority="911">
      <formula>IF($N123=" ",TRUE)</formula>
    </cfRule>
  </conditionalFormatting>
  <conditionalFormatting sqref="O23">
    <cfRule type="expression" dxfId="7609" priority="824">
      <formula>IF(AND($E23=TRUE,$I23="Valid Entry required below - Check amber box",#REF!="Compliant"),TRUE,FALSE)</formula>
    </cfRule>
    <cfRule type="expression" dxfId="7608" priority="825">
      <formula>IF(AND($E23=TRUE,$I23="Valid Entry made below",#REF!="Compliant"),TRUE,FALSE)</formula>
    </cfRule>
    <cfRule type="expression" dxfId="7607" priority="826">
      <formula>IF(AND($E23=FALSE,#REF!&lt;&gt;""),TRUE,FALSE)</formula>
    </cfRule>
    <cfRule type="expression" dxfId="7606" priority="827">
      <formula>IF(AND($I23&lt;&gt;"",#REF!&lt;&gt;""),TRUE,FALSE)</formula>
    </cfRule>
  </conditionalFormatting>
  <conditionalFormatting sqref="O57">
    <cfRule type="expression" dxfId="7605" priority="974">
      <formula>IF(AND($E57=TRUE,$I57="Valid Entry required below - Check amber box",#REF!="Compliant"),TRUE,FALSE)</formula>
    </cfRule>
    <cfRule type="expression" dxfId="7604" priority="975">
      <formula>IF(AND($E57=TRUE,$I57="Valid Entry made below",#REF!="Compliant"),TRUE,FALSE)</formula>
    </cfRule>
    <cfRule type="expression" dxfId="7603" priority="976">
      <formula>IF(AND($E57=FALSE,#REF!&lt;&gt;""),TRUE,FALSE)</formula>
    </cfRule>
    <cfRule type="expression" dxfId="7602" priority="977">
      <formula>IF(AND($I57&lt;&gt;"",#REF!&lt;&gt;""),TRUE,FALSE)</formula>
    </cfRule>
  </conditionalFormatting>
  <conditionalFormatting sqref="O63">
    <cfRule type="expression" dxfId="7601" priority="953">
      <formula>IF(AND($E63=TRUE,$I63="Valid Entry required below - Check amber box",#REF!="Compliant"),TRUE,FALSE)</formula>
    </cfRule>
    <cfRule type="expression" dxfId="7600" priority="954">
      <formula>IF(AND($E63=TRUE,$I63="Valid Entry made below",#REF!="Compliant"),TRUE,FALSE)</formula>
    </cfRule>
    <cfRule type="expression" dxfId="7599" priority="955">
      <formula>IF(AND($E63=FALSE,#REF!&lt;&gt;""),TRUE,FALSE)</formula>
    </cfRule>
    <cfRule type="expression" dxfId="7598" priority="956">
      <formula>IF(AND($I63&lt;&gt;"",#REF!&lt;&gt;""),TRUE,FALSE)</formula>
    </cfRule>
  </conditionalFormatting>
  <conditionalFormatting sqref="O95">
    <cfRule type="expression" dxfId="7597" priority="929">
      <formula>IF(AND($E95=TRUE,$I95="Valid Entry required below - Check amber box",#REF!="Compliant"),TRUE,FALSE)</formula>
    </cfRule>
    <cfRule type="expression" dxfId="7596" priority="930">
      <formula>IF(AND($E95=TRUE,$I95="Valid Entry made below",#REF!="Compliant"),TRUE,FALSE)</formula>
    </cfRule>
    <cfRule type="expression" dxfId="7595" priority="931">
      <formula>IF(AND($E95=FALSE,#REF!&lt;&gt;""),TRUE,FALSE)</formula>
    </cfRule>
    <cfRule type="expression" dxfId="7594" priority="932">
      <formula>IF(AND($I95&lt;&gt;"",#REF!&lt;&gt;""),TRUE,FALSE)</formula>
    </cfRule>
  </conditionalFormatting>
  <conditionalFormatting sqref="O100:O101">
    <cfRule type="expression" dxfId="7593" priority="914">
      <formula>IF(AND($E100=TRUE,$I100="Valid Entry required below - Check amber box",#REF!="Compliant"),TRUE,FALSE)</formula>
    </cfRule>
    <cfRule type="expression" dxfId="7592" priority="915">
      <formula>IF(AND($E100=TRUE,$I100="Valid Entry made below",#REF!="Compliant"),TRUE,FALSE)</formula>
    </cfRule>
    <cfRule type="expression" dxfId="7591" priority="916">
      <formula>IF(AND($E100=FALSE,#REF!&lt;&gt;""),TRUE,FALSE)</formula>
    </cfRule>
    <cfRule type="expression" dxfId="7590" priority="917">
      <formula>IF(AND($I100&lt;&gt;"",#REF!&lt;&gt;""),TRUE,FALSE)</formula>
    </cfRule>
  </conditionalFormatting>
  <conditionalFormatting sqref="P10:P11 P15">
    <cfRule type="beginsWith" dxfId="7589" priority="2121" operator="beginsWith" text="Likely">
      <formula>LEFT(P10,LEN("Likely"))="Likely"</formula>
    </cfRule>
    <cfRule type="beginsWith" dxfId="7588" priority="2129" operator="beginsWith" text="Not Applicable">
      <formula>LEFT(P10,LEN("Not Applicable"))="Not Applicable"</formula>
    </cfRule>
    <cfRule type="beginsWith" dxfId="7587" priority="2130" operator="beginsWith" text="Applicable">
      <formula>LEFT(P10,LEN("Applicable"))="Applicable"</formula>
    </cfRule>
    <cfRule type="beginsWith" dxfId="7586" priority="2131" operator="beginsWith" text="Partly">
      <formula>LEFT(P10,LEN("Partly"))="Partly"</formula>
    </cfRule>
    <cfRule type="beginsWith" dxfId="7585" priority="2132" operator="beginsWith" text="Missing">
      <formula>LEFT(P10,LEN("Missing"))="Missing"</formula>
    </cfRule>
    <cfRule type="beginsWith" dxfId="7584" priority="2133" operator="beginsWith" text="Not">
      <formula>LEFT(P10,LEN("Not"))="Not"</formula>
    </cfRule>
    <cfRule type="beginsWith" dxfId="7583" priority="2134" operator="beginsWith" text="Compliant">
      <formula>LEFT(P10,LEN("Compliant"))="Compliant"</formula>
    </cfRule>
    <cfRule type="containsText" dxfId="7582" priority="2135" operator="containsText" text="Equivalent">
      <formula>NOT(ISERROR(SEARCH("Equivalent",P10)))</formula>
    </cfRule>
  </conditionalFormatting>
  <conditionalFormatting sqref="Q8 Q103:Q122 Q125:Q143 Q145:Q155 Q25:Q27 Q30:Q35 Q40:Q53">
    <cfRule type="expression" dxfId="7581" priority="398">
      <formula>IF(Q8="Compliant",TRUE)</formula>
    </cfRule>
    <cfRule type="expression" dxfId="7580" priority="399">
      <formula>IF(Q8="FE with work-a-round",TRUE)</formula>
    </cfRule>
    <cfRule type="expression" dxfId="7579" priority="400">
      <formula>IF(Q8="Functionally Equivalent",TRUE)</formula>
    </cfRule>
    <cfRule type="expression" dxfId="7578" priority="401">
      <formula>IF($Q8="Likely to become compliant",TRUE)</formula>
    </cfRule>
    <cfRule type="expression" dxfId="7577" priority="402">
      <formula>IF($Q8="Partly Compliant",TRUE)</formula>
    </cfRule>
    <cfRule type="expression" dxfId="7576" priority="403">
      <formula>IF($Q8="Unknown/Missing",TRUE)</formula>
    </cfRule>
    <cfRule type="expression" dxfId="7575" priority="404">
      <formula>IF($Q8="Not Required/Applicable",TRUE)</formula>
    </cfRule>
    <cfRule type="expression" dxfId="7574" priority="405">
      <formula>IF(Q8="Not Compliant",TRUE)</formula>
    </cfRule>
    <cfRule type="expression" dxfId="7573" priority="406">
      <formula>IF(Q8=" ",TRUE)</formula>
    </cfRule>
  </conditionalFormatting>
  <conditionalFormatting sqref="Q12">
    <cfRule type="expression" dxfId="7572" priority="371">
      <formula>IF(Q12="Compliant",TRUE)</formula>
    </cfRule>
    <cfRule type="expression" dxfId="7571" priority="372">
      <formula>IF(Q12="FE with work-a-round",TRUE)</formula>
    </cfRule>
    <cfRule type="expression" dxfId="7570" priority="373">
      <formula>IF(Q12="Functionally Equivalent",TRUE)</formula>
    </cfRule>
    <cfRule type="expression" dxfId="7569" priority="374">
      <formula>IF($Q12="Likely to become compliant",TRUE)</formula>
    </cfRule>
    <cfRule type="expression" dxfId="7568" priority="375">
      <formula>IF($Q12="Partly Compliant",TRUE)</formula>
    </cfRule>
    <cfRule type="expression" dxfId="7567" priority="376">
      <formula>IF($Q12="Unknown/Missing",TRUE)</formula>
    </cfRule>
    <cfRule type="expression" dxfId="7566" priority="377">
      <formula>IF($Q12="Not Required/Applicable",TRUE)</formula>
    </cfRule>
    <cfRule type="expression" dxfId="7565" priority="378">
      <formula>IF(Q12="Not Compliant",TRUE)</formula>
    </cfRule>
    <cfRule type="expression" dxfId="7564" priority="379">
      <formula>IF(Q12=" ",TRUE)</formula>
    </cfRule>
  </conditionalFormatting>
  <conditionalFormatting sqref="Q23:Q24">
    <cfRule type="expression" dxfId="7563" priority="802">
      <formula>IF(R23=FALSE,TRUE,FALSE)</formula>
    </cfRule>
    <cfRule type="expression" dxfId="7562" priority="803">
      <formula>IF(R23=TRUE,TRUE,FALSE)</formula>
    </cfRule>
  </conditionalFormatting>
  <conditionalFormatting sqref="Q28:Q29">
    <cfRule type="expression" dxfId="7561" priority="791">
      <formula>IF(R28=FALSE,TRUE,FALSE)</formula>
    </cfRule>
    <cfRule type="expression" dxfId="7560" priority="792">
      <formula>IF(R28=TRUE,TRUE,FALSE)</formula>
    </cfRule>
  </conditionalFormatting>
  <conditionalFormatting sqref="Q39">
    <cfRule type="expression" dxfId="7559" priority="978">
      <formula>IF(R39=FALSE,TRUE,FALSE)</formula>
    </cfRule>
    <cfRule type="expression" dxfId="7558" priority="979">
      <formula>IF(R39=TRUE,TRUE,FALSE)</formula>
    </cfRule>
  </conditionalFormatting>
  <conditionalFormatting sqref="Q57:Q58">
    <cfRule type="expression" dxfId="7557" priority="970">
      <formula>IF(R57=FALSE,TRUE,FALSE)</formula>
    </cfRule>
    <cfRule type="expression" dxfId="7556" priority="971">
      <formula>IF(R57=TRUE,TRUE,FALSE)</formula>
    </cfRule>
  </conditionalFormatting>
  <conditionalFormatting sqref="Q59:Q61">
    <cfRule type="expression" dxfId="7555" priority="434">
      <formula>IF(Q59="Compliant",TRUE)</formula>
    </cfRule>
    <cfRule type="expression" dxfId="7554" priority="435">
      <formula>IF(Q59="FE with work-a-round",TRUE)</formula>
    </cfRule>
    <cfRule type="expression" dxfId="7553" priority="436">
      <formula>IF(Q59="Functionally Equivalent",TRUE)</formula>
    </cfRule>
    <cfRule type="expression" dxfId="7552" priority="437">
      <formula>IF($Q59="Likely to become compliant",TRUE)</formula>
    </cfRule>
    <cfRule type="expression" dxfId="7551" priority="438">
      <formula>IF($Q59="Partly Compliant",TRUE)</formula>
    </cfRule>
    <cfRule type="expression" dxfId="7550" priority="439">
      <formula>IF($Q59="Unknown/Missing",TRUE)</formula>
    </cfRule>
    <cfRule type="expression" dxfId="7549" priority="440">
      <formula>IF($Q59="Not Required/Applicable",TRUE)</formula>
    </cfRule>
    <cfRule type="expression" dxfId="7548" priority="441">
      <formula>IF(Q59="Not Compliant",TRUE)</formula>
    </cfRule>
    <cfRule type="expression" dxfId="7547" priority="442">
      <formula>IF(Q59=" ",TRUE)</formula>
    </cfRule>
  </conditionalFormatting>
  <conditionalFormatting sqref="Q66:Q68 Q78:Q79 Q81:Q82 Q91 Q97:Q99">
    <cfRule type="expression" dxfId="7546" priority="425">
      <formula>IF(Q66="Compliant",TRUE)</formula>
    </cfRule>
    <cfRule type="expression" dxfId="7545" priority="426">
      <formula>IF(Q66="FE with work-a-round",TRUE)</formula>
    </cfRule>
    <cfRule type="expression" dxfId="7544" priority="427">
      <formula>IF(Q66="Functionally Equivalent",TRUE)</formula>
    </cfRule>
    <cfRule type="expression" dxfId="7543" priority="428">
      <formula>IF($Q66="Likely to become compliant",TRUE)</formula>
    </cfRule>
    <cfRule type="expression" dxfId="7542" priority="429">
      <formula>IF($Q66="Partly Compliant",TRUE)</formula>
    </cfRule>
    <cfRule type="expression" dxfId="7541" priority="430">
      <formula>IF($Q66="Unknown/Missing",TRUE)</formula>
    </cfRule>
    <cfRule type="expression" dxfId="7540" priority="431">
      <formula>IF($Q66="Not Required/Applicable",TRUE)</formula>
    </cfRule>
    <cfRule type="expression" dxfId="7539" priority="432">
      <formula>IF(Q66="Not Compliant",TRUE)</formula>
    </cfRule>
    <cfRule type="expression" dxfId="7538" priority="433">
      <formula>IF(Q66=" ",TRUE)</formula>
    </cfRule>
  </conditionalFormatting>
  <conditionalFormatting sqref="Q69:Q77">
    <cfRule type="expression" dxfId="7537" priority="747">
      <formula>IF(R69=FALSE,TRUE,FALSE)</formula>
    </cfRule>
    <cfRule type="expression" dxfId="7536" priority="748">
      <formula>IF(R69=TRUE,TRUE,FALSE)</formula>
    </cfRule>
  </conditionalFormatting>
  <conditionalFormatting sqref="Q80">
    <cfRule type="expression" dxfId="7535" priority="736">
      <formula>IF(R80=FALSE,TRUE,FALSE)</formula>
    </cfRule>
    <cfRule type="expression" dxfId="7534" priority="737">
      <formula>IF(R80=TRUE,TRUE,FALSE)</formula>
    </cfRule>
  </conditionalFormatting>
  <conditionalFormatting sqref="Q83:Q89">
    <cfRule type="expression" dxfId="7533" priority="1904">
      <formula>IF($E$9,TRUE)</formula>
    </cfRule>
  </conditionalFormatting>
  <conditionalFormatting sqref="Q95:Q96">
    <cfRule type="expression" dxfId="7532" priority="707">
      <formula>IF(R95=FALSE,TRUE,FALSE)</formula>
    </cfRule>
    <cfRule type="expression" dxfId="7531" priority="708">
      <formula>IF(R95=TRUE,TRUE,FALSE)</formula>
    </cfRule>
  </conditionalFormatting>
  <conditionalFormatting sqref="Q100 Q102">
    <cfRule type="expression" dxfId="7530" priority="696">
      <formula>IF(R100=FALSE,TRUE,FALSE)</formula>
    </cfRule>
    <cfRule type="expression" dxfId="7529" priority="697">
      <formula>IF(R100=TRUE,TRUE,FALSE)</formula>
    </cfRule>
  </conditionalFormatting>
  <conditionalFormatting sqref="Q123:Q124">
    <cfRule type="expression" dxfId="7528" priority="685">
      <formula>IF(R123=FALSE,TRUE,FALSE)</formula>
    </cfRule>
    <cfRule type="expression" dxfId="7527" priority="686">
      <formula>IF(R123=TRUE,TRUE,FALSE)</formula>
    </cfRule>
  </conditionalFormatting>
  <conditionalFormatting sqref="V8 V144 V64:V65">
    <cfRule type="expression" dxfId="7526" priority="407">
      <formula>IF(V8="Compliant",TRUE)</formula>
    </cfRule>
    <cfRule type="expression" dxfId="7525" priority="408">
      <formula>IF(V8="FE with work-a-round",TRUE)</formula>
    </cfRule>
    <cfRule type="expression" dxfId="7524" priority="409">
      <formula>IF(V8="Functionally Equivalent",TRUE)</formula>
    </cfRule>
    <cfRule type="expression" dxfId="7523" priority="410">
      <formula>IF(V8="Likely to become compliant",TRUE)</formula>
    </cfRule>
    <cfRule type="expression" dxfId="7522" priority="411">
      <formula>IF(V8="Partly Compliant",TRUE)</formula>
    </cfRule>
    <cfRule type="expression" dxfId="7521" priority="412">
      <formula>IF(V8="Unknown/Missing",TRUE)</formula>
    </cfRule>
    <cfRule type="expression" dxfId="7520" priority="413">
      <formula>IF(V8="Not Required/Applicable",TRUE)</formula>
    </cfRule>
    <cfRule type="expression" dxfId="7519" priority="414">
      <formula>IF(V8="Not Compliant",TRUE)</formula>
    </cfRule>
    <cfRule type="expression" dxfId="7518" priority="415">
      <formula>IF($N8=" ",TRUE)</formula>
    </cfRule>
  </conditionalFormatting>
  <conditionalFormatting sqref="V12">
    <cfRule type="expression" dxfId="7517" priority="380">
      <formula>IF(V12="Compliant",TRUE)</formula>
    </cfRule>
    <cfRule type="expression" dxfId="7516" priority="381">
      <formula>IF(V12="FE with work-a-round",TRUE)</formula>
    </cfRule>
    <cfRule type="expression" dxfId="7515" priority="382">
      <formula>IF(V12="Functionally Equivalent",TRUE)</formula>
    </cfRule>
    <cfRule type="expression" dxfId="7514" priority="383">
      <formula>IF(V12="Likely to become compliant",TRUE)</formula>
    </cfRule>
    <cfRule type="expression" dxfId="7513" priority="384">
      <formula>IF(V12="Partly Compliant",TRUE)</formula>
    </cfRule>
    <cfRule type="expression" dxfId="7512" priority="385">
      <formula>IF(V12="Unknown/Missing",TRUE)</formula>
    </cfRule>
    <cfRule type="expression" dxfId="7511" priority="386">
      <formula>IF(V12="Not Required/Applicable",TRUE)</formula>
    </cfRule>
    <cfRule type="expression" dxfId="7510" priority="387">
      <formula>IF(V12="Not Compliant",TRUE)</formula>
    </cfRule>
    <cfRule type="expression" dxfId="7509" priority="388">
      <formula>IF($N12=" ",TRUE)</formula>
    </cfRule>
  </conditionalFormatting>
  <conditionalFormatting sqref="V23">
    <cfRule type="expression" dxfId="7508" priority="597">
      <formula>IF(W23=FALSE,TRUE,FALSE)</formula>
    </cfRule>
    <cfRule type="expression" dxfId="7507" priority="598">
      <formula>IF(W23=TRUE,TRUE,FALSE)</formula>
    </cfRule>
  </conditionalFormatting>
  <conditionalFormatting sqref="V24">
    <cfRule type="expression" dxfId="7506" priority="599">
      <formula>IF(V24="Compliant",TRUE)</formula>
    </cfRule>
    <cfRule type="expression" dxfId="7505" priority="600">
      <formula>IF(V24="FE with work-a-round",TRUE)</formula>
    </cfRule>
    <cfRule type="expression" dxfId="7504" priority="601">
      <formula>IF(V24="Functionally Equivalent",TRUE)</formula>
    </cfRule>
    <cfRule type="expression" dxfId="7503" priority="602">
      <formula>IF(V24="Likely to become compliant",TRUE)</formula>
    </cfRule>
    <cfRule type="expression" dxfId="7502" priority="603">
      <formula>IF(V24="Partly Compliant",TRUE)</formula>
    </cfRule>
    <cfRule type="expression" dxfId="7501" priority="604">
      <formula>IF(V24="Unknown/Missing",TRUE)</formula>
    </cfRule>
    <cfRule type="expression" dxfId="7500" priority="605">
      <formula>IF(V24="Not Required/Applicable",TRUE)</formula>
    </cfRule>
    <cfRule type="expression" dxfId="7499" priority="606">
      <formula>IF(V24="Not Compliant",TRUE)</formula>
    </cfRule>
    <cfRule type="expression" dxfId="7498" priority="607">
      <formula>IF($N24=" ",TRUE)</formula>
    </cfRule>
  </conditionalFormatting>
  <conditionalFormatting sqref="V28">
    <cfRule type="expression" dxfId="7497" priority="588">
      <formula>IF(V28="Compliant",TRUE)</formula>
    </cfRule>
    <cfRule type="expression" dxfId="7496" priority="589">
      <formula>IF(V28="FE with work-a-round",TRUE)</formula>
    </cfRule>
    <cfRule type="expression" dxfId="7495" priority="590">
      <formula>IF(V28="Functionally Equivalent",TRUE)</formula>
    </cfRule>
    <cfRule type="expression" dxfId="7494" priority="591">
      <formula>IF(V28="Likely to become compliant",TRUE)</formula>
    </cfRule>
    <cfRule type="expression" dxfId="7493" priority="592">
      <formula>IF(V28="Partly Compliant",TRUE)</formula>
    </cfRule>
    <cfRule type="expression" dxfId="7492" priority="593">
      <formula>IF(V28="Unknown/Missing",TRUE)</formula>
    </cfRule>
    <cfRule type="expression" dxfId="7491" priority="594">
      <formula>IF(V28="Not Required/Applicable",TRUE)</formula>
    </cfRule>
    <cfRule type="expression" dxfId="7490" priority="595">
      <formula>IF(V28="Not Compliant",TRUE)</formula>
    </cfRule>
    <cfRule type="expression" dxfId="7489" priority="596">
      <formula>IF($N28=" ",TRUE)</formula>
    </cfRule>
  </conditionalFormatting>
  <conditionalFormatting sqref="V39">
    <cfRule type="expression" dxfId="7488" priority="980">
      <formula>IF(V39="Compliant",TRUE)</formula>
    </cfRule>
    <cfRule type="expression" dxfId="7487" priority="981">
      <formula>IF(V39="FE with work-a-round",TRUE)</formula>
    </cfRule>
    <cfRule type="expression" dxfId="7486" priority="982">
      <formula>IF(V39="Functionally Equivalent",TRUE)</formula>
    </cfRule>
    <cfRule type="expression" dxfId="7485" priority="983">
      <formula>IF(V39="Likely to become compliant",TRUE)</formula>
    </cfRule>
    <cfRule type="expression" dxfId="7484" priority="984">
      <formula>IF(V39="Partly Compliant",TRUE)</formula>
    </cfRule>
    <cfRule type="expression" dxfId="7483" priority="985">
      <formula>IF(V39="Unknown/Missing",TRUE)</formula>
    </cfRule>
    <cfRule type="expression" dxfId="7482" priority="986">
      <formula>IF(V39="Not Required/Applicable",TRUE)</formula>
    </cfRule>
    <cfRule type="expression" dxfId="7481" priority="987">
      <formula>IF(V39="Not Compliant",TRUE)</formula>
    </cfRule>
    <cfRule type="expression" dxfId="7480" priority="988">
      <formula>IF($N39=" ",TRUE)</formula>
    </cfRule>
  </conditionalFormatting>
  <conditionalFormatting sqref="V57">
    <cfRule type="expression" dxfId="7479" priority="968">
      <formula>IF(W57=FALSE,TRUE,FALSE)</formula>
    </cfRule>
    <cfRule type="expression" dxfId="7478" priority="969">
      <formula>IF(W57=TRUE,TRUE,FALSE)</formula>
    </cfRule>
  </conditionalFormatting>
  <conditionalFormatting sqref="V58">
    <cfRule type="expression" dxfId="7477" priority="1016">
      <formula>IF(V58="Compliant",TRUE)</formula>
    </cfRule>
    <cfRule type="expression" dxfId="7476" priority="1017">
      <formula>IF(V58="FE with work-a-round",TRUE)</formula>
    </cfRule>
    <cfRule type="expression" dxfId="7475" priority="1018">
      <formula>IF(V58="Functionally Equivalent",TRUE)</formula>
    </cfRule>
    <cfRule type="expression" dxfId="7474" priority="1019">
      <formula>IF(V58="Likely to become compliant",TRUE)</formula>
    </cfRule>
    <cfRule type="expression" dxfId="7473" priority="1020">
      <formula>IF(V58="Partly Compliant",TRUE)</formula>
    </cfRule>
    <cfRule type="expression" dxfId="7472" priority="1021">
      <formula>IF(V58="Unknown/Missing",TRUE)</formula>
    </cfRule>
    <cfRule type="expression" dxfId="7471" priority="1022">
      <formula>IF(V58="Not Required/Applicable",TRUE)</formula>
    </cfRule>
    <cfRule type="expression" dxfId="7470" priority="1023">
      <formula>IF(V58="Not Compliant",TRUE)</formula>
    </cfRule>
    <cfRule type="expression" dxfId="7469" priority="1024">
      <formula>IF($N58=" ",TRUE)</formula>
    </cfRule>
  </conditionalFormatting>
  <conditionalFormatting sqref="V63">
    <cfRule type="expression" dxfId="7468" priority="577">
      <formula>IF(W63=FALSE,TRUE,FALSE)</formula>
    </cfRule>
    <cfRule type="expression" dxfId="7467" priority="578">
      <formula>IF(W63=TRUE,TRUE,FALSE)</formula>
    </cfRule>
  </conditionalFormatting>
  <conditionalFormatting sqref="V69:V77">
    <cfRule type="expression" dxfId="7466" priority="559">
      <formula>IF(V69="Compliant",TRUE)</formula>
    </cfRule>
    <cfRule type="expression" dxfId="7465" priority="560">
      <formula>IF(V69="FE with work-a-round",TRUE)</formula>
    </cfRule>
    <cfRule type="expression" dxfId="7464" priority="561">
      <formula>IF(V69="Functionally Equivalent",TRUE)</formula>
    </cfRule>
    <cfRule type="expression" dxfId="7463" priority="562">
      <formula>IF(V69="Likely to become compliant",TRUE)</formula>
    </cfRule>
    <cfRule type="expression" dxfId="7462" priority="563">
      <formula>IF(V69="Partly Compliant",TRUE)</formula>
    </cfRule>
    <cfRule type="expression" dxfId="7461" priority="564">
      <formula>IF(V69="Unknown/Missing",TRUE)</formula>
    </cfRule>
    <cfRule type="expression" dxfId="7460" priority="565">
      <formula>IF(V69="Not Required/Applicable",TRUE)</formula>
    </cfRule>
    <cfRule type="expression" dxfId="7459" priority="566">
      <formula>IF(V69="Not Compliant",TRUE)</formula>
    </cfRule>
    <cfRule type="expression" dxfId="7458" priority="567">
      <formula>IF($N69=" ",TRUE)</formula>
    </cfRule>
  </conditionalFormatting>
  <conditionalFormatting sqref="V80">
    <cfRule type="expression" dxfId="7457" priority="550">
      <formula>IF(V80="Compliant",TRUE)</formula>
    </cfRule>
    <cfRule type="expression" dxfId="7456" priority="551">
      <formula>IF(V80="FE with work-a-round",TRUE)</formula>
    </cfRule>
    <cfRule type="expression" dxfId="7455" priority="552">
      <formula>IF(V80="Functionally Equivalent",TRUE)</formula>
    </cfRule>
    <cfRule type="expression" dxfId="7454" priority="553">
      <formula>IF(V80="Likely to become compliant",TRUE)</formula>
    </cfRule>
    <cfRule type="expression" dxfId="7453" priority="554">
      <formula>IF(V80="Partly Compliant",TRUE)</formula>
    </cfRule>
    <cfRule type="expression" dxfId="7452" priority="555">
      <formula>IF(V80="Unknown/Missing",TRUE)</formula>
    </cfRule>
    <cfRule type="expression" dxfId="7451" priority="556">
      <formula>IF(V80="Not Required/Applicable",TRUE)</formula>
    </cfRule>
    <cfRule type="expression" dxfId="7450" priority="557">
      <formula>IF(V80="Not Compliant",TRUE)</formula>
    </cfRule>
    <cfRule type="expression" dxfId="7449" priority="558">
      <formula>IF($N80=" ",TRUE)</formula>
    </cfRule>
  </conditionalFormatting>
  <conditionalFormatting sqref="V91">
    <cfRule type="expression" dxfId="7448" priority="532">
      <formula>IF(V91="Compliant",TRUE)</formula>
    </cfRule>
    <cfRule type="expression" dxfId="7447" priority="533">
      <formula>IF(V91="FE with work-a-round",TRUE)</formula>
    </cfRule>
    <cfRule type="expression" dxfId="7446" priority="534">
      <formula>IF(V91="Functionally Equivalent",TRUE)</formula>
    </cfRule>
    <cfRule type="expression" dxfId="7445" priority="535">
      <formula>IF(V91="Likely to become compliant",TRUE)</formula>
    </cfRule>
    <cfRule type="expression" dxfId="7444" priority="536">
      <formula>IF(V91="Partly Compliant",TRUE)</formula>
    </cfRule>
    <cfRule type="expression" dxfId="7443" priority="537">
      <formula>IF(V91="Unknown/Missing",TRUE)</formula>
    </cfRule>
    <cfRule type="expression" dxfId="7442" priority="538">
      <formula>IF(V91="Not Required/Applicable",TRUE)</formula>
    </cfRule>
    <cfRule type="expression" dxfId="7441" priority="539">
      <formula>IF(V91="Not Compliant",TRUE)</formula>
    </cfRule>
    <cfRule type="expression" dxfId="7440" priority="540">
      <formula>IF($N91=" ",TRUE)</formula>
    </cfRule>
  </conditionalFormatting>
  <conditionalFormatting sqref="V95">
    <cfRule type="expression" dxfId="7439" priority="521">
      <formula>IF(W95=FALSE,TRUE,FALSE)</formula>
    </cfRule>
    <cfRule type="expression" dxfId="7438" priority="522">
      <formula>IF(W95=TRUE,TRUE,FALSE)</formula>
    </cfRule>
  </conditionalFormatting>
  <conditionalFormatting sqref="V96">
    <cfRule type="expression" dxfId="7437" priority="523">
      <formula>IF(V96="Compliant",TRUE)</formula>
    </cfRule>
    <cfRule type="expression" dxfId="7436" priority="524">
      <formula>IF(V96="FE with work-a-round",TRUE)</formula>
    </cfRule>
    <cfRule type="expression" dxfId="7435" priority="525">
      <formula>IF(V96="Functionally Equivalent",TRUE)</formula>
    </cfRule>
    <cfRule type="expression" dxfId="7434" priority="526">
      <formula>IF(V96="Likely to become compliant",TRUE)</formula>
    </cfRule>
    <cfRule type="expression" dxfId="7433" priority="527">
      <formula>IF(V96="Partly Compliant",TRUE)</formula>
    </cfRule>
    <cfRule type="expression" dxfId="7432" priority="528">
      <formula>IF(V96="Unknown/Missing",TRUE)</formula>
    </cfRule>
    <cfRule type="expression" dxfId="7431" priority="529">
      <formula>IF(V96="Not Required/Applicable",TRUE)</formula>
    </cfRule>
    <cfRule type="expression" dxfId="7430" priority="530">
      <formula>IF(V96="Not Compliant",TRUE)</formula>
    </cfRule>
    <cfRule type="expression" dxfId="7429" priority="531">
      <formula>IF($N96=" ",TRUE)</formula>
    </cfRule>
  </conditionalFormatting>
  <conditionalFormatting sqref="V100">
    <cfRule type="expression" dxfId="7428" priority="510">
      <formula>IF(W100=FALSE,TRUE,FALSE)</formula>
    </cfRule>
    <cfRule type="expression" dxfId="7427" priority="511">
      <formula>IF(W100=TRUE,TRUE,FALSE)</formula>
    </cfRule>
  </conditionalFormatting>
  <conditionalFormatting sqref="V102">
    <cfRule type="expression" dxfId="7426" priority="512">
      <formula>IF(V102="Compliant",TRUE)</formula>
    </cfRule>
    <cfRule type="expression" dxfId="7425" priority="513">
      <formula>IF(V102="FE with work-a-round",TRUE)</formula>
    </cfRule>
    <cfRule type="expression" dxfId="7424" priority="514">
      <formula>IF(V102="Functionally Equivalent",TRUE)</formula>
    </cfRule>
    <cfRule type="expression" dxfId="7423" priority="515">
      <formula>IF(V102="Likely to become compliant",TRUE)</formula>
    </cfRule>
    <cfRule type="expression" dxfId="7422" priority="516">
      <formula>IF(V102="Partly Compliant",TRUE)</formula>
    </cfRule>
    <cfRule type="expression" dxfId="7421" priority="517">
      <formula>IF(V102="Unknown/Missing",TRUE)</formula>
    </cfRule>
    <cfRule type="expression" dxfId="7420" priority="518">
      <formula>IF(V102="Not Required/Applicable",TRUE)</formula>
    </cfRule>
    <cfRule type="expression" dxfId="7419" priority="519">
      <formula>IF(V102="Not Compliant",TRUE)</formula>
    </cfRule>
    <cfRule type="expression" dxfId="7418" priority="520">
      <formula>IF($N102=" ",TRUE)</formula>
    </cfRule>
  </conditionalFormatting>
  <conditionalFormatting sqref="V123:V124">
    <cfRule type="expression" dxfId="7417" priority="501">
      <formula>IF(V123="Compliant",TRUE)</formula>
    </cfRule>
    <cfRule type="expression" dxfId="7416" priority="502">
      <formula>IF(V123="FE with work-a-round",TRUE)</formula>
    </cfRule>
    <cfRule type="expression" dxfId="7415" priority="503">
      <formula>IF(V123="Functionally Equivalent",TRUE)</formula>
    </cfRule>
    <cfRule type="expression" dxfId="7414" priority="504">
      <formula>IF(V123="Likely to become compliant",TRUE)</formula>
    </cfRule>
    <cfRule type="expression" dxfId="7413" priority="505">
      <formula>IF(V123="Partly Compliant",TRUE)</formula>
    </cfRule>
    <cfRule type="expression" dxfId="7412" priority="506">
      <formula>IF(V123="Unknown/Missing",TRUE)</formula>
    </cfRule>
    <cfRule type="expression" dxfId="7411" priority="507">
      <formula>IF(V123="Not Required/Applicable",TRUE)</formula>
    </cfRule>
    <cfRule type="expression" dxfId="7410" priority="508">
      <formula>IF(V123="Not Compliant",TRUE)</formula>
    </cfRule>
    <cfRule type="expression" dxfId="7409" priority="509">
      <formula>IF($N123=" ",TRUE)</formula>
    </cfRule>
  </conditionalFormatting>
  <conditionalFormatting sqref="V20:W20 V83:W89">
    <cfRule type="containsText" dxfId="7408" priority="1972" operator="containsText" text="Applicable">
      <formula>NOT(ISERROR(SEARCH("Applicable",V20)))</formula>
    </cfRule>
    <cfRule type="containsText" dxfId="7407" priority="1973" operator="containsText" text="Functionally">
      <formula>NOT(ISERROR(SEARCH("Functionally",V20)))</formula>
    </cfRule>
    <cfRule type="containsText" dxfId="7406" priority="1974" operator="containsText" text="Not Compliant">
      <formula>NOT(ISERROR(SEARCH("Not Compliant",V20)))</formula>
    </cfRule>
    <cfRule type="containsText" dxfId="7405" priority="1975" operator="containsText" text="Compliant">
      <formula>NOT(ISERROR(SEARCH("Compliant",V20)))</formula>
    </cfRule>
  </conditionalFormatting>
  <conditionalFormatting sqref="V92:W92 V94:W94 V156:W156 V158:W158">
    <cfRule type="containsText" dxfId="7404" priority="2109" operator="containsText" text="Applicable">
      <formula>NOT(ISERROR(SEARCH("Applicable",V92)))</formula>
    </cfRule>
    <cfRule type="containsText" dxfId="7403" priority="2110" operator="containsText" text="Functionally">
      <formula>NOT(ISERROR(SEARCH("Functionally",V92)))</formula>
    </cfRule>
    <cfRule type="containsText" dxfId="7402" priority="2111" operator="containsText" text="Not Compliant">
      <formula>NOT(ISERROR(SEARCH("Not Compliant",V92)))</formula>
    </cfRule>
    <cfRule type="containsText" dxfId="7401" priority="2112" operator="containsText" text="Compliant">
      <formula>NOT(ISERROR(SEARCH("Compliant",V92)))</formula>
    </cfRule>
  </conditionalFormatting>
  <conditionalFormatting sqref="X16:X17">
    <cfRule type="containsText" dxfId="7400" priority="2097" operator="containsText" text="Applicable">
      <formula>NOT(ISERROR(SEARCH("Applicable",X16)))</formula>
    </cfRule>
    <cfRule type="containsText" dxfId="7399" priority="2098" operator="containsText" text="Functionally">
      <formula>NOT(ISERROR(SEARCH("Functionally",X16)))</formula>
    </cfRule>
    <cfRule type="containsText" dxfId="7398" priority="2099" operator="containsText" text="Not Compliant">
      <formula>NOT(ISERROR(SEARCH("Not Compliant",X16)))</formula>
    </cfRule>
    <cfRule type="containsText" dxfId="7397" priority="2100" operator="containsText" text="Compliant">
      <formula>NOT(ISERROR(SEARCH("Compliant",X16)))</formula>
    </cfRule>
  </conditionalFormatting>
  <conditionalFormatting sqref="D29">
    <cfRule type="expression" dxfId="7396" priority="131">
      <formula>IF($D29="Compliant",TRUE)</formula>
    </cfRule>
    <cfRule type="expression" dxfId="7395" priority="132">
      <formula>IF($D29=" ",TRUE)</formula>
    </cfRule>
    <cfRule type="expression" dxfId="7394" priority="138">
      <formula>IF($D29="Not Compliant",TRUE)</formula>
    </cfRule>
  </conditionalFormatting>
  <conditionalFormatting sqref="D43">
    <cfRule type="expression" dxfId="7393" priority="130">
      <formula>IF($E43=TRUE,TRUE,FALSE)</formula>
    </cfRule>
  </conditionalFormatting>
  <conditionalFormatting sqref="D44">
    <cfRule type="expression" dxfId="7392" priority="129">
      <formula>IF($E44=TRUE,TRUE,FALSE)</formula>
    </cfRule>
  </conditionalFormatting>
  <conditionalFormatting sqref="D48">
    <cfRule type="expression" dxfId="7391" priority="128">
      <formula>IF($E48=TRUE,TRUE,FALSE)</formula>
    </cfRule>
  </conditionalFormatting>
  <conditionalFormatting sqref="D83">
    <cfRule type="expression" dxfId="7390" priority="126">
      <formula>IF($E83=TRUE,TRUE,FALSE)</formula>
    </cfRule>
  </conditionalFormatting>
  <conditionalFormatting sqref="D86">
    <cfRule type="expression" dxfId="7389" priority="124">
      <formula>IF($E86=TRUE,TRUE,FALSE)</formula>
    </cfRule>
  </conditionalFormatting>
  <conditionalFormatting sqref="D84:D85">
    <cfRule type="expression" dxfId="7388" priority="108">
      <formula>IF($D84="Compliant",TRUE)</formula>
    </cfRule>
    <cfRule type="expression" dxfId="7387" priority="109">
      <formula>IF($D84=" ",TRUE)</formula>
    </cfRule>
    <cfRule type="expression" dxfId="7386" priority="115">
      <formula>IF($D84="Not Compliant",TRUE)</formula>
    </cfRule>
  </conditionalFormatting>
  <conditionalFormatting sqref="D87:D89">
    <cfRule type="expression" dxfId="7385" priority="92">
      <formula>IF($D87="Compliant",TRUE)</formula>
    </cfRule>
    <cfRule type="expression" dxfId="7384" priority="93">
      <formula>IF($D87=" ",TRUE)</formula>
    </cfRule>
    <cfRule type="expression" dxfId="7383" priority="99">
      <formula>IF($D87="Not Compliant",TRUE)</formula>
    </cfRule>
  </conditionalFormatting>
  <conditionalFormatting sqref="D101">
    <cfRule type="expression" dxfId="7382" priority="84">
      <formula>IF($D101="Compliant",TRUE)</formula>
    </cfRule>
    <cfRule type="expression" dxfId="7381" priority="85">
      <formula>IF($D101=" ",TRUE)</formula>
    </cfRule>
    <cfRule type="expression" dxfId="7380" priority="91">
      <formula>IF($D101="Not Compliant",TRUE)</formula>
    </cfRule>
  </conditionalFormatting>
  <conditionalFormatting sqref="B101">
    <cfRule type="expression" dxfId="7379" priority="81">
      <formula>IF(AND($E101=FALSE,$I101="",$L101=""),TRUE,FALSE)</formula>
    </cfRule>
    <cfRule type="expression" dxfId="7378" priority="82">
      <formula>IF(AND($E101=TRUE,$I101&lt;&gt;"",$L101&lt;&gt;""),TRUE,FALSE)</formula>
    </cfRule>
    <cfRule type="expression" dxfId="7377" priority="83">
      <formula>IF(AND($E101=TRUE,OR($I101="",$L101="")),TRUE,FALSE)</formula>
    </cfRule>
  </conditionalFormatting>
  <conditionalFormatting sqref="V101">
    <cfRule type="expression" dxfId="7376" priority="73">
      <formula>IF($D101="Compliant",TRUE)</formula>
    </cfRule>
    <cfRule type="expression" dxfId="7375" priority="74">
      <formula>IF($D101=" ",TRUE)</formula>
    </cfRule>
    <cfRule type="expression" dxfId="7374" priority="80">
      <formula>IF($D101="Not Compliant",TRUE)</formula>
    </cfRule>
  </conditionalFormatting>
  <conditionalFormatting sqref="Q101">
    <cfRule type="expression" dxfId="7373" priority="65">
      <formula>IF($D101="Compliant",TRUE)</formula>
    </cfRule>
    <cfRule type="expression" dxfId="7372" priority="66">
      <formula>IF($D101=" ",TRUE)</formula>
    </cfRule>
    <cfRule type="expression" dxfId="7371" priority="72">
      <formula>IF($D101="Not Compliant",TRUE)</formula>
    </cfRule>
  </conditionalFormatting>
  <conditionalFormatting sqref="N101">
    <cfRule type="expression" dxfId="7370" priority="49">
      <formula>IF($D101="Compliant",TRUE)</formula>
    </cfRule>
    <cfRule type="expression" dxfId="7369" priority="50">
      <formula>IF($D101=" ",TRUE)</formula>
    </cfRule>
    <cfRule type="expression" dxfId="7368" priority="56">
      <formula>IF($D101="Not Compliant",TRUE)</formula>
    </cfRule>
  </conditionalFormatting>
  <conditionalFormatting sqref="D73">
    <cfRule type="expression" dxfId="7367" priority="37">
      <formula>IF($E73=TRUE,TRUE,FALSE)</formula>
    </cfRule>
  </conditionalFormatting>
  <conditionalFormatting sqref="B87:B89">
    <cfRule type="expression" dxfId="7366" priority="34">
      <formula>IF(AND($E87=FALSE,OR($I87&lt;&gt;"",$L87&lt;&gt;"")),TRUE,FALSE)</formula>
    </cfRule>
    <cfRule type="expression" dxfId="7365" priority="35">
      <formula>IF(AND($E87=TRUE,$I87&lt;&gt;"",$L87&lt;&gt;""),TRUE,FALSE)</formula>
    </cfRule>
    <cfRule type="expression" dxfId="7364" priority="36">
      <formula>IF(AND($E87=TRUE,OR($I87="",$L87="")),TRUE,FALSE)</formula>
    </cfRule>
  </conditionalFormatting>
  <conditionalFormatting sqref="B70:B72">
    <cfRule type="expression" dxfId="7363" priority="31">
      <formula>IF(AND($E70=FALSE,OR($I70&lt;&gt;"",$L70&lt;&gt;"")),TRUE,FALSE)</formula>
    </cfRule>
    <cfRule type="expression" dxfId="7362" priority="32">
      <formula>IF(AND($E70=TRUE,$I70&lt;&gt;"",$L70&lt;&gt;""),TRUE,FALSE)</formula>
    </cfRule>
    <cfRule type="expression" dxfId="7361" priority="33">
      <formula>IF(AND($E70=TRUE,OR($I70="",$L70="")),TRUE,FALSE)</formula>
    </cfRule>
  </conditionalFormatting>
  <conditionalFormatting sqref="B74">
    <cfRule type="expression" dxfId="7360" priority="28">
      <formula>IF(AND($E74=FALSE,OR($I74&lt;&gt;"",$L74&lt;&gt;"")),TRUE,FALSE)</formula>
    </cfRule>
    <cfRule type="expression" dxfId="7359" priority="29">
      <formula>IF(AND($E74=TRUE,$I74&lt;&gt;"",$L74&lt;&gt;""),TRUE,FALSE)</formula>
    </cfRule>
    <cfRule type="expression" dxfId="7358" priority="30">
      <formula>IF(AND($E74=TRUE,OR($I74="",$L74="")),TRUE,FALSE)</formula>
    </cfRule>
  </conditionalFormatting>
  <conditionalFormatting sqref="B75:B78">
    <cfRule type="expression" dxfId="7357" priority="25">
      <formula>IF(AND($E75=FALSE,OR($I75&lt;&gt;"",$L75&lt;&gt;"")),TRUE,FALSE)</formula>
    </cfRule>
    <cfRule type="expression" dxfId="7356" priority="26">
      <formula>IF(AND($E75=TRUE,$I75&lt;&gt;"",$L75&lt;&gt;""),TRUE,FALSE)</formula>
    </cfRule>
    <cfRule type="expression" dxfId="7355" priority="27">
      <formula>IF(AND($E75=TRUE,OR($I75="",$L75="")),TRUE,FALSE)</formula>
    </cfRule>
  </conditionalFormatting>
  <conditionalFormatting sqref="B79">
    <cfRule type="expression" dxfId="7354" priority="22">
      <formula>IF(AND($E79=FALSE,OR($I79&lt;&gt;"",$L79&lt;&gt;"")),TRUE,FALSE)</formula>
    </cfRule>
    <cfRule type="expression" dxfId="7353" priority="23">
      <formula>IF(AND($E79=TRUE,$I79&lt;&gt;"",$L79&lt;&gt;""),TRUE,FALSE)</formula>
    </cfRule>
    <cfRule type="expression" dxfId="7352" priority="24">
      <formula>IF(AND($E79=TRUE,OR($I79="",$L79="")),TRUE,FALSE)</formula>
    </cfRule>
  </conditionalFormatting>
  <conditionalFormatting sqref="B81:B82">
    <cfRule type="expression" dxfId="7351" priority="19">
      <formula>IF(AND($E81=FALSE,OR($I81&lt;&gt;"",$L81&lt;&gt;"")),TRUE,FALSE)</formula>
    </cfRule>
    <cfRule type="expression" dxfId="7350" priority="20">
      <formula>IF(AND($E81=TRUE,$I81&lt;&gt;"",$L81&lt;&gt;""),TRUE,FALSE)</formula>
    </cfRule>
    <cfRule type="expression" dxfId="7349" priority="21">
      <formula>IF(AND($E81=TRUE,OR($I81="",$L81="")),TRUE,FALSE)</formula>
    </cfRule>
  </conditionalFormatting>
  <conditionalFormatting sqref="B84">
    <cfRule type="expression" dxfId="7348" priority="16">
      <formula>IF(AND($E84=FALSE,OR($I84&lt;&gt;"",$L84&lt;&gt;"")),TRUE,FALSE)</formula>
    </cfRule>
    <cfRule type="expression" dxfId="7347" priority="17">
      <formula>IF(AND($E84=TRUE,$I84&lt;&gt;"",$L84&lt;&gt;""),TRUE,FALSE)</formula>
    </cfRule>
    <cfRule type="expression" dxfId="7346" priority="18">
      <formula>IF(AND($E84=TRUE,OR($I84="",$L84="")),TRUE,FALSE)</formula>
    </cfRule>
  </conditionalFormatting>
  <conditionalFormatting sqref="B85">
    <cfRule type="expression" dxfId="7345" priority="13">
      <formula>IF(AND($E85=FALSE,OR($I85&lt;&gt;"",$L85&lt;&gt;"")),TRUE,FALSE)</formula>
    </cfRule>
    <cfRule type="expression" dxfId="7344" priority="14">
      <formula>IF(AND($E85=TRUE,$I85&lt;&gt;"",$L85&lt;&gt;""),TRUE,FALSE)</formula>
    </cfRule>
    <cfRule type="expression" dxfId="7343" priority="15">
      <formula>IF(AND($E85=TRUE,OR($I85="",$L85="")),TRUE,FALSE)</formula>
    </cfRule>
  </conditionalFormatting>
  <conditionalFormatting sqref="B69">
    <cfRule type="expression" dxfId="7342" priority="12">
      <formula>IF($E69=TRUE,TRUE,FALSE)</formula>
    </cfRule>
  </conditionalFormatting>
  <conditionalFormatting sqref="B73">
    <cfRule type="expression" dxfId="7341" priority="11">
      <formula>IF($E73=TRUE,TRUE,FALSE)</formula>
    </cfRule>
  </conditionalFormatting>
  <conditionalFormatting sqref="B80">
    <cfRule type="expression" dxfId="7340" priority="10">
      <formula>IF($E80=TRUE,TRUE,FALSE)</formula>
    </cfRule>
  </conditionalFormatting>
  <conditionalFormatting sqref="B83">
    <cfRule type="expression" dxfId="7339" priority="9">
      <formula>IF($E83=TRUE,TRUE,FALSE)</formula>
    </cfRule>
  </conditionalFormatting>
  <conditionalFormatting sqref="B86">
    <cfRule type="expression" dxfId="7338" priority="8">
      <formula>IF($E86=TRUE,TRUE,FALSE)</formula>
    </cfRule>
  </conditionalFormatting>
  <conditionalFormatting sqref="B48">
    <cfRule type="expression" dxfId="7337" priority="7">
      <formula>IF($E48=TRUE,TRUE,FALSE)</formula>
    </cfRule>
  </conditionalFormatting>
  <conditionalFormatting sqref="B43:B44">
    <cfRule type="expression" dxfId="7336" priority="6">
      <formula>IF($E43=TRUE,TRUE,FALSE)</formula>
    </cfRule>
  </conditionalFormatting>
  <conditionalFormatting sqref="B29">
    <cfRule type="expression" dxfId="7335" priority="3">
      <formula>IF(AND($E29=FALSE,OR($I29&lt;&gt;"",$L29&lt;&gt;"")),TRUE,FALSE)</formula>
    </cfRule>
    <cfRule type="expression" dxfId="7334" priority="4">
      <formula>IF(AND($E29=TRUE,$I29&lt;&gt;"",$L29&lt;&gt;""),TRUE,FALSE)</formula>
    </cfRule>
    <cfRule type="expression" dxfId="7333" priority="5">
      <formula>IF(AND($E29=TRUE,OR($I29="",$L29="")),TRUE,FALSE)</formula>
    </cfRule>
  </conditionalFormatting>
  <conditionalFormatting sqref="B103:B122 B145:B155 B124:B143 B31:B35 B64 B40:B42 B49:B53 B45:B47 B25:B27">
    <cfRule type="expression" dxfId="7332" priority="1214">
      <formula>IF(AND($E25=FALSE,OR($I25&lt;&gt;"",$L25&lt;&gt;"")),TRUE,FALSE)</formula>
    </cfRule>
    <cfRule type="expression" dxfId="7331" priority="1215">
      <formula>IF(AND($E25=TRUE,$I25&lt;&gt;"",$L25&lt;&gt;""),TRUE,FALSE)</formula>
    </cfRule>
    <cfRule type="expression" dxfId="7330" priority="1216">
      <formula>IF(AND($E25=TRUE,OR($I25="",$L25="")),TRUE,FALSE)</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1415" id="{2CC235BD-4994-4743-8DBB-A0E03901555A}">
            <xm:f>ISNUMBER(SEARCH($D9,Dropdowns!$D$18))</xm:f>
            <x14:dxf>
              <fill>
                <patternFill>
                  <bgColor rgb="FFFFFF00"/>
                </patternFill>
              </fill>
            </x14:dxf>
          </x14:cfRule>
          <x14:cfRule type="expression" priority="1416" id="{C5D59808-48ED-4658-BF9C-1F03586CD35B}">
            <xm:f>ISNUMBER(SEARCH($D9,Dropdowns!$D$19))</xm:f>
            <x14:dxf>
              <fill>
                <patternFill>
                  <bgColor theme="6" tint="0.39994506668294322"/>
                </patternFill>
              </fill>
            </x14:dxf>
          </x14:cfRule>
          <x14:cfRule type="expression" priority="1417" id="{614C96CD-7A5A-4EDC-BDEC-C443964C4BA0}">
            <xm:f>ISNUMBER(SEARCH($D9,Dropdowns!$D$20))</xm:f>
            <x14:dxf>
              <fill>
                <patternFill>
                  <bgColor theme="6" tint="0.39994506668294322"/>
                </patternFill>
              </fill>
            </x14:dxf>
          </x14:cfRule>
          <x14:cfRule type="expression" priority="1418" id="{CEB8F7C3-F878-4A83-8F7B-791A86FDB38C}">
            <xm:f>ISNUMBER(SEARCH($D9,Dropdowns!$D$21))</xm:f>
            <x14:dxf>
              <fill>
                <patternFill>
                  <bgColor rgb="FFFFFF00"/>
                </patternFill>
              </fill>
            </x14:dxf>
          </x14:cfRule>
          <x14:cfRule type="expression" priority="1419" id="{8CA51023-CA52-4D2B-B5B0-6468D5FFC359}">
            <xm:f>ISNUMBER(SEARCH($D9,Dropdowns!$D$23))</xm:f>
            <x14:dxf>
              <fill>
                <patternFill>
                  <bgColor rgb="FFFFFF00"/>
                </patternFill>
              </fill>
            </x14:dxf>
          </x14:cfRule>
          <xm:sqref>D9:D11 D25:D27 D31:D35 D40:D42 D45:D47 D49:D53 D66:D68 D64 D103:D122 D124:D143 D145:D155</xm:sqref>
        </x14:conditionalFormatting>
        <x14:conditionalFormatting xmlns:xm="http://schemas.microsoft.com/office/excel/2006/main">
          <x14:cfRule type="expression" priority="1407" id="{700FA153-4C51-40A2-A323-49F4394215DE}">
            <xm:f>ISNUMBER(SEARCH($D13,Dropdowns!$D$18))</xm:f>
            <x14:dxf>
              <fill>
                <patternFill>
                  <bgColor rgb="FFFFFF00"/>
                </patternFill>
              </fill>
            </x14:dxf>
          </x14:cfRule>
          <x14:cfRule type="expression" priority="1408" id="{2C6FA646-D7A4-45B1-8F38-417615BB10AF}">
            <xm:f>ISNUMBER(SEARCH($D13,Dropdowns!$D$19))</xm:f>
            <x14:dxf>
              <fill>
                <patternFill>
                  <bgColor theme="6" tint="0.39994506668294322"/>
                </patternFill>
              </fill>
            </x14:dxf>
          </x14:cfRule>
          <x14:cfRule type="expression" priority="1409" id="{6C989BFC-0269-4356-9049-71C322A9A183}">
            <xm:f>ISNUMBER(SEARCH($D13,Dropdowns!$D$20))</xm:f>
            <x14:dxf>
              <fill>
                <patternFill>
                  <bgColor theme="6" tint="0.39994506668294322"/>
                </patternFill>
              </fill>
            </x14:dxf>
          </x14:cfRule>
          <x14:cfRule type="expression" priority="1410" id="{AB0B40B3-A7AC-4CD5-83EB-6955E86B0839}">
            <xm:f>ISNUMBER(SEARCH($D13,Dropdowns!$D$21))</xm:f>
            <x14:dxf>
              <fill>
                <patternFill>
                  <bgColor rgb="FFFFFF00"/>
                </patternFill>
              </fill>
            </x14:dxf>
          </x14:cfRule>
          <x14:cfRule type="expression" priority="1411" id="{135B4684-FFC0-4E76-81BA-5FEF2CD6B22B}">
            <xm:f>ISNUMBER(SEARCH($D13,Dropdowns!$D$23))</xm:f>
            <x14:dxf>
              <fill>
                <patternFill>
                  <bgColor rgb="FFFFFF00"/>
                </patternFill>
              </fill>
            </x14:dxf>
          </x14:cfRule>
          <xm:sqref>D13:D14</xm:sqref>
        </x14:conditionalFormatting>
        <x14:conditionalFormatting xmlns:xm="http://schemas.microsoft.com/office/excel/2006/main">
          <x14:cfRule type="expression" priority="1391" id="{64B3EB0E-0DE5-483F-A6B1-D7E9ED42B5E6}">
            <xm:f>ISNUMBER(SEARCH($D59,Dropdowns!$D$18))</xm:f>
            <x14:dxf>
              <fill>
                <patternFill>
                  <bgColor rgb="FFFFFF00"/>
                </patternFill>
              </fill>
            </x14:dxf>
          </x14:cfRule>
          <x14:cfRule type="expression" priority="1392" id="{ED25F268-57F4-4CE4-B835-78A79E390CB8}">
            <xm:f>ISNUMBER(SEARCH($D59,Dropdowns!$D$19))</xm:f>
            <x14:dxf>
              <fill>
                <patternFill>
                  <bgColor theme="6" tint="0.39994506668294322"/>
                </patternFill>
              </fill>
            </x14:dxf>
          </x14:cfRule>
          <x14:cfRule type="expression" priority="1393" id="{6FEED835-A77C-44C5-98AC-E9732CA1066B}">
            <xm:f>ISNUMBER(SEARCH($D59,Dropdowns!$D$20))</xm:f>
            <x14:dxf>
              <fill>
                <patternFill>
                  <bgColor theme="6" tint="0.39994506668294322"/>
                </patternFill>
              </fill>
            </x14:dxf>
          </x14:cfRule>
          <x14:cfRule type="expression" priority="1394" id="{4A5876C9-6A82-4023-95AE-6C228248DDC2}">
            <xm:f>ISNUMBER(SEARCH($D59,Dropdowns!$D$21))</xm:f>
            <x14:dxf>
              <fill>
                <patternFill>
                  <bgColor rgb="FFFFFF00"/>
                </patternFill>
              </fill>
            </x14:dxf>
          </x14:cfRule>
          <x14:cfRule type="expression" priority="1395" id="{87B5B3D1-A87C-42BD-B379-39A83FA4EACE}">
            <xm:f>ISNUMBER(SEARCH($D59,Dropdowns!$D$23))</xm:f>
            <x14:dxf>
              <fill>
                <patternFill>
                  <bgColor rgb="FFFFFF00"/>
                </patternFill>
              </fill>
            </x14:dxf>
          </x14:cfRule>
          <xm:sqref>D59:D61 D81:D82 D91 D97:D99 D74:D79 D70:D72</xm:sqref>
        </x14:conditionalFormatting>
        <x14:conditionalFormatting xmlns:xm="http://schemas.microsoft.com/office/excel/2006/main">
          <x14:cfRule type="expression" priority="133" id="{0CB0DDD3-7E0B-4CF8-B4C5-D193E6626756}">
            <xm:f>ISNUMBER(SEARCH($D29,Dropdowns!$D$18))</xm:f>
            <x14:dxf>
              <fill>
                <patternFill>
                  <bgColor rgb="FFFFFF00"/>
                </patternFill>
              </fill>
            </x14:dxf>
          </x14:cfRule>
          <x14:cfRule type="expression" priority="134" id="{14B6B12A-F759-4DDC-836E-B1AB2FD23610}">
            <xm:f>ISNUMBER(SEARCH($D29,Dropdowns!$D$19))</xm:f>
            <x14:dxf>
              <fill>
                <patternFill>
                  <bgColor theme="6" tint="0.39994506668294322"/>
                </patternFill>
              </fill>
            </x14:dxf>
          </x14:cfRule>
          <x14:cfRule type="expression" priority="135" id="{E7C10F81-7D94-4708-AE60-730B1D58130F}">
            <xm:f>ISNUMBER(SEARCH($D29,Dropdowns!$D$20))</xm:f>
            <x14:dxf>
              <fill>
                <patternFill>
                  <bgColor theme="6" tint="0.39994506668294322"/>
                </patternFill>
              </fill>
            </x14:dxf>
          </x14:cfRule>
          <x14:cfRule type="expression" priority="136" id="{FF8D58AE-A07A-49DD-A635-6500350C0647}">
            <xm:f>ISNUMBER(SEARCH($D29,Dropdowns!$D$21))</xm:f>
            <x14:dxf>
              <fill>
                <patternFill>
                  <bgColor rgb="FFFFFF00"/>
                </patternFill>
              </fill>
            </x14:dxf>
          </x14:cfRule>
          <x14:cfRule type="expression" priority="137" id="{79E6A876-EF9E-4EAD-9B67-00F5D33C7A7D}">
            <xm:f>ISNUMBER(SEARCH($D29,Dropdowns!$D$23))</xm:f>
            <x14:dxf>
              <fill>
                <patternFill>
                  <bgColor rgb="FFFFFF00"/>
                </patternFill>
              </fill>
            </x14:dxf>
          </x14:cfRule>
          <xm:sqref>D29</xm:sqref>
        </x14:conditionalFormatting>
        <x14:conditionalFormatting xmlns:xm="http://schemas.microsoft.com/office/excel/2006/main">
          <x14:cfRule type="expression" priority="110" id="{508D9D11-4823-4E98-82E4-8D872C530A27}">
            <xm:f>ISNUMBER(SEARCH($D84,Dropdowns!$D$18))</xm:f>
            <x14:dxf>
              <fill>
                <patternFill>
                  <bgColor rgb="FFFFFF00"/>
                </patternFill>
              </fill>
            </x14:dxf>
          </x14:cfRule>
          <x14:cfRule type="expression" priority="111" id="{6BC238AB-5745-4CC4-8B16-BFA557A13E85}">
            <xm:f>ISNUMBER(SEARCH($D84,Dropdowns!$D$19))</xm:f>
            <x14:dxf>
              <fill>
                <patternFill>
                  <bgColor theme="6" tint="0.39994506668294322"/>
                </patternFill>
              </fill>
            </x14:dxf>
          </x14:cfRule>
          <x14:cfRule type="expression" priority="112" id="{697DD6CB-83E6-4FBD-AE8B-CF7A9035DED6}">
            <xm:f>ISNUMBER(SEARCH($D84,Dropdowns!$D$20))</xm:f>
            <x14:dxf>
              <fill>
                <patternFill>
                  <bgColor theme="6" tint="0.39994506668294322"/>
                </patternFill>
              </fill>
            </x14:dxf>
          </x14:cfRule>
          <x14:cfRule type="expression" priority="113" id="{99522C78-431B-44BA-BCA9-534AB276825D}">
            <xm:f>ISNUMBER(SEARCH($D84,Dropdowns!$D$21))</xm:f>
            <x14:dxf>
              <fill>
                <patternFill>
                  <bgColor rgb="FFFFFF00"/>
                </patternFill>
              </fill>
            </x14:dxf>
          </x14:cfRule>
          <x14:cfRule type="expression" priority="114" id="{A41A76B6-D974-4838-9D69-737E22AB831E}">
            <xm:f>ISNUMBER(SEARCH($D84,Dropdowns!$D$23))</xm:f>
            <x14:dxf>
              <fill>
                <patternFill>
                  <bgColor rgb="FFFFFF00"/>
                </patternFill>
              </fill>
            </x14:dxf>
          </x14:cfRule>
          <xm:sqref>D84:D85</xm:sqref>
        </x14:conditionalFormatting>
        <x14:conditionalFormatting xmlns:xm="http://schemas.microsoft.com/office/excel/2006/main">
          <x14:cfRule type="expression" priority="94" id="{98750449-2391-4D1A-B5D0-D3BADFA8B818}">
            <xm:f>ISNUMBER(SEARCH($D87,Dropdowns!$D$18))</xm:f>
            <x14:dxf>
              <fill>
                <patternFill>
                  <bgColor rgb="FFFFFF00"/>
                </patternFill>
              </fill>
            </x14:dxf>
          </x14:cfRule>
          <x14:cfRule type="expression" priority="95" id="{6F1A7F0A-9E7F-46C0-882A-7DB86C050F6F}">
            <xm:f>ISNUMBER(SEARCH($D87,Dropdowns!$D$19))</xm:f>
            <x14:dxf>
              <fill>
                <patternFill>
                  <bgColor theme="6" tint="0.39994506668294322"/>
                </patternFill>
              </fill>
            </x14:dxf>
          </x14:cfRule>
          <x14:cfRule type="expression" priority="96" id="{54DDAE60-3598-4E06-A6D8-00736BD9796C}">
            <xm:f>ISNUMBER(SEARCH($D87,Dropdowns!$D$20))</xm:f>
            <x14:dxf>
              <fill>
                <patternFill>
                  <bgColor theme="6" tint="0.39994506668294322"/>
                </patternFill>
              </fill>
            </x14:dxf>
          </x14:cfRule>
          <x14:cfRule type="expression" priority="97" id="{21B1C7ED-DA30-4ADA-B9F8-DD5EE265AC6F}">
            <xm:f>ISNUMBER(SEARCH($D87,Dropdowns!$D$21))</xm:f>
            <x14:dxf>
              <fill>
                <patternFill>
                  <bgColor rgb="FFFFFF00"/>
                </patternFill>
              </fill>
            </x14:dxf>
          </x14:cfRule>
          <x14:cfRule type="expression" priority="98" id="{5C632714-D1F1-4F5E-94D9-A87EC4A56C74}">
            <xm:f>ISNUMBER(SEARCH($D87,Dropdowns!$D$23))</xm:f>
            <x14:dxf>
              <fill>
                <patternFill>
                  <bgColor rgb="FFFFFF00"/>
                </patternFill>
              </fill>
            </x14:dxf>
          </x14:cfRule>
          <xm:sqref>D87:D89</xm:sqref>
        </x14:conditionalFormatting>
        <x14:conditionalFormatting xmlns:xm="http://schemas.microsoft.com/office/excel/2006/main">
          <x14:cfRule type="expression" priority="86" id="{959AE6DE-778F-400E-B1D3-6B7664D897FC}">
            <xm:f>ISNUMBER(SEARCH($D101,Dropdowns!$D$18))</xm:f>
            <x14:dxf>
              <fill>
                <patternFill>
                  <bgColor rgb="FFFFFF00"/>
                </patternFill>
              </fill>
            </x14:dxf>
          </x14:cfRule>
          <x14:cfRule type="expression" priority="87" id="{EB76A25E-6CE6-491A-A342-B3A3B0488767}">
            <xm:f>ISNUMBER(SEARCH($D101,Dropdowns!$D$19))</xm:f>
            <x14:dxf>
              <fill>
                <patternFill>
                  <bgColor theme="6" tint="0.39994506668294322"/>
                </patternFill>
              </fill>
            </x14:dxf>
          </x14:cfRule>
          <x14:cfRule type="expression" priority="88" id="{5CEEAA69-4921-4D5B-B71B-564D23F10C83}">
            <xm:f>ISNUMBER(SEARCH($D101,Dropdowns!$D$20))</xm:f>
            <x14:dxf>
              <fill>
                <patternFill>
                  <bgColor theme="6" tint="0.39994506668294322"/>
                </patternFill>
              </fill>
            </x14:dxf>
          </x14:cfRule>
          <x14:cfRule type="expression" priority="89" id="{4364AAC0-9401-489E-88F5-11CA73DE08BB}">
            <xm:f>ISNUMBER(SEARCH($D101,Dropdowns!$D$21))</xm:f>
            <x14:dxf>
              <fill>
                <patternFill>
                  <bgColor rgb="FFFFFF00"/>
                </patternFill>
              </fill>
            </x14:dxf>
          </x14:cfRule>
          <x14:cfRule type="expression" priority="90" id="{462F0C34-948A-4201-8BF7-14BB23D84810}">
            <xm:f>ISNUMBER(SEARCH($D101,Dropdowns!$D$23))</xm:f>
            <x14:dxf>
              <fill>
                <patternFill>
                  <bgColor rgb="FFFFFF00"/>
                </patternFill>
              </fill>
            </x14:dxf>
          </x14:cfRule>
          <xm:sqref>D101</xm:sqref>
        </x14:conditionalFormatting>
        <x14:conditionalFormatting xmlns:xm="http://schemas.microsoft.com/office/excel/2006/main">
          <x14:cfRule type="expression" priority="75" id="{B6A1083C-1406-4C4F-9440-26258450C24E}">
            <xm:f>ISNUMBER(SEARCH($D101,Dropdowns!$D$18))</xm:f>
            <x14:dxf>
              <fill>
                <patternFill>
                  <bgColor rgb="FFFFFF00"/>
                </patternFill>
              </fill>
            </x14:dxf>
          </x14:cfRule>
          <x14:cfRule type="expression" priority="76" id="{5AEE69DA-01A5-4DDB-803E-752185436A92}">
            <xm:f>ISNUMBER(SEARCH($D101,Dropdowns!$D$19))</xm:f>
            <x14:dxf>
              <fill>
                <patternFill>
                  <bgColor theme="6" tint="0.39994506668294322"/>
                </patternFill>
              </fill>
            </x14:dxf>
          </x14:cfRule>
          <x14:cfRule type="expression" priority="77" id="{FB9EC2A7-59D5-4458-A11E-05F6C06FFC17}">
            <xm:f>ISNUMBER(SEARCH($D101,Dropdowns!$D$20))</xm:f>
            <x14:dxf>
              <fill>
                <patternFill>
                  <bgColor theme="6" tint="0.39994506668294322"/>
                </patternFill>
              </fill>
            </x14:dxf>
          </x14:cfRule>
          <x14:cfRule type="expression" priority="78" id="{F5DB55A7-0204-4D80-8454-237D9BD91E3B}">
            <xm:f>ISNUMBER(SEARCH($D101,Dropdowns!$D$21))</xm:f>
            <x14:dxf>
              <fill>
                <patternFill>
                  <bgColor rgb="FFFFFF00"/>
                </patternFill>
              </fill>
            </x14:dxf>
          </x14:cfRule>
          <x14:cfRule type="expression" priority="79" id="{ED087E21-0CA6-419A-86E5-9D036A9FB2C0}">
            <xm:f>ISNUMBER(SEARCH($D101,Dropdowns!$D$23))</xm:f>
            <x14:dxf>
              <fill>
                <patternFill>
                  <bgColor rgb="FFFFFF00"/>
                </patternFill>
              </fill>
            </x14:dxf>
          </x14:cfRule>
          <xm:sqref>V101</xm:sqref>
        </x14:conditionalFormatting>
        <x14:conditionalFormatting xmlns:xm="http://schemas.microsoft.com/office/excel/2006/main">
          <x14:cfRule type="expression" priority="67" id="{2ABFCF16-7DD5-4648-83D1-49EDE868B1D4}">
            <xm:f>ISNUMBER(SEARCH($D101,Dropdowns!$D$18))</xm:f>
            <x14:dxf>
              <fill>
                <patternFill>
                  <bgColor rgb="FFFFFF00"/>
                </patternFill>
              </fill>
            </x14:dxf>
          </x14:cfRule>
          <x14:cfRule type="expression" priority="68" id="{7326AB22-D134-4978-9620-8158F2171D3B}">
            <xm:f>ISNUMBER(SEARCH($D101,Dropdowns!$D$19))</xm:f>
            <x14:dxf>
              <fill>
                <patternFill>
                  <bgColor theme="6" tint="0.39994506668294322"/>
                </patternFill>
              </fill>
            </x14:dxf>
          </x14:cfRule>
          <x14:cfRule type="expression" priority="69" id="{25A99580-D467-43C3-9814-C35212048035}">
            <xm:f>ISNUMBER(SEARCH($D101,Dropdowns!$D$20))</xm:f>
            <x14:dxf>
              <fill>
                <patternFill>
                  <bgColor theme="6" tint="0.39994506668294322"/>
                </patternFill>
              </fill>
            </x14:dxf>
          </x14:cfRule>
          <x14:cfRule type="expression" priority="70" id="{B7CC5571-68B8-4297-A735-52A8998BC2A7}">
            <xm:f>ISNUMBER(SEARCH($D101,Dropdowns!$D$21))</xm:f>
            <x14:dxf>
              <fill>
                <patternFill>
                  <bgColor rgb="FFFFFF00"/>
                </patternFill>
              </fill>
            </x14:dxf>
          </x14:cfRule>
          <x14:cfRule type="expression" priority="71" id="{9B6297D8-4CC4-4584-A037-6DC705392E8A}">
            <xm:f>ISNUMBER(SEARCH($D101,Dropdowns!$D$23))</xm:f>
            <x14:dxf>
              <fill>
                <patternFill>
                  <bgColor rgb="FFFFFF00"/>
                </patternFill>
              </fill>
            </x14:dxf>
          </x14:cfRule>
          <xm:sqref>Q101</xm:sqref>
        </x14:conditionalFormatting>
        <x14:conditionalFormatting xmlns:xm="http://schemas.microsoft.com/office/excel/2006/main">
          <x14:cfRule type="expression" priority="51" id="{EC7B1148-3AE3-4BFC-97AD-D723E8FEA375}">
            <xm:f>ISNUMBER(SEARCH($D101,Dropdowns!$D$18))</xm:f>
            <x14:dxf>
              <fill>
                <patternFill>
                  <bgColor rgb="FFFFFF00"/>
                </patternFill>
              </fill>
            </x14:dxf>
          </x14:cfRule>
          <x14:cfRule type="expression" priority="52" id="{A69DCC6E-FE67-46FC-89BC-718C887262E9}">
            <xm:f>ISNUMBER(SEARCH($D101,Dropdowns!$D$19))</xm:f>
            <x14:dxf>
              <fill>
                <patternFill>
                  <bgColor theme="6" tint="0.39994506668294322"/>
                </patternFill>
              </fill>
            </x14:dxf>
          </x14:cfRule>
          <x14:cfRule type="expression" priority="53" id="{BA108C5E-C5E4-4B50-B2B7-A03BD92A35AD}">
            <xm:f>ISNUMBER(SEARCH($D101,Dropdowns!$D$20))</xm:f>
            <x14:dxf>
              <fill>
                <patternFill>
                  <bgColor theme="6" tint="0.39994506668294322"/>
                </patternFill>
              </fill>
            </x14:dxf>
          </x14:cfRule>
          <x14:cfRule type="expression" priority="54" id="{D0D14886-F740-445A-BE52-9F03C592611C}">
            <xm:f>ISNUMBER(SEARCH($D101,Dropdowns!$D$21))</xm:f>
            <x14:dxf>
              <fill>
                <patternFill>
                  <bgColor rgb="FFFFFF00"/>
                </patternFill>
              </fill>
            </x14:dxf>
          </x14:cfRule>
          <x14:cfRule type="expression" priority="55" id="{2CCF60E4-A4A5-43EF-AADE-97F756917E73}">
            <xm:f>ISNUMBER(SEARCH($D101,Dropdowns!$D$23))</xm:f>
            <x14:dxf>
              <fill>
                <patternFill>
                  <bgColor rgb="FFFFFF00"/>
                </patternFill>
              </fill>
            </x14:dxf>
          </x14:cfRule>
          <xm:sqref>N101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Dropdowns!$F$9:$F$12</xm:f>
          </x14:formula1>
          <xm:sqref>N94:O94 N156:O156 N158:O158 N92:O92</xm:sqref>
        </x14:dataValidation>
        <x14:dataValidation type="list" allowBlank="1" showInputMessage="1" showErrorMessage="1">
          <x14:formula1>
            <xm:f>Dropdowns!$D$11:$D$13</xm:f>
          </x14:formula1>
          <xm:sqref>X9:X11 P10:P11</xm:sqref>
        </x14:dataValidation>
        <x14:dataValidation type="list" allowBlank="1" showInputMessage="1" showErrorMessage="1">
          <x14:formula1>
            <xm:f>Dropdowns!$C$11:$C$13</xm:f>
          </x14:formula1>
          <xm:sqref>V15:X15 N15:P15 X18:X19</xm:sqref>
        </x14:dataValidation>
        <x14:dataValidation type="list" allowBlank="1" showInputMessage="1" showErrorMessage="1">
          <x14:formula1>
            <xm:f>Dropdowns!$E$11:$E$15</xm:f>
          </x14:formula1>
          <xm:sqref>Q12 Q25:Q27 Q59:Q61 Q66:Q68 Q78:Q79 Q145:Q155 Q91 Q97:Q99 Q103:Q122 Q125:Q143 Q8 Q81:Q82 Q30:Q35 Q40:Q53</xm:sqref>
        </x14:dataValidation>
        <x14:dataValidation type="list" allowBlank="1" showInputMessage="1" showErrorMessage="1">
          <x14:formula1>
            <xm:f>Dropdowns!$G$11:$G$16</xm:f>
          </x14:formula1>
          <xm:sqref>X16:X17 V28 V58 V91 V12 V158:W158 V39 V24 V144 V69:V77 V80 V92:W92 V94:W94 V96 V102 V123:V124 V156:W156 V20:W20 V8 V64:V65 V83:W89</xm:sqref>
        </x14:dataValidation>
        <x14:dataValidation type="list" allowBlank="1" showInputMessage="1" showErrorMessage="1">
          <x14:formula1>
            <xm:f>Dropdowns!$D$16:$D$23</xm:f>
          </x14:formula1>
          <xm:sqref>D9:D11 D13:D14 D59:D61 D49:D53 D91 D97:D99 D124:D143 D84:D85 D25:D27 D81:D82 D31:D35 D29 D40:D42 D45:D47 D64 D87:D89 D103:D122 D66:D68 D74:D79 D70:D72 D145:D155</xm:sqref>
        </x14:dataValidation>
        <x14:dataValidation type="list" allowBlank="1" showInputMessage="1" showErrorMessage="1">
          <x14:formula1>
            <xm:f>Dropdowns!$C$16:$C$19</xm:f>
          </x14:formula1>
          <xm:sqref>V36:W36</xm:sqref>
        </x14:dataValidation>
        <x14:dataValidation type="list" allowBlank="1" showInputMessage="1" showErrorMessage="1">
          <x14:formula1>
            <xm:f>Dropdowns!$F$2:$F$8</xm:f>
          </x14:formula1>
          <xm:sqref>N28 N39 N69:N77 N80 N91 N96 N102 N123:N124 N144 N24 N58 N12 N8 N64:N65</xm:sqref>
        </x14:dataValidation>
        <x14:dataValidation type="list" allowBlank="1" showInputMessage="1" showErrorMessage="1">
          <x14:formula1>
            <xm:f>Dropdowns!$C$12:$C$13</xm:f>
          </x14:formula1>
          <xm:sqref>D101 V101 Q101 N101</xm:sqref>
        </x14:dataValidation>
        <x14:dataValidation type="list" allowBlank="1" showInputMessage="1" showErrorMessage="1">
          <x14:formula1>
            <xm:f>Dropdowns!$F$9:$F$13</xm:f>
          </x14:formula1>
          <xm:sqref>N83:O89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F253"/>
  <sheetViews>
    <sheetView zoomScale="75" zoomScaleNormal="75" workbookViewId="0">
      <pane xSplit="8" ySplit="5" topLeftCell="I6" activePane="bottomRight" state="frozen"/>
      <selection activeCell="B1" sqref="B1"/>
      <selection pane="topRight" activeCell="I1" sqref="I1"/>
      <selection pane="bottomLeft" activeCell="B3" sqref="B3"/>
      <selection pane="bottomRight" activeCell="I11" sqref="I11"/>
    </sheetView>
  </sheetViews>
  <sheetFormatPr defaultColWidth="8.796875" defaultRowHeight="13" x14ac:dyDescent="0.3"/>
  <cols>
    <col min="1" max="1" width="13.296875" hidden="1" customWidth="1"/>
    <col min="2" max="2" width="61" customWidth="1"/>
    <col min="3" max="3" width="60" customWidth="1"/>
    <col min="4" max="4" width="28.296875" customWidth="1"/>
    <col min="5" max="5" width="12" hidden="1" customWidth="1"/>
    <col min="6" max="6" width="9.296875" hidden="1" customWidth="1"/>
    <col min="7" max="7" width="9.69921875" hidden="1" customWidth="1"/>
    <col min="8" max="8" width="6.19921875" hidden="1" customWidth="1"/>
    <col min="9" max="9" width="67.69921875" customWidth="1"/>
    <col min="10" max="11" width="6.796875" hidden="1" customWidth="1"/>
    <col min="12" max="13" width="34.19921875" customWidth="1"/>
    <col min="14" max="14" width="30.296875" customWidth="1"/>
    <col min="15" max="15" width="8.796875" hidden="1" customWidth="1"/>
    <col min="16" max="16" width="49.296875" customWidth="1"/>
    <col min="17" max="17" width="27.296875" customWidth="1"/>
    <col min="18" max="18" width="8.796875" style="2" hidden="1" customWidth="1"/>
    <col min="19" max="19" width="61.3984375" customWidth="1"/>
    <col min="20" max="20" width="35.296875" customWidth="1"/>
    <col min="21" max="21" width="35.19921875" customWidth="1"/>
    <col min="22" max="22" width="27.296875" customWidth="1"/>
    <col min="23" max="23" width="11" style="417" hidden="1" customWidth="1"/>
    <col min="24" max="24" width="51.796875" customWidth="1"/>
    <col min="25" max="25" width="32.3984375" customWidth="1"/>
    <col min="26" max="26" width="30.19921875" customWidth="1"/>
  </cols>
  <sheetData>
    <row r="1" spans="1:26" ht="64.5" customHeight="1" x14ac:dyDescent="0.3">
      <c r="B1" s="4521"/>
      <c r="C1" s="4521"/>
      <c r="D1" s="4521"/>
    </row>
    <row r="2" spans="1:26" ht="75" customHeight="1" x14ac:dyDescent="0.3">
      <c r="B2" s="4398" t="s">
        <v>2280</v>
      </c>
      <c r="C2" s="4494"/>
      <c r="D2" s="4494"/>
    </row>
    <row r="3" spans="1:26" x14ac:dyDescent="0.3">
      <c r="B3" s="4521"/>
      <c r="C3" s="4521"/>
      <c r="D3" s="4521"/>
    </row>
    <row r="4" spans="1:26" ht="47.25" customHeight="1" thickBot="1" x14ac:dyDescent="0.35">
      <c r="A4" s="4546" t="s">
        <v>1862</v>
      </c>
      <c r="B4" s="4547"/>
      <c r="C4" s="4547"/>
      <c r="D4" s="4547"/>
      <c r="E4" s="1110"/>
      <c r="F4" s="1110"/>
      <c r="G4" s="1110"/>
      <c r="H4" s="1110"/>
      <c r="I4" s="1110"/>
      <c r="J4" s="1110"/>
      <c r="K4" s="1110"/>
      <c r="L4" s="1110"/>
      <c r="M4" s="1110"/>
      <c r="N4" s="1111"/>
      <c r="O4" s="1111"/>
      <c r="P4" s="1112"/>
      <c r="Q4" s="1112"/>
      <c r="R4" s="1113"/>
      <c r="S4" s="1112"/>
      <c r="T4" s="1112"/>
      <c r="U4" s="1112"/>
    </row>
    <row r="5" spans="1:26" s="225" customFormat="1" ht="48" customHeight="1" thickTop="1" thickBot="1" x14ac:dyDescent="0.35">
      <c r="A5" s="1108"/>
      <c r="B5" s="1108" t="s">
        <v>1872</v>
      </c>
      <c r="C5" s="1108" t="s">
        <v>1873</v>
      </c>
      <c r="D5" s="1108" t="s">
        <v>1238</v>
      </c>
      <c r="E5" s="1108"/>
      <c r="F5" s="1108"/>
      <c r="G5" s="1109"/>
      <c r="H5" s="1108"/>
      <c r="I5" s="1108" t="s">
        <v>458</v>
      </c>
      <c r="J5" s="1109"/>
      <c r="K5" s="1109"/>
      <c r="L5" s="1108" t="s">
        <v>408</v>
      </c>
      <c r="M5" s="1108" t="s">
        <v>466</v>
      </c>
      <c r="N5" s="1109" t="s">
        <v>465</v>
      </c>
      <c r="O5" s="1109"/>
      <c r="P5" s="1108" t="s">
        <v>1221</v>
      </c>
      <c r="Q5" s="1108" t="s">
        <v>1212</v>
      </c>
      <c r="R5" s="1108"/>
      <c r="S5" s="1108" t="s">
        <v>396</v>
      </c>
      <c r="T5" s="1108" t="s">
        <v>409</v>
      </c>
      <c r="U5" s="1108" t="s">
        <v>1211</v>
      </c>
      <c r="V5" s="1108" t="s">
        <v>1801</v>
      </c>
      <c r="W5" s="1109"/>
      <c r="X5" s="1108" t="s">
        <v>10</v>
      </c>
      <c r="Y5" s="1108" t="s">
        <v>11</v>
      </c>
      <c r="Z5" s="1827" t="s">
        <v>12</v>
      </c>
    </row>
    <row r="6" spans="1:26" s="2" customFormat="1" ht="19" thickTop="1" x14ac:dyDescent="0.3">
      <c r="A6" s="4578" t="s">
        <v>655</v>
      </c>
      <c r="B6" s="4579"/>
      <c r="C6" s="4579"/>
      <c r="D6" s="618"/>
      <c r="E6" s="618"/>
      <c r="F6" s="618"/>
      <c r="G6" s="618"/>
      <c r="H6" s="618"/>
      <c r="I6" s="618"/>
      <c r="J6" s="618"/>
      <c r="K6" s="618"/>
      <c r="L6" s="618"/>
      <c r="M6" s="618"/>
      <c r="N6" s="618"/>
      <c r="O6" s="618"/>
      <c r="P6" s="4481"/>
      <c r="Q6" s="4481"/>
      <c r="R6" s="4481"/>
      <c r="S6" s="4481"/>
      <c r="T6" s="4481"/>
      <c r="U6" s="4580"/>
      <c r="V6" s="4481"/>
      <c r="W6" s="4481"/>
      <c r="X6" s="4563"/>
      <c r="Y6" s="4577"/>
      <c r="Z6" s="4481"/>
    </row>
    <row r="7" spans="1:26" s="2" customFormat="1" ht="97.5" customHeight="1" x14ac:dyDescent="0.3">
      <c r="A7" s="484">
        <v>1.1000000000000001</v>
      </c>
      <c r="B7" s="4596" t="s">
        <v>656</v>
      </c>
      <c r="C7" s="4596"/>
      <c r="D7" s="4596"/>
      <c r="E7" s="502"/>
      <c r="F7" s="502"/>
      <c r="G7" s="502"/>
      <c r="H7" s="502"/>
      <c r="I7" s="502"/>
      <c r="J7" s="502"/>
      <c r="K7" s="502"/>
      <c r="L7" s="502"/>
      <c r="M7" s="485"/>
      <c r="N7" s="485"/>
      <c r="O7" s="485"/>
      <c r="P7" s="502"/>
      <c r="Q7" s="502"/>
      <c r="R7" s="930"/>
      <c r="S7" s="502"/>
      <c r="T7" s="502"/>
      <c r="U7" s="502"/>
      <c r="V7" s="485"/>
      <c r="W7" s="1091"/>
      <c r="X7" s="503"/>
      <c r="Y7" s="504"/>
      <c r="Z7" s="502"/>
    </row>
    <row r="8" spans="1:26" s="2" customFormat="1" ht="19" thickBot="1" x14ac:dyDescent="0.35">
      <c r="B8" s="476"/>
      <c r="D8" s="477"/>
      <c r="E8" s="477"/>
      <c r="F8" s="477"/>
      <c r="G8" s="477"/>
      <c r="H8" s="477"/>
      <c r="I8" s="366"/>
      <c r="J8" s="477"/>
      <c r="K8" s="477"/>
      <c r="L8" s="477"/>
      <c r="M8" s="477"/>
      <c r="N8" s="477"/>
      <c r="O8" s="477"/>
      <c r="P8" s="366"/>
      <c r="Q8" s="366"/>
      <c r="R8" s="908"/>
      <c r="S8" s="367"/>
      <c r="T8" s="368"/>
      <c r="U8" s="368"/>
      <c r="V8" s="33"/>
      <c r="W8" s="1091"/>
      <c r="X8" s="32"/>
      <c r="Y8" s="84"/>
      <c r="Z8" s="85"/>
    </row>
    <row r="9" spans="1:26" s="20" customFormat="1" ht="30" thickTop="1" thickBot="1" x14ac:dyDescent="0.35">
      <c r="A9" s="523" t="s">
        <v>767</v>
      </c>
      <c r="B9" s="1828" t="s">
        <v>398</v>
      </c>
      <c r="C9" s="1829" t="s">
        <v>657</v>
      </c>
      <c r="D9" s="586" t="s">
        <v>3</v>
      </c>
      <c r="E9" s="584" t="b">
        <f>IF(D9="Compliant",TRUE,FALSE)</f>
        <v>0</v>
      </c>
      <c r="F9" s="285"/>
      <c r="G9" s="285"/>
      <c r="H9" s="285"/>
      <c r="I9" s="285"/>
      <c r="J9" s="285"/>
      <c r="K9" s="285"/>
      <c r="L9" s="285"/>
      <c r="M9" s="286"/>
      <c r="N9" s="1134"/>
      <c r="O9" s="920" t="b">
        <f>IF(OR(N9="Compliant",N9="FE with work-a-round",N9="Functionally Equivalent"),TRUE,FALSE)</f>
        <v>0</v>
      </c>
      <c r="P9" s="3611"/>
      <c r="Q9" s="1188"/>
      <c r="R9" s="920" t="b">
        <f>IF(OR(Q9="Compliant",Q9="FE with work-a-round",Q9="Functionally Equivalent"),TRUE,FALSE)</f>
        <v>0</v>
      </c>
      <c r="S9" s="3600"/>
      <c r="T9" s="3600"/>
      <c r="U9" s="3611"/>
      <c r="V9" s="3589"/>
      <c r="W9" s="1093" t="b">
        <f>IF(OR(V9="Compliant",V9="FE with work-a-round",V9="Functionally Equivalent",V9="Not Required/Applicable"),TRUE,FALSE)</f>
        <v>0</v>
      </c>
      <c r="X9" s="336"/>
      <c r="Y9" s="336"/>
      <c r="Z9" s="337"/>
    </row>
    <row r="10" spans="1:26" s="20" customFormat="1" ht="31.5" customHeight="1" thickTop="1" thickBot="1" x14ac:dyDescent="0.35">
      <c r="A10" s="582" t="s">
        <v>663</v>
      </c>
      <c r="B10" s="1799" t="s">
        <v>626</v>
      </c>
      <c r="C10" s="1830" t="s">
        <v>539</v>
      </c>
      <c r="D10" s="1837" t="s">
        <v>1371</v>
      </c>
      <c r="E10" s="585" t="b">
        <f>IF(OR(E11=TRUE,E12=TRUE),TRUE,FALSE)</f>
        <v>0</v>
      </c>
      <c r="F10" s="478">
        <f>COUNTIF(E11:E12,TRUE)</f>
        <v>0</v>
      </c>
      <c r="G10" s="478">
        <f>COUNTIFS(E11:E12,TRUE,G11:G12,"Not Blank")</f>
        <v>0</v>
      </c>
      <c r="H10" s="478">
        <f>COUNTIFS(E11:E12,FALSE,G11:G12,"Not Blank")</f>
        <v>0</v>
      </c>
      <c r="I10" s="1838" t="str">
        <f xml:space="preserve">
IF(F10&gt;1,"Too Many Entries - Check Red Lines",
IF(AND(E10=FALSE,G10=0,H10=0,E10=TRUE),"Nothing Required Below",
IF(G10&lt;F10,"Valid Entry required below - Check Amber Line/s",
IF(AND(E10=FALSE,G10=0,H10=0),"Nothing Entered below Yet",
IF(G10&lt;F10,"Valid Entry required below - Check Amber Line/s",
IF(AND(G10=0,H10&gt;0),"**Non-Valid Entry/ies below - Check Yellow Line/s",
IF(AND(G10&gt;0,H10&gt;0),"**Valid and Non-Valid Entries made below - Check Yellow Line/s",
IF(AND(E10=FALSE,F10&lt;1),"Not all requirements addressed below - Check Pink Line/s",
IF(AND(E10=FALSE,G10&lt;1,G10&gt;0,H10=0),"More entries to come",
IF(AND(E10,TRUE,G10=1,H10=0),"Valid Entries made below"
))))))))))</f>
        <v>Nothing Entered below Yet</v>
      </c>
      <c r="J10" s="1838">
        <f>COUNTIFS(E11:E12,TRUE,J11:J12,"Not Blank")</f>
        <v>0</v>
      </c>
      <c r="K10" s="1838">
        <f>COUNTIFS(E11:E12,FALSE,J11:J12,"Not Blank")</f>
        <v>0</v>
      </c>
      <c r="L10" s="1838" t="str">
        <f xml:space="preserve">
IF(J10&gt;1,"Too Many Entries - Check Red Lines",
IF(AND(E10=FALSE,J10=0,K10=0,E10=TRUE),"Nothing Required Below",
IF(J10&lt;F10,"Valid Entry required below - Check Amber Line/s",
IF(AND(E10=FALSE,J10=0,K10=0),"Nothing Entered below Yet",
IF(AND(J10=0,K10&gt;0),"**Non-Valid Entry/ies below - Check Yellow Line/s",
IF(AND(J10&gt;0,K10&gt;0),"**Valid and Non-Valid Entries made below - Check Yellow Line/s",
IF(AND(E10=FALSE,J10&lt;1),"Not all requirements addressed below - Check Pink Line/s",
IF(AND(E10=FALSE,J10&lt;1,J10&gt;0,K10=0),"More entries to come",
IF(AND(E10,TRUE,J10=1,K10=0),"Valid Entries made below"
)))))))))</f>
        <v>Nothing Entered below Yet</v>
      </c>
      <c r="M10" s="288"/>
      <c r="N10" s="4446"/>
      <c r="O10" s="4589" t="b">
        <f>IF(OR(N10="Compliant",N10="FE with work-a-round",N10="Functionally Equivalent"),TRUE,FALSE)</f>
        <v>0</v>
      </c>
      <c r="P10" s="4583"/>
      <c r="Q10" s="4446"/>
      <c r="R10" s="4586" t="b">
        <f>IF(OR(Q10="Compliant",Q10="FE with work-a-round",Q10="Functionally Equivalent"),TRUE,FALSE)</f>
        <v>0</v>
      </c>
      <c r="S10" s="4581"/>
      <c r="T10" s="4581"/>
      <c r="U10" s="4583"/>
      <c r="V10" s="4446"/>
      <c r="W10" s="4585" t="b">
        <f>IF(OR(V10="Compliant",V10="FE with work-a-round",V10="Functionally Equivalent",V10="Not Required/Applicable"),TRUE,FALSE)</f>
        <v>0</v>
      </c>
      <c r="X10" s="4591"/>
      <c r="Y10" s="4591"/>
      <c r="Z10" s="4590"/>
    </row>
    <row r="11" spans="1:26" s="20" customFormat="1" ht="30" thickTop="1" thickBot="1" x14ac:dyDescent="0.35">
      <c r="A11" s="342"/>
      <c r="B11" s="1831"/>
      <c r="C11" s="1832" t="s">
        <v>540</v>
      </c>
      <c r="D11" s="570" t="s">
        <v>3</v>
      </c>
      <c r="E11" s="294" t="b">
        <f>IF(D11="Compliant",TRUE,FALSE)</f>
        <v>0</v>
      </c>
      <c r="F11" s="281"/>
      <c r="G11" s="281" t="str">
        <f>IF(I11&lt;&gt;"", "Not Blank", "")</f>
        <v/>
      </c>
      <c r="H11" s="281"/>
      <c r="I11" s="281"/>
      <c r="J11" s="281" t="str">
        <f>IF(L11&lt;&gt;"", "Not Blank", "")</f>
        <v/>
      </c>
      <c r="K11" s="281"/>
      <c r="L11" s="281"/>
      <c r="M11" s="287"/>
      <c r="N11" s="4447"/>
      <c r="O11" s="4589"/>
      <c r="P11" s="4584"/>
      <c r="Q11" s="4447"/>
      <c r="R11" s="4587"/>
      <c r="S11" s="4582"/>
      <c r="T11" s="4582"/>
      <c r="U11" s="4584"/>
      <c r="V11" s="4447"/>
      <c r="W11" s="4585"/>
      <c r="X11" s="4591"/>
      <c r="Y11" s="4591"/>
      <c r="Z11" s="4590"/>
    </row>
    <row r="12" spans="1:26" s="20" customFormat="1" ht="30" thickTop="1" thickBot="1" x14ac:dyDescent="0.35">
      <c r="A12" s="583"/>
      <c r="B12" s="1833"/>
      <c r="C12" s="1834" t="s">
        <v>541</v>
      </c>
      <c r="D12" s="571" t="s">
        <v>3</v>
      </c>
      <c r="E12" s="295" t="b">
        <f>IF(D12="Compliant",TRUE,FALSE)</f>
        <v>0</v>
      </c>
      <c r="F12" s="283"/>
      <c r="G12" s="283" t="str">
        <f>IF(I12&lt;&gt;"", "Not Blank", "")</f>
        <v/>
      </c>
      <c r="H12" s="283"/>
      <c r="I12" s="283"/>
      <c r="J12" s="283" t="str">
        <f>IF(L12&lt;&gt;"", "Not Blank", "")</f>
        <v/>
      </c>
      <c r="K12" s="283"/>
      <c r="L12" s="283"/>
      <c r="M12" s="289"/>
      <c r="N12" s="4448"/>
      <c r="O12" s="4589"/>
      <c r="P12" s="4592"/>
      <c r="Q12" s="4448"/>
      <c r="R12" s="4588"/>
      <c r="S12" s="4593"/>
      <c r="T12" s="4593"/>
      <c r="U12" s="4592"/>
      <c r="V12" s="4448"/>
      <c r="W12" s="4585"/>
      <c r="X12" s="4591"/>
      <c r="Y12" s="4591"/>
      <c r="Z12" s="4590"/>
    </row>
    <row r="13" spans="1:26" s="423" customFormat="1" ht="15.5" thickTop="1" thickBot="1" x14ac:dyDescent="0.35">
      <c r="A13" s="71"/>
      <c r="B13" s="505"/>
      <c r="C13" s="71"/>
      <c r="D13" s="506"/>
      <c r="E13" s="507"/>
      <c r="F13" s="507"/>
      <c r="G13" s="507"/>
      <c r="H13" s="507"/>
      <c r="I13" s="508"/>
      <c r="J13" s="507"/>
      <c r="K13" s="507"/>
      <c r="L13" s="509"/>
      <c r="M13" s="507"/>
      <c r="N13" s="507"/>
      <c r="O13" s="507"/>
      <c r="P13" s="510"/>
      <c r="Q13" s="508"/>
      <c r="R13" s="931"/>
      <c r="S13" s="511"/>
      <c r="T13" s="512"/>
      <c r="U13" s="512"/>
      <c r="V13" s="237"/>
      <c r="W13" s="913"/>
      <c r="X13" s="271"/>
      <c r="Y13" s="272"/>
      <c r="Z13" s="273"/>
    </row>
    <row r="14" spans="1:26" s="20" customFormat="1" ht="59" thickTop="1" thickBot="1" x14ac:dyDescent="0.35">
      <c r="A14" s="519" t="s">
        <v>412</v>
      </c>
      <c r="B14" s="1835" t="s">
        <v>400</v>
      </c>
      <c r="C14" s="1836" t="s">
        <v>1954</v>
      </c>
      <c r="D14" s="463"/>
      <c r="E14" s="464" t="b">
        <f>IF(D14="Applicable",TRUE,FALSE)</f>
        <v>0</v>
      </c>
      <c r="F14" s="215"/>
      <c r="G14" s="215" t="str">
        <f>IF(I14&lt;&gt;"", "Not Blank", "")</f>
        <v/>
      </c>
      <c r="H14" s="215"/>
      <c r="I14" s="215"/>
      <c r="J14" s="215" t="str">
        <f>IF(L14&lt;&gt;"", "Not Blank", "")</f>
        <v/>
      </c>
      <c r="K14" s="215"/>
      <c r="L14" s="215"/>
      <c r="M14" s="330"/>
      <c r="N14" s="463"/>
      <c r="O14" s="335" t="b">
        <f>IF(N14="Applicable",TRUE,FALSE)</f>
        <v>0</v>
      </c>
      <c r="P14" s="337"/>
      <c r="Q14" s="463"/>
      <c r="R14" s="231" t="b">
        <f>IF(Q14="Applicable",TRUE,FALSE)</f>
        <v>0</v>
      </c>
      <c r="S14" s="4052"/>
      <c r="T14" s="703"/>
      <c r="U14" s="4093"/>
      <c r="V14" s="463"/>
      <c r="W14" s="1093" t="b">
        <f>IF(V14="Applicable",TRUE,FALSE)</f>
        <v>0</v>
      </c>
      <c r="X14" s="336"/>
      <c r="Y14" s="336"/>
      <c r="Z14" s="337"/>
    </row>
    <row r="15" spans="1:26" s="3640" customFormat="1" ht="15" thickTop="1" x14ac:dyDescent="0.3">
      <c r="A15" s="3636"/>
      <c r="B15" s="3636"/>
      <c r="C15" s="3636"/>
      <c r="D15" s="3636"/>
      <c r="E15" s="3636"/>
      <c r="F15" s="3636"/>
      <c r="G15" s="3634"/>
      <c r="H15" s="3636"/>
      <c r="I15" s="3636"/>
      <c r="J15" s="3636"/>
      <c r="K15" s="3636"/>
      <c r="L15" s="3636"/>
      <c r="M15" s="3636"/>
      <c r="N15" s="3636"/>
      <c r="O15" s="3636"/>
      <c r="P15" s="3639"/>
      <c r="Q15" s="3639"/>
      <c r="R15" s="3636"/>
      <c r="S15" s="3639"/>
      <c r="T15" s="3639"/>
      <c r="U15" s="3639"/>
      <c r="V15" s="3639"/>
      <c r="W15" s="3641"/>
      <c r="X15" s="3639"/>
      <c r="Y15" s="3639"/>
      <c r="Z15" s="3639"/>
    </row>
    <row r="16" spans="1:26" s="3640" customFormat="1" ht="18.649999999999999" customHeight="1" x14ac:dyDescent="0.3">
      <c r="A16" s="4482" t="s">
        <v>1134</v>
      </c>
      <c r="B16" s="4483"/>
      <c r="C16" s="4483"/>
      <c r="D16" s="4483"/>
      <c r="E16" s="4483"/>
      <c r="F16" s="4483"/>
      <c r="G16" s="4483"/>
      <c r="H16" s="4483"/>
      <c r="I16" s="4483"/>
      <c r="J16" s="4483"/>
      <c r="K16" s="4483"/>
      <c r="L16" s="4483"/>
      <c r="M16" s="4483"/>
      <c r="N16" s="4483"/>
      <c r="O16" s="3669"/>
      <c r="P16" s="3670"/>
      <c r="Q16" s="3670"/>
      <c r="R16" s="4050"/>
      <c r="S16" s="3671"/>
      <c r="T16" s="3672"/>
      <c r="U16" s="3672"/>
      <c r="V16" s="3673"/>
      <c r="W16" s="4051"/>
      <c r="X16" s="3674"/>
      <c r="Y16" s="3676"/>
      <c r="Z16" s="3656"/>
    </row>
    <row r="17" spans="1:31" s="3640" customFormat="1" ht="15" thickBot="1" x14ac:dyDescent="0.35">
      <c r="A17" s="3636"/>
      <c r="B17" s="3636"/>
      <c r="C17" s="3636"/>
      <c r="D17" s="3636"/>
      <c r="E17" s="3636"/>
      <c r="F17" s="3636"/>
      <c r="G17" s="3634"/>
      <c r="H17" s="3636"/>
      <c r="I17" s="3636"/>
      <c r="J17" s="3636"/>
      <c r="K17" s="3636"/>
      <c r="L17" s="3636"/>
      <c r="M17" s="3636"/>
      <c r="N17" s="3637"/>
      <c r="O17" s="3637"/>
      <c r="P17" s="3642"/>
      <c r="Q17" s="3639"/>
      <c r="R17" s="3636"/>
      <c r="S17" s="3639"/>
      <c r="T17" s="3639"/>
      <c r="U17" s="3639"/>
      <c r="V17" s="3639"/>
      <c r="W17" s="3641"/>
      <c r="X17" s="3639"/>
      <c r="Y17" s="3639"/>
      <c r="Z17" s="3639"/>
    </row>
    <row r="18" spans="1:31" s="233" customFormat="1" ht="30" thickTop="1" thickBot="1" x14ac:dyDescent="0.35">
      <c r="A18" s="81"/>
      <c r="B18" s="1933" t="s">
        <v>824</v>
      </c>
      <c r="C18" s="1809" t="s">
        <v>475</v>
      </c>
      <c r="D18" s="1925" t="s">
        <v>1233</v>
      </c>
      <c r="E18" s="138" t="b">
        <f>E32</f>
        <v>0</v>
      </c>
      <c r="F18" s="111"/>
      <c r="G18" s="323" t="str">
        <f>IF(I18&lt;&gt;"", "Not Blank", "")</f>
        <v/>
      </c>
      <c r="H18" s="323"/>
      <c r="I18" s="2439"/>
      <c r="J18" s="2439"/>
      <c r="K18" s="2439"/>
      <c r="L18" s="2439"/>
      <c r="M18" s="2842"/>
      <c r="N18" s="4090" t="s">
        <v>1233</v>
      </c>
      <c r="O18" s="3628" t="b">
        <f>O32</f>
        <v>0</v>
      </c>
      <c r="P18" s="2842"/>
      <c r="Q18" s="4087" t="s">
        <v>1233</v>
      </c>
      <c r="R18" s="111" t="b">
        <f>R32</f>
        <v>0</v>
      </c>
      <c r="S18" s="186"/>
      <c r="T18" s="186"/>
      <c r="U18" s="306"/>
      <c r="V18" s="4084" t="s">
        <v>1233</v>
      </c>
      <c r="W18" s="1094" t="b">
        <f>W32</f>
        <v>0</v>
      </c>
      <c r="X18" s="3629"/>
      <c r="Y18" s="292"/>
      <c r="Z18" s="926"/>
      <c r="AA18" s="919"/>
      <c r="AB18" s="53"/>
      <c r="AC18" s="53"/>
      <c r="AD18" s="28"/>
      <c r="AE18" s="28"/>
    </row>
    <row r="19" spans="1:31" s="233" customFormat="1" ht="30" thickTop="1" thickBot="1" x14ac:dyDescent="0.35">
      <c r="A19" s="241" t="s">
        <v>403</v>
      </c>
      <c r="B19" s="2321" t="s">
        <v>825</v>
      </c>
      <c r="C19" s="2275" t="s">
        <v>474</v>
      </c>
      <c r="D19" s="2264" t="s">
        <v>1233</v>
      </c>
      <c r="E19" s="67" t="b">
        <f>E41</f>
        <v>0</v>
      </c>
      <c r="F19" s="44"/>
      <c r="G19" s="324" t="str">
        <f>IF(I19&lt;&gt;"", "Not Blank", "")</f>
        <v/>
      </c>
      <c r="H19" s="333"/>
      <c r="I19" s="3627"/>
      <c r="J19" s="1783"/>
      <c r="K19" s="1783"/>
      <c r="L19" s="1783"/>
      <c r="M19" s="1782"/>
      <c r="N19" s="4091" t="s">
        <v>1233</v>
      </c>
      <c r="O19" s="3627" t="b">
        <f>O41</f>
        <v>0</v>
      </c>
      <c r="P19" s="1782"/>
      <c r="Q19" s="4088" t="s">
        <v>1233</v>
      </c>
      <c r="R19" s="67" t="b">
        <f>R41</f>
        <v>0</v>
      </c>
      <c r="S19" s="261"/>
      <c r="T19" s="261"/>
      <c r="U19" s="575"/>
      <c r="V19" s="4085" t="s">
        <v>1233</v>
      </c>
      <c r="W19" s="1095" t="b">
        <f>W41</f>
        <v>0</v>
      </c>
      <c r="X19" s="3630"/>
      <c r="Y19" s="927"/>
      <c r="Z19" s="928"/>
      <c r="AA19" s="919"/>
      <c r="AB19" s="53"/>
      <c r="AC19" s="53"/>
      <c r="AD19" s="28"/>
      <c r="AE19" s="28"/>
    </row>
    <row r="20" spans="1:31" s="233" customFormat="1" ht="30" thickTop="1" thickBot="1" x14ac:dyDescent="0.35">
      <c r="A20" s="81"/>
      <c r="B20" s="1933" t="s">
        <v>826</v>
      </c>
      <c r="C20" s="1809" t="s">
        <v>822</v>
      </c>
      <c r="D20" s="1925" t="s">
        <v>1233</v>
      </c>
      <c r="E20" s="67" t="b">
        <f>E49</f>
        <v>0</v>
      </c>
      <c r="F20" s="44"/>
      <c r="G20" s="44" t="str">
        <f>IF(I20&lt;&gt;"", "Not Blank", "")</f>
        <v/>
      </c>
      <c r="H20" s="44"/>
      <c r="I20" s="705"/>
      <c r="J20" s="705"/>
      <c r="K20" s="705"/>
      <c r="L20" s="705"/>
      <c r="M20" s="3622"/>
      <c r="N20" s="3972" t="s">
        <v>1233</v>
      </c>
      <c r="O20" s="3619" t="b">
        <f>O49</f>
        <v>0</v>
      </c>
      <c r="P20" s="337"/>
      <c r="Q20" s="4088" t="s">
        <v>1233</v>
      </c>
      <c r="R20" s="3619" t="b">
        <f>R49</f>
        <v>0</v>
      </c>
      <c r="S20" s="261"/>
      <c r="T20" s="261"/>
      <c r="U20" s="575"/>
      <c r="V20" s="4085" t="s">
        <v>1233</v>
      </c>
      <c r="W20" s="3608" t="b">
        <f>W49</f>
        <v>0</v>
      </c>
      <c r="X20" s="3631"/>
      <c r="Y20" s="927"/>
      <c r="Z20" s="928"/>
      <c r="AA20" s="919"/>
      <c r="AB20" s="53"/>
      <c r="AC20" s="53"/>
      <c r="AD20" s="28"/>
      <c r="AE20" s="28"/>
    </row>
    <row r="21" spans="1:31" s="233" customFormat="1" ht="30" thickTop="1" thickBot="1" x14ac:dyDescent="0.35">
      <c r="A21" s="81"/>
      <c r="B21" s="2204" t="s">
        <v>827</v>
      </c>
      <c r="C21" s="2147" t="s">
        <v>823</v>
      </c>
      <c r="D21" s="2205" t="s">
        <v>1233</v>
      </c>
      <c r="E21" s="161" t="b">
        <f>E140</f>
        <v>0</v>
      </c>
      <c r="F21" s="124"/>
      <c r="G21" s="124" t="str">
        <f>IF(I21&lt;&gt;"", "Not Blank", "")</f>
        <v/>
      </c>
      <c r="H21" s="246"/>
      <c r="I21" s="132"/>
      <c r="J21" s="133"/>
      <c r="K21" s="133"/>
      <c r="L21" s="133"/>
      <c r="M21" s="134"/>
      <c r="N21" s="4092" t="s">
        <v>1233</v>
      </c>
      <c r="O21" s="3620" t="b">
        <f>O140</f>
        <v>0</v>
      </c>
      <c r="P21" s="3613"/>
      <c r="Q21" s="4089" t="s">
        <v>1233</v>
      </c>
      <c r="R21" s="124" t="b">
        <f>R140</f>
        <v>0</v>
      </c>
      <c r="S21" s="1555"/>
      <c r="T21" s="1555"/>
      <c r="U21" s="1556"/>
      <c r="V21" s="4086" t="s">
        <v>1233</v>
      </c>
      <c r="W21" s="1096" t="b">
        <f>W140</f>
        <v>0</v>
      </c>
      <c r="X21" s="3632"/>
      <c r="Y21" s="299"/>
      <c r="Z21" s="929"/>
      <c r="AA21" s="919"/>
      <c r="AB21" s="53"/>
      <c r="AC21" s="53"/>
      <c r="AD21" s="28"/>
      <c r="AE21" s="28"/>
    </row>
    <row r="22" spans="1:31" s="233" customFormat="1" ht="15.5" thickTop="1" thickBot="1" x14ac:dyDescent="0.35">
      <c r="A22" s="233" t="s">
        <v>760</v>
      </c>
      <c r="B22" s="277"/>
      <c r="C22" s="277"/>
      <c r="D22" s="277"/>
      <c r="E22" s="277"/>
      <c r="F22" s="277"/>
      <c r="G22" s="277"/>
      <c r="H22" s="277"/>
      <c r="I22" s="277"/>
      <c r="J22" s="277"/>
      <c r="K22" s="277"/>
      <c r="L22" s="277"/>
      <c r="M22" s="277"/>
      <c r="N22" s="276"/>
      <c r="O22" s="276"/>
      <c r="P22" s="276"/>
      <c r="Q22" s="276"/>
      <c r="R22" s="276"/>
      <c r="S22" s="276"/>
      <c r="T22" s="276"/>
      <c r="U22" s="276"/>
      <c r="V22" s="277"/>
      <c r="W22" s="386"/>
      <c r="X22" s="277"/>
    </row>
    <row r="23" spans="1:31" s="233" customFormat="1" ht="31.5" customHeight="1" thickTop="1" thickBot="1" x14ac:dyDescent="0.35">
      <c r="A23" s="275" t="s">
        <v>759</v>
      </c>
      <c r="B23" s="4603" t="s">
        <v>1768</v>
      </c>
      <c r="C23" s="1708" t="s">
        <v>763</v>
      </c>
      <c r="D23" s="4599" t="s">
        <v>3</v>
      </c>
      <c r="E23" s="4597" t="b">
        <f>IF(D23="Compliant",TRUE,FALSE)</f>
        <v>0</v>
      </c>
      <c r="F23" s="4608"/>
      <c r="G23" s="4608" t="str">
        <f>IF(I23&lt;&gt;"", "Not Blank", "")</f>
        <v/>
      </c>
      <c r="H23" s="4608"/>
      <c r="I23" s="4608"/>
      <c r="J23" s="4608" t="str">
        <f>IF(L23&lt;&gt;"", "Not Blank", "")</f>
        <v/>
      </c>
      <c r="K23" s="4608"/>
      <c r="L23" s="4615"/>
      <c r="M23" s="4605"/>
      <c r="N23" s="4533"/>
      <c r="O23" s="4586" t="b">
        <f>IF(OR(N23="Compliant",N23="FE with work-a-round",N23="Functionally Equivalent"),TRUE,FALSE)</f>
        <v>0</v>
      </c>
      <c r="P23" s="4605"/>
      <c r="Q23" s="4446"/>
      <c r="R23" s="4586" t="b">
        <f>IF(OR(Q23="Compliant",Q23="FE with work-a-round",Q23="Functionally Equivalent"),TRUE,FALSE)</f>
        <v>0</v>
      </c>
      <c r="S23" s="4581"/>
      <c r="T23" s="4581"/>
      <c r="U23" s="4583"/>
      <c r="V23" s="4446"/>
      <c r="W23" s="4558" t="b">
        <f>IF(OR(V23="Compliant",V23="FE with work-a-round",V23="Functionally Equivalent",V23="Not Required/Applicable"),TRUE,FALSE)</f>
        <v>0</v>
      </c>
      <c r="X23" s="4437"/>
      <c r="Y23" s="4581"/>
      <c r="Z23" s="4583"/>
    </row>
    <row r="24" spans="1:31" s="233" customFormat="1" ht="44.5" thickTop="1" thickBot="1" x14ac:dyDescent="0.35">
      <c r="A24" s="275" t="s">
        <v>828</v>
      </c>
      <c r="B24" s="4603"/>
      <c r="C24" s="1717" t="s">
        <v>764</v>
      </c>
      <c r="D24" s="4600"/>
      <c r="E24" s="4598"/>
      <c r="F24" s="4604"/>
      <c r="G24" s="4604"/>
      <c r="H24" s="4604"/>
      <c r="I24" s="4604"/>
      <c r="J24" s="4604"/>
      <c r="K24" s="4604"/>
      <c r="L24" s="4616"/>
      <c r="M24" s="4606"/>
      <c r="N24" s="4530"/>
      <c r="O24" s="4587"/>
      <c r="P24" s="4606"/>
      <c r="Q24" s="4447"/>
      <c r="R24" s="4587"/>
      <c r="S24" s="4582"/>
      <c r="T24" s="4582"/>
      <c r="U24" s="4584"/>
      <c r="V24" s="4447"/>
      <c r="W24" s="4559"/>
      <c r="X24" s="4438"/>
      <c r="Y24" s="4582"/>
      <c r="Z24" s="4584"/>
    </row>
    <row r="25" spans="1:31" s="233" customFormat="1" ht="44.5" thickTop="1" thickBot="1" x14ac:dyDescent="0.35">
      <c r="A25" s="275"/>
      <c r="B25" s="4603"/>
      <c r="C25" s="1717" t="s">
        <v>765</v>
      </c>
      <c r="D25" s="4600"/>
      <c r="E25" s="4598"/>
      <c r="F25" s="4604"/>
      <c r="G25" s="4604"/>
      <c r="H25" s="4604"/>
      <c r="I25" s="4604"/>
      <c r="J25" s="4604"/>
      <c r="K25" s="4604"/>
      <c r="L25" s="4616"/>
      <c r="M25" s="4606"/>
      <c r="N25" s="4530"/>
      <c r="O25" s="4587"/>
      <c r="P25" s="4606"/>
      <c r="Q25" s="4447"/>
      <c r="R25" s="4587"/>
      <c r="S25" s="4582"/>
      <c r="T25" s="4582"/>
      <c r="U25" s="4584"/>
      <c r="V25" s="4447"/>
      <c r="W25" s="4559"/>
      <c r="X25" s="4438"/>
      <c r="Y25" s="4582"/>
      <c r="Z25" s="4584"/>
    </row>
    <row r="26" spans="1:31" s="233" customFormat="1" ht="30" thickTop="1" thickBot="1" x14ac:dyDescent="0.35">
      <c r="A26" s="275"/>
      <c r="B26" s="4603"/>
      <c r="C26" s="1800" t="s">
        <v>821</v>
      </c>
      <c r="D26" s="4601"/>
      <c r="E26" s="4598"/>
      <c r="F26" s="4604"/>
      <c r="G26" s="4604"/>
      <c r="H26" s="4604"/>
      <c r="I26" s="4604"/>
      <c r="J26" s="4604"/>
      <c r="K26" s="4604"/>
      <c r="L26" s="4616"/>
      <c r="M26" s="4607"/>
      <c r="N26" s="4531"/>
      <c r="O26" s="4588"/>
      <c r="P26" s="4606"/>
      <c r="Q26" s="4447"/>
      <c r="R26" s="4587"/>
      <c r="S26" s="4582"/>
      <c r="T26" s="4582"/>
      <c r="U26" s="4584"/>
      <c r="V26" s="4448"/>
      <c r="W26" s="4560"/>
      <c r="X26" s="4438"/>
      <c r="Y26" s="4582"/>
      <c r="Z26" s="4584"/>
    </row>
    <row r="27" spans="1:31" s="233" customFormat="1" ht="31.5" customHeight="1" thickTop="1" thickBot="1" x14ac:dyDescent="0.35">
      <c r="A27" s="275" t="s">
        <v>761</v>
      </c>
      <c r="B27" s="4603" t="s">
        <v>33</v>
      </c>
      <c r="C27" s="1708" t="s">
        <v>1831</v>
      </c>
      <c r="D27" s="4602" t="s">
        <v>3</v>
      </c>
      <c r="E27" s="4598" t="b">
        <f>IF(D27="Compliant",TRUE,FALSE)</f>
        <v>0</v>
      </c>
      <c r="F27" s="4604"/>
      <c r="G27" s="4604" t="str">
        <f>IF(I27&lt;&gt;"", "Not Blank", "")</f>
        <v/>
      </c>
      <c r="H27" s="4604"/>
      <c r="I27" s="4604"/>
      <c r="J27" s="4604" t="str">
        <f>IF(L27&lt;&gt;"", "Not Blank", "")</f>
        <v/>
      </c>
      <c r="K27" s="4604"/>
      <c r="L27" s="4616"/>
      <c r="M27" s="4605"/>
      <c r="N27" s="4533"/>
      <c r="O27" s="4586" t="b">
        <f>IF(OR(N27="Compliant",N27="FE with work-a-round",N27="Functionally Equivalent"),TRUE,FALSE)</f>
        <v>0</v>
      </c>
      <c r="P27" s="4605"/>
      <c r="Q27" s="4446"/>
      <c r="R27" s="4586" t="b">
        <f>IF(OR(Q27="Compliant",Q27="FE with work-a-round",Q27="Functionally Equivalent"),TRUE,FALSE)</f>
        <v>0</v>
      </c>
      <c r="S27" s="4581"/>
      <c r="T27" s="4581"/>
      <c r="U27" s="4583"/>
      <c r="V27" s="4446"/>
      <c r="W27" s="4558" t="b">
        <f>IF(OR(V27="Compliant",V27="FE with work-a-round",V27="Functionally Equivalent",V27="Not Required/Applicable"),TRUE,FALSE)</f>
        <v>0</v>
      </c>
      <c r="X27" s="4437"/>
      <c r="Y27" s="4581"/>
      <c r="Z27" s="4583"/>
    </row>
    <row r="28" spans="1:31" s="233" customFormat="1" ht="73.5" thickTop="1" thickBot="1" x14ac:dyDescent="0.35">
      <c r="A28" s="275" t="s">
        <v>762</v>
      </c>
      <c r="B28" s="4603"/>
      <c r="C28" s="1800" t="s">
        <v>766</v>
      </c>
      <c r="D28" s="4601"/>
      <c r="E28" s="4598"/>
      <c r="F28" s="4604"/>
      <c r="G28" s="4604"/>
      <c r="H28" s="4604"/>
      <c r="I28" s="4604"/>
      <c r="J28" s="4604"/>
      <c r="K28" s="4604"/>
      <c r="L28" s="4616"/>
      <c r="M28" s="4607"/>
      <c r="N28" s="4531"/>
      <c r="O28" s="4588"/>
      <c r="P28" s="4607"/>
      <c r="Q28" s="4448"/>
      <c r="R28" s="4588"/>
      <c r="S28" s="4593"/>
      <c r="T28" s="4593"/>
      <c r="U28" s="4592"/>
      <c r="V28" s="4448"/>
      <c r="W28" s="4560"/>
      <c r="X28" s="4439"/>
      <c r="Y28" s="4593"/>
      <c r="Z28" s="4592"/>
    </row>
    <row r="29" spans="1:31" s="2" customFormat="1" ht="15" thickTop="1" x14ac:dyDescent="0.3">
      <c r="A29" s="18"/>
      <c r="C29" s="18"/>
      <c r="E29" s="28"/>
      <c r="F29" s="28"/>
      <c r="G29" s="15"/>
      <c r="H29" s="18"/>
      <c r="I29" s="53"/>
      <c r="J29" s="53"/>
      <c r="K29" s="53"/>
      <c r="L29" s="53"/>
      <c r="M29" s="53"/>
      <c r="N29" s="18"/>
      <c r="O29" s="18"/>
      <c r="R29" s="18"/>
      <c r="S29" s="53"/>
      <c r="T29" s="53"/>
      <c r="U29" s="53"/>
      <c r="V29" s="53"/>
      <c r="W29" s="913"/>
      <c r="X29" s="80"/>
      <c r="Y29" s="80"/>
      <c r="Z29" s="80"/>
    </row>
    <row r="30" spans="1:31" s="2" customFormat="1" ht="18.649999999999999" customHeight="1" x14ac:dyDescent="0.3">
      <c r="A30" s="4594" t="s">
        <v>1135</v>
      </c>
      <c r="B30" s="4595"/>
      <c r="C30" s="4595"/>
      <c r="D30" s="4595"/>
      <c r="E30" s="4595"/>
      <c r="F30" s="4595"/>
      <c r="G30" s="4595"/>
      <c r="H30" s="4595"/>
      <c r="I30" s="4595"/>
      <c r="J30" s="4595"/>
      <c r="K30" s="4595"/>
      <c r="L30" s="4595"/>
      <c r="M30" s="4595"/>
      <c r="N30" s="4595"/>
      <c r="O30" s="474"/>
      <c r="P30" s="247"/>
      <c r="Q30" s="247"/>
      <c r="R30" s="1839"/>
      <c r="S30" s="248"/>
      <c r="T30" s="249"/>
      <c r="U30" s="249"/>
      <c r="V30" s="385"/>
      <c r="W30" s="1840"/>
      <c r="X30" s="145"/>
      <c r="Y30" s="146"/>
      <c r="Z30" s="147"/>
    </row>
    <row r="31" spans="1:31" ht="13.5" thickBot="1" x14ac:dyDescent="0.35">
      <c r="A31" s="30"/>
    </row>
    <row r="32" spans="1:31" s="423" customFormat="1" ht="32.15" customHeight="1" thickTop="1" thickBot="1" x14ac:dyDescent="0.35">
      <c r="A32" s="97"/>
      <c r="B32" s="1495" t="s">
        <v>415</v>
      </c>
      <c r="C32" s="2148" t="s">
        <v>658</v>
      </c>
      <c r="D32" s="2343" t="s">
        <v>565</v>
      </c>
      <c r="E32" s="659" t="b">
        <f>IF(OR(E33=TRUE,E34=TRUE,E35=TRUE,E36=TRUE,E37=TRUE),TRUE,FALSE)</f>
        <v>0</v>
      </c>
      <c r="F32" s="207">
        <f>COUNTIF(E33:E37,TRUE)</f>
        <v>0</v>
      </c>
      <c r="G32" s="207">
        <f>COUNTIFS(E33:E37,TRUE,G33:G37,"Not Blank")</f>
        <v>0</v>
      </c>
      <c r="H32" s="207">
        <f>COUNTIFS(E33:E40,FALSE,G33:G40,"Not Blank")</f>
        <v>0</v>
      </c>
      <c r="I32" s="2155" t="str">
        <f xml:space="preserve">
IF(F32&gt;5,"Too Many Entries - Check Red Lines",
IF(AND(E32=FALSE,G32=0,H32=0,E32=TRUE),"Nothing Required Below",
IF(G32&lt;F32,"Valid Entry required below - Check Amber Line/s",
IF(AND(E32=FALSE,G32=0,H32=0),"Nothing Entered below Yet",
IF(G32&lt;F32,"Valid Entry required below - Check Amber Line/s",
IF(AND(G32=0,H32&gt;0),"**Non-Valid Entry/ies below - Check Yellow Line/s",
IF(AND(G32&gt;0,H32&gt;0),"**Valid and Non-Valid Entries made below - Check Yellow Line/s",
IF(AND(E32=FALSE,F32&lt;1),"Not all requirements addressed below - Check Pink Line/s",
IF(AND(E32=FALSE,G32&lt;1,G32&gt;0,H32=0),"More entries to come",
IF(AND(E32,TRUE,G32&lt;&gt;0,H32=0),"Valid Entries made below"
))))))))))</f>
        <v>Nothing Entered below Yet</v>
      </c>
      <c r="J32" s="2155">
        <f>COUNTIFS(E33:E37,TRUE,J33:J37,"Not Blank")</f>
        <v>0</v>
      </c>
      <c r="K32" s="2155">
        <f>COUNTIFS(E33:E37,FALSE,J33:J37,"Not Blank")</f>
        <v>0</v>
      </c>
      <c r="L32" s="2155" t="str">
        <f xml:space="preserve">
IF(J32&gt;5,"Too Many Entries - Check Red Lines",
IF(AND(E32=FALSE,J32=0,K32=0,E32=TRUE),"Nothing Required Below",
IF(J32&lt;F32,"Valid Entry required below - Check Amber Line/s",
IF(AND(E32=FALSE,J32=0,K32=0),"Nothing Entered below Yet",
IF(AND(J32=0,K32&gt;0),"**Non-Valid Entry/ies below - Check Yellow Line/s",
IF(AND(J32&gt;0,K32&gt;0),"**Valid and Non-Valid Entries made below - Check Yellow Line/s",
IF(AND(E32=FALSE,J32&lt;1),"Not all requirements addressed below - Check Pink Line/s",
IF(AND(E32=FALSE,J32&lt;1,J32&gt;0,K32=0),"More entries to come",
IF(AND(E32,TRUE,J32&lt;&gt;0,K32=0),"Valid Entries made below"
)))))))))</f>
        <v>Nothing Entered below Yet</v>
      </c>
      <c r="M32" s="2176"/>
      <c r="N32" s="4446"/>
      <c r="O32" s="4609" t="b">
        <f>IF(OR(N32="Compliant",N32="FE with work-a-round",N32="Functionally Equivalent"),TRUE,FALSE)</f>
        <v>0</v>
      </c>
      <c r="P32" s="120"/>
      <c r="Q32" s="698" t="s">
        <v>565</v>
      </c>
      <c r="R32" s="840" t="b">
        <f>IF(OR(R33=TRUE,R34=TRUE,R35=TRUE,R36=TRUE,R37=TRUE),TRUE,FALSE)</f>
        <v>0</v>
      </c>
      <c r="S32" s="111"/>
      <c r="T32" s="111"/>
      <c r="U32" s="120"/>
      <c r="V32" s="4446"/>
      <c r="W32" s="4570" t="b">
        <f>IF(OR(V32="Compliant",V32="FE with work-a-round",V32="Functionally Equivalent",V32="Not Required/Applicable"),TRUE,FALSE)</f>
        <v>0</v>
      </c>
      <c r="X32" s="186"/>
      <c r="Y32" s="4082"/>
      <c r="Z32" s="4083"/>
    </row>
    <row r="33" spans="1:84" s="20" customFormat="1" ht="44" thickTop="1" x14ac:dyDescent="0.3">
      <c r="A33" s="514" t="s">
        <v>662</v>
      </c>
      <c r="B33" s="1504"/>
      <c r="C33" s="1806" t="s">
        <v>661</v>
      </c>
      <c r="D33" s="1013" t="s">
        <v>3</v>
      </c>
      <c r="E33" s="67" t="b">
        <f>IF(D33="Compliant",TRUE,FALSE)</f>
        <v>0</v>
      </c>
      <c r="F33" s="44"/>
      <c r="G33" s="44" t="str">
        <f>IF(I33&lt;&gt;"", "Not Blank", "")</f>
        <v/>
      </c>
      <c r="H33" s="44"/>
      <c r="I33" s="42"/>
      <c r="J33" s="42" t="str">
        <f>IF(L33&lt;&gt;"", "Not Blank", "")</f>
        <v/>
      </c>
      <c r="K33" s="42"/>
      <c r="L33" s="42"/>
      <c r="M33" s="128"/>
      <c r="N33" s="4447"/>
      <c r="O33" s="4610"/>
      <c r="P33" s="575"/>
      <c r="Q33" s="2214"/>
      <c r="R33" s="898" t="b">
        <f>IF(OR(Q33="Compliant",Q33="FE with work-a-round",Q33="Functionally Equivalent"),TRUE,FALSE)</f>
        <v>0</v>
      </c>
      <c r="S33" s="261"/>
      <c r="T33" s="261"/>
      <c r="U33" s="575"/>
      <c r="V33" s="4447"/>
      <c r="W33" s="4571"/>
      <c r="X33" s="261"/>
      <c r="Y33" s="261"/>
      <c r="Z33" s="575"/>
    </row>
    <row r="34" spans="1:84" s="20" customFormat="1" ht="43.5" x14ac:dyDescent="0.3">
      <c r="A34" s="275" t="s">
        <v>892</v>
      </c>
      <c r="B34" s="1504"/>
      <c r="C34" s="1717" t="s">
        <v>891</v>
      </c>
      <c r="D34" s="319" t="s">
        <v>3</v>
      </c>
      <c r="E34" s="67" t="b">
        <f>IF(D34="Compliant",TRUE,FALSE)</f>
        <v>0</v>
      </c>
      <c r="F34" s="44"/>
      <c r="G34" s="44" t="str">
        <f>IF(I34&lt;&gt;"", "Not Blank", "")</f>
        <v/>
      </c>
      <c r="H34" s="44"/>
      <c r="I34" s="44"/>
      <c r="J34" s="44" t="str">
        <f>IF(L34&lt;&gt;"", "Not Blank", "")</f>
        <v/>
      </c>
      <c r="K34" s="44"/>
      <c r="L34" s="44"/>
      <c r="M34" s="122"/>
      <c r="N34" s="4447"/>
      <c r="O34" s="4610"/>
      <c r="P34" s="575"/>
      <c r="Q34" s="1060"/>
      <c r="R34" s="898" t="b">
        <f>IF(OR(Q34="Compliant",Q34="FE with work-a-round",Q34="Functionally Equivalent"),TRUE,FALSE)</f>
        <v>0</v>
      </c>
      <c r="S34" s="261"/>
      <c r="T34" s="261"/>
      <c r="U34" s="575"/>
      <c r="V34" s="4447"/>
      <c r="W34" s="4571"/>
      <c r="X34" s="261"/>
      <c r="Y34" s="261"/>
      <c r="Z34" s="575"/>
    </row>
    <row r="35" spans="1:84" s="20" customFormat="1" ht="29" x14ac:dyDescent="0.3">
      <c r="A35" s="275" t="s">
        <v>893</v>
      </c>
      <c r="B35" s="1504"/>
      <c r="C35" s="1717" t="s">
        <v>894</v>
      </c>
      <c r="D35" s="319" t="s">
        <v>3</v>
      </c>
      <c r="E35" s="67" t="b">
        <f>IF(D35="Compliant",TRUE,FALSE)</f>
        <v>0</v>
      </c>
      <c r="F35" s="44"/>
      <c r="G35" s="44" t="str">
        <f>IF(I35&lt;&gt;"", "Not Blank", "")</f>
        <v/>
      </c>
      <c r="H35" s="44"/>
      <c r="I35" s="44"/>
      <c r="J35" s="44" t="str">
        <f>IF(L35&lt;&gt;"", "Not Blank", "")</f>
        <v/>
      </c>
      <c r="K35" s="44"/>
      <c r="L35" s="44"/>
      <c r="M35" s="122"/>
      <c r="N35" s="4447"/>
      <c r="O35" s="4610"/>
      <c r="P35" s="575"/>
      <c r="Q35" s="1060"/>
      <c r="R35" s="898" t="b">
        <f>IF(OR(Q35="Compliant",Q35="FE with work-a-round",Q35="Functionally Equivalent"),TRUE,FALSE)</f>
        <v>0</v>
      </c>
      <c r="S35" s="261"/>
      <c r="T35" s="261"/>
      <c r="U35" s="575"/>
      <c r="V35" s="4447"/>
      <c r="W35" s="4571"/>
      <c r="X35" s="261"/>
      <c r="Y35" s="261"/>
      <c r="Z35" s="575"/>
    </row>
    <row r="36" spans="1:84" s="20" customFormat="1" ht="29" x14ac:dyDescent="0.3">
      <c r="A36" s="275" t="s">
        <v>895</v>
      </c>
      <c r="B36" s="1504"/>
      <c r="C36" s="1717" t="s">
        <v>896</v>
      </c>
      <c r="D36" s="319" t="s">
        <v>3</v>
      </c>
      <c r="E36" s="67" t="b">
        <f>IF(D36="Compliant",TRUE,FALSE)</f>
        <v>0</v>
      </c>
      <c r="F36" s="44"/>
      <c r="G36" s="44" t="str">
        <f>IF(I36&lt;&gt;"", "Not Blank", "")</f>
        <v/>
      </c>
      <c r="H36" s="44"/>
      <c r="I36" s="44"/>
      <c r="J36" s="44" t="str">
        <f>IF(L36&lt;&gt;"", "Not Blank", "")</f>
        <v/>
      </c>
      <c r="K36" s="44"/>
      <c r="L36" s="44"/>
      <c r="M36" s="122"/>
      <c r="N36" s="4447"/>
      <c r="O36" s="4610"/>
      <c r="P36" s="575"/>
      <c r="Q36" s="1060"/>
      <c r="R36" s="898" t="b">
        <f>IF(OR(Q36="Compliant",Q36="FE with work-a-round",Q36="Functionally Equivalent"),TRUE,FALSE)</f>
        <v>0</v>
      </c>
      <c r="S36" s="261"/>
      <c r="T36" s="261"/>
      <c r="U36" s="575"/>
      <c r="V36" s="4447"/>
      <c r="W36" s="4571"/>
      <c r="X36" s="261"/>
      <c r="Y36" s="261"/>
      <c r="Z36" s="575"/>
    </row>
    <row r="37" spans="1:84" s="20" customFormat="1" ht="58.5" thickBot="1" x14ac:dyDescent="0.35">
      <c r="A37" s="275" t="s">
        <v>660</v>
      </c>
      <c r="B37" s="1505" t="s">
        <v>467</v>
      </c>
      <c r="C37" s="1800" t="s">
        <v>659</v>
      </c>
      <c r="D37" s="230" t="s">
        <v>3</v>
      </c>
      <c r="E37" s="161" t="b">
        <f>IF(D37="Compliant",TRUE,FALSE)</f>
        <v>0</v>
      </c>
      <c r="F37" s="124"/>
      <c r="G37" s="124" t="str">
        <f>IF(I37&lt;&gt;"", "Not Blank", "")</f>
        <v/>
      </c>
      <c r="H37" s="124"/>
      <c r="I37" s="124"/>
      <c r="J37" s="124" t="str">
        <f>IF(L37&lt;&gt;"", "Not Blank", "")</f>
        <v/>
      </c>
      <c r="K37" s="124"/>
      <c r="L37" s="124"/>
      <c r="M37" s="125"/>
      <c r="N37" s="4448"/>
      <c r="O37" s="4611"/>
      <c r="P37" s="1556"/>
      <c r="Q37" s="1017"/>
      <c r="R37" s="899" t="b">
        <f>IF(OR(Q37="Compliant",Q37="FE with work-a-round",Q37="Functionally Equivalent"),TRUE,FALSE)</f>
        <v>0</v>
      </c>
      <c r="S37" s="1555"/>
      <c r="T37" s="1555"/>
      <c r="U37" s="1556"/>
      <c r="V37" s="4448"/>
      <c r="W37" s="4572"/>
      <c r="X37" s="1555"/>
      <c r="Y37" s="1555"/>
      <c r="Z37" s="1556"/>
    </row>
    <row r="38" spans="1:84" s="3640" customFormat="1" ht="15" thickTop="1" x14ac:dyDescent="0.3">
      <c r="A38" s="4053"/>
      <c r="B38" s="3634"/>
      <c r="C38" s="3785"/>
      <c r="D38" s="3634"/>
      <c r="E38" s="3634"/>
      <c r="F38" s="3634"/>
      <c r="G38" s="3634"/>
      <c r="H38" s="3634"/>
      <c r="I38" s="3634"/>
      <c r="J38" s="3634"/>
      <c r="K38" s="3634"/>
      <c r="L38" s="3634"/>
      <c r="M38" s="3634"/>
      <c r="N38" s="3636"/>
      <c r="O38" s="3636"/>
      <c r="P38" s="3639"/>
      <c r="Q38" s="3634"/>
      <c r="R38" s="3636"/>
      <c r="S38" s="3639"/>
      <c r="T38" s="3639"/>
      <c r="U38" s="3639"/>
      <c r="V38" s="3660"/>
      <c r="W38" s="3641"/>
      <c r="X38" s="3660"/>
      <c r="Y38" s="3660"/>
      <c r="Z38" s="3660"/>
    </row>
    <row r="39" spans="1:84" s="3640" customFormat="1" ht="18.649999999999999" customHeight="1" x14ac:dyDescent="0.3">
      <c r="A39" s="4482" t="s">
        <v>1136</v>
      </c>
      <c r="B39" s="4483"/>
      <c r="C39" s="4483"/>
      <c r="D39" s="4483"/>
      <c r="E39" s="4483"/>
      <c r="F39" s="4483"/>
      <c r="G39" s="4483"/>
      <c r="H39" s="4483"/>
      <c r="I39" s="4483"/>
      <c r="J39" s="4483"/>
      <c r="K39" s="4483"/>
      <c r="L39" s="4483"/>
      <c r="M39" s="4483"/>
      <c r="N39" s="4483"/>
      <c r="O39" s="3669"/>
      <c r="P39" s="3670"/>
      <c r="Q39" s="3670"/>
      <c r="R39" s="4050"/>
      <c r="S39" s="3671"/>
      <c r="T39" s="3672"/>
      <c r="U39" s="3672"/>
      <c r="V39" s="3673"/>
      <c r="W39" s="4051"/>
      <c r="X39" s="3674"/>
      <c r="Y39" s="3675"/>
      <c r="Z39" s="3676"/>
    </row>
    <row r="40" spans="1:84" s="3640" customFormat="1" ht="13.5" thickBot="1" x14ac:dyDescent="0.35">
      <c r="A40" s="4053"/>
      <c r="B40" s="3636"/>
      <c r="C40" s="4054"/>
      <c r="D40" s="3694"/>
      <c r="E40" s="3694"/>
      <c r="F40" s="3694"/>
      <c r="G40" s="3694"/>
      <c r="H40" s="3694"/>
      <c r="I40" s="3694"/>
      <c r="J40" s="3694"/>
      <c r="K40" s="3694"/>
      <c r="L40" s="3694"/>
      <c r="M40" s="3694"/>
      <c r="N40" s="3694"/>
      <c r="O40" s="3694"/>
      <c r="P40" s="4055"/>
      <c r="Q40" s="4055"/>
      <c r="R40" s="4056"/>
      <c r="S40" s="4057"/>
      <c r="T40" s="4058"/>
      <c r="U40" s="4058"/>
      <c r="V40" s="4059"/>
      <c r="W40" s="4060"/>
      <c r="X40" s="4061"/>
      <c r="Y40" s="4062"/>
      <c r="Z40" s="4063"/>
    </row>
    <row r="41" spans="1:84" s="27" customFormat="1" ht="31.5" customHeight="1" thickTop="1" x14ac:dyDescent="0.3">
      <c r="A41" s="28">
        <v>11</v>
      </c>
      <c r="B41" s="1495" t="s">
        <v>474</v>
      </c>
      <c r="C41" s="2220" t="s">
        <v>670</v>
      </c>
      <c r="D41" s="2343" t="s">
        <v>1195</v>
      </c>
      <c r="E41" s="2371" t="b">
        <f>IF(AND(E42=TRUE,E44=TRUE,E43=TRUE,E45=TRUE),TRUE,FALSE)</f>
        <v>0</v>
      </c>
      <c r="F41" s="2342">
        <f>COUNTIF(E42:E45,TRUE)</f>
        <v>0</v>
      </c>
      <c r="G41" s="2342">
        <f>COUNTIFS(E42:E45,TRUE,G42:G45,"Not Blank")</f>
        <v>0</v>
      </c>
      <c r="H41" s="2342">
        <f>COUNTIFS(E42:E45,FALSE,G42:G45,"Not Blank")</f>
        <v>0</v>
      </c>
      <c r="I41" s="2155" t="str">
        <f xml:space="preserve">
IF(F41&gt;4,"Too Many Entries - Check Red Lines",
IF(AND(E41=FALSE,G41=0,H41=0,E41=TRUE),"Nothing Required Below",
IF(G41&lt;F41,"Valid Entry required below - Check Amber Line/s",
IF(AND(E41=FALSE,G41=0,H41=0),"Nothing Entered below Yet",
IF(G41&lt;F41,"Valid Entry required below - Check Amber Line/s",
IF(AND(G41=0,H41&gt;0),"**Non-Valid Entry/ies below - Check Yellow Line/s",
IF(AND(G41&gt;0,H41&gt;0),"**Valid and Non-Valid Entries made below - Check Yellow Line/s",
IF(AND(E41=FALSE,F41&lt;4),"Not all requirements addressed below - Check Pink Line/s",
IF(AND(E41=FALSE,G41&lt;4,G41&gt;0,H41=0),"More entries to come",
IF(AND(E41,TRUE,G41=4,H41=0),"Valid Entries made below"
))))))))))</f>
        <v>Nothing Entered below Yet</v>
      </c>
      <c r="J41" s="2155">
        <f>COUNTIFS(E42:E45,TRUE,J42:J45,"Not Blank")</f>
        <v>0</v>
      </c>
      <c r="K41" s="2155">
        <f>COUNTIFS(E42:E45,FALSE,J42:J45,"Not Blank")</f>
        <v>0</v>
      </c>
      <c r="L41" s="2155" t="str">
        <f xml:space="preserve">
IF(J41&gt;4,"Too Many Entries - Check Red Lines",
IF(AND(E41=FALSE,J41=0,K41=0,E41=TRUE),"Nothing Required Below",
IF(J41&lt;F41,"Valid Entry required below - Check Amber Line/s",
IF(AND(E41=FALSE,J41=0,K41=0),"Nothing Entered below Yet",
IF(AND(J41=0,K41&gt;0),"**Non-Valid Entry/ies below - Check Yellow Line/s",
IF(AND(J41&gt;0,K41&gt;0),"**Valid and Non-Valid Entries made below - Check Yellow Line/s",
IF(AND(E41=FALSE,J41&lt;4),"Not all requirements addressed below - Check Pink Line/s",
IF(AND(E41=FALSE,J41&lt;4,J41&gt;0,K41=0),"More entries to come",
IF(AND(E41,TRUE,J41=4,K41=0),"Valid Entries made below"
)))))))))</f>
        <v>Nothing Entered below Yet</v>
      </c>
      <c r="M41" s="807"/>
      <c r="N41" s="4414" t="s">
        <v>3</v>
      </c>
      <c r="O41" s="4612" t="b">
        <f>IF(OR(N41="Compliant",N41="FE with work-a-round",N41="Functionally Equivalent"),TRUE,FALSE)</f>
        <v>0</v>
      </c>
      <c r="P41" s="2372"/>
      <c r="Q41" s="2343" t="s">
        <v>565</v>
      </c>
      <c r="R41" s="773" t="b">
        <f>IF(AND(R42=TRUE,R44=TRUE,R43=TRUE,R45=TRUE),TRUE,FALSE)</f>
        <v>0</v>
      </c>
      <c r="S41" s="111"/>
      <c r="T41" s="111"/>
      <c r="U41" s="120"/>
      <c r="V41" s="4414" t="s">
        <v>3</v>
      </c>
      <c r="W41" s="4558" t="b">
        <f>IF(OR(V41="Compliant",V41="FE with work-a-round",V41="Functionally Equivalent",V41="Not Required/Applicable"),TRUE,FALSE)</f>
        <v>0</v>
      </c>
      <c r="X41" s="119"/>
      <c r="Y41" s="111"/>
      <c r="Z41" s="120"/>
      <c r="AA41" s="65"/>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40"/>
    </row>
    <row r="42" spans="1:84" s="27" customFormat="1" ht="101.5" x14ac:dyDescent="0.3">
      <c r="A42" s="28" t="s">
        <v>1106</v>
      </c>
      <c r="B42" s="1504"/>
      <c r="C42" s="2194" t="s">
        <v>1155</v>
      </c>
      <c r="D42" s="2241" t="s">
        <v>3</v>
      </c>
      <c r="E42" s="41" t="b">
        <f>IF(D42="Compliant",TRUE,FALSE)</f>
        <v>0</v>
      </c>
      <c r="F42" s="42"/>
      <c r="G42" s="2370" t="str">
        <f>IF(I42&lt;&gt;"", "Not Blank", "")</f>
        <v/>
      </c>
      <c r="H42" s="663"/>
      <c r="I42" s="2716"/>
      <c r="J42" s="391" t="str">
        <f>IF(L42&lt;&gt;"", "Not Blank", "")</f>
        <v/>
      </c>
      <c r="K42" s="391"/>
      <c r="L42" s="42"/>
      <c r="M42" s="2177"/>
      <c r="N42" s="4415"/>
      <c r="O42" s="4613"/>
      <c r="P42" s="2244"/>
      <c r="Q42" s="1142" t="s">
        <v>3</v>
      </c>
      <c r="R42" s="898" t="b">
        <f>IF(OR(Q42="Compliant",Q42="FE with work-a-round",Q42="Functionally Equivalent"),TRUE,FALSE)</f>
        <v>0</v>
      </c>
      <c r="S42" s="44"/>
      <c r="T42" s="44"/>
      <c r="U42" s="122"/>
      <c r="V42" s="4415"/>
      <c r="W42" s="4559"/>
      <c r="X42" s="121"/>
      <c r="Y42" s="44"/>
      <c r="Z42" s="122"/>
      <c r="AA42" s="65"/>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40"/>
    </row>
    <row r="43" spans="1:84" s="27" customFormat="1" ht="158.15" customHeight="1" x14ac:dyDescent="0.3">
      <c r="A43" s="28">
        <v>7.5</v>
      </c>
      <c r="B43" s="1504"/>
      <c r="C43" s="1717" t="s">
        <v>1141</v>
      </c>
      <c r="D43" s="554" t="s">
        <v>3</v>
      </c>
      <c r="E43" s="67" t="b">
        <f>IF(D43="Compliant",TRUE,FALSE)</f>
        <v>0</v>
      </c>
      <c r="F43" s="44"/>
      <c r="G43" s="221" t="str">
        <f>IF(I43&lt;&gt;"", "Not Blank", "")</f>
        <v/>
      </c>
      <c r="H43" s="324"/>
      <c r="I43" s="2721"/>
      <c r="J43" s="216" t="str">
        <f>IF(L43&lt;&gt;"", "Not Blank", "")</f>
        <v/>
      </c>
      <c r="K43" s="216"/>
      <c r="L43" s="44"/>
      <c r="M43" s="122"/>
      <c r="N43" s="4415"/>
      <c r="O43" s="4613"/>
      <c r="P43" s="316"/>
      <c r="Q43" s="847" t="s">
        <v>3</v>
      </c>
      <c r="R43" s="898" t="b">
        <f>IF(OR(Q43="Compliant",Q43="FE with work-a-round",Q43="Functionally Equivalent"),TRUE,FALSE)</f>
        <v>0</v>
      </c>
      <c r="S43" s="44"/>
      <c r="T43" s="44"/>
      <c r="U43" s="122"/>
      <c r="V43" s="4415"/>
      <c r="W43" s="4559"/>
      <c r="X43" s="121"/>
      <c r="Y43" s="44"/>
      <c r="Z43" s="122"/>
      <c r="AA43" s="65"/>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40"/>
    </row>
    <row r="44" spans="1:84" s="27" customFormat="1" ht="50.15" customHeight="1" x14ac:dyDescent="0.3">
      <c r="A44" s="28"/>
      <c r="B44" s="1504"/>
      <c r="C44" s="1717" t="s">
        <v>1832</v>
      </c>
      <c r="D44" s="554" t="s">
        <v>3</v>
      </c>
      <c r="E44" s="67" t="b">
        <f>IF(D44="Compliant",TRUE,FALSE)</f>
        <v>0</v>
      </c>
      <c r="F44" s="44"/>
      <c r="G44" s="221" t="str">
        <f>IF(I44&lt;&gt;"", "Not Blank", "")</f>
        <v/>
      </c>
      <c r="H44" s="324"/>
      <c r="I44" s="2721"/>
      <c r="J44" s="216" t="str">
        <f>IF(L44&lt;&gt;"", "Not Blank", "")</f>
        <v/>
      </c>
      <c r="K44" s="216"/>
      <c r="L44" s="44"/>
      <c r="M44" s="122"/>
      <c r="N44" s="4415"/>
      <c r="O44" s="4613"/>
      <c r="P44" s="316"/>
      <c r="Q44" s="847" t="s">
        <v>3</v>
      </c>
      <c r="R44" s="898" t="b">
        <f>IF(OR(Q44="Compliant",Q44="FE with work-a-round",Q44="Functionally Equivalent"),TRUE,FALSE)</f>
        <v>0</v>
      </c>
      <c r="S44" s="44"/>
      <c r="T44" s="44"/>
      <c r="U44" s="122"/>
      <c r="V44" s="4415"/>
      <c r="W44" s="4559"/>
      <c r="X44" s="121"/>
      <c r="Y44" s="44"/>
      <c r="Z44" s="122"/>
      <c r="AA44" s="65"/>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40"/>
    </row>
    <row r="45" spans="1:84" s="27" customFormat="1" ht="210.65" customHeight="1" thickBot="1" x14ac:dyDescent="0.35">
      <c r="A45" s="149" t="s">
        <v>1103</v>
      </c>
      <c r="B45" s="1505"/>
      <c r="C45" s="1842" t="s">
        <v>1140</v>
      </c>
      <c r="D45" s="567" t="s">
        <v>3</v>
      </c>
      <c r="E45" s="161" t="b">
        <f>IF(D45="Compliant",TRUE,FALSE)</f>
        <v>0</v>
      </c>
      <c r="F45" s="124"/>
      <c r="G45" s="520" t="str">
        <f>IF(I45&lt;&gt;"", "Not Blank", "")</f>
        <v/>
      </c>
      <c r="H45" s="326"/>
      <c r="I45" s="2731"/>
      <c r="J45" s="218" t="str">
        <f>IF(L45&lt;&gt;"", "Not Blank", "")</f>
        <v/>
      </c>
      <c r="K45" s="218"/>
      <c r="L45" s="124"/>
      <c r="M45" s="125"/>
      <c r="N45" s="4416"/>
      <c r="O45" s="4614"/>
      <c r="P45" s="317"/>
      <c r="Q45" s="848" t="s">
        <v>3</v>
      </c>
      <c r="R45" s="899" t="b">
        <f>IF(OR(Q45="Compliant",Q45="FE with work-a-round",Q45="Functionally Equivalent"),TRUE,FALSE)</f>
        <v>0</v>
      </c>
      <c r="S45" s="124"/>
      <c r="T45" s="124"/>
      <c r="U45" s="125"/>
      <c r="V45" s="4416"/>
      <c r="W45" s="4560"/>
      <c r="X45" s="123"/>
      <c r="Y45" s="124"/>
      <c r="Z45" s="125"/>
      <c r="AA45" s="65"/>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40"/>
    </row>
    <row r="46" spans="1:84" s="2" customFormat="1" ht="18.649999999999999" customHeight="1" thickTop="1" x14ac:dyDescent="0.3">
      <c r="A46" s="483"/>
      <c r="B46" s="484"/>
      <c r="C46" s="484"/>
      <c r="D46" s="484"/>
      <c r="E46" s="484"/>
      <c r="F46" s="484"/>
      <c r="G46" s="484"/>
      <c r="H46" s="484"/>
      <c r="I46" s="484"/>
      <c r="J46" s="484"/>
      <c r="K46" s="484"/>
      <c r="L46" s="484"/>
      <c r="M46" s="484"/>
      <c r="N46" s="485"/>
      <c r="O46" s="484"/>
      <c r="P46" s="486"/>
      <c r="Q46" s="486"/>
      <c r="R46" s="907"/>
      <c r="S46" s="236"/>
      <c r="T46" s="487"/>
      <c r="U46" s="487"/>
      <c r="V46" s="33"/>
      <c r="W46" s="913"/>
      <c r="X46" s="108"/>
      <c r="Y46" s="142"/>
      <c r="Z46" s="52"/>
    </row>
    <row r="47" spans="1:84" s="2" customFormat="1" ht="18.649999999999999" customHeight="1" x14ac:dyDescent="0.3">
      <c r="A47" s="4594" t="s">
        <v>472</v>
      </c>
      <c r="B47" s="4595"/>
      <c r="C47" s="4595"/>
      <c r="D47" s="4595"/>
      <c r="E47" s="4595"/>
      <c r="F47" s="4595"/>
      <c r="G47" s="4595"/>
      <c r="H47" s="4595"/>
      <c r="I47" s="4595"/>
      <c r="J47" s="4595"/>
      <c r="K47" s="4595"/>
      <c r="L47" s="4595"/>
      <c r="M47" s="4595"/>
      <c r="N47" s="4595"/>
      <c r="O47" s="474"/>
      <c r="P47" s="247"/>
      <c r="Q47" s="247"/>
      <c r="R47" s="1839"/>
      <c r="S47" s="248"/>
      <c r="T47" s="249"/>
      <c r="U47" s="249"/>
      <c r="V47" s="385"/>
      <c r="W47" s="1840"/>
      <c r="X47" s="145"/>
      <c r="Y47" s="146"/>
      <c r="Z47" s="147"/>
    </row>
    <row r="48" spans="1:84" s="364" customFormat="1" ht="19" thickBot="1" x14ac:dyDescent="0.35">
      <c r="A48" s="483"/>
      <c r="B48" s="488"/>
      <c r="C48" s="485"/>
      <c r="D48" s="592"/>
      <c r="E48" s="592"/>
      <c r="F48" s="592"/>
      <c r="G48" s="592"/>
      <c r="H48" s="592"/>
      <c r="I48" s="639"/>
      <c r="J48" s="592"/>
      <c r="K48" s="592"/>
      <c r="L48" s="592"/>
      <c r="M48" s="592"/>
      <c r="N48" s="592"/>
      <c r="O48" s="592"/>
      <c r="P48" s="489"/>
      <c r="Q48" s="367"/>
      <c r="R48" s="932"/>
      <c r="S48" s="490"/>
      <c r="T48" s="491"/>
      <c r="U48" s="491"/>
      <c r="V48" s="498"/>
      <c r="W48" s="1091"/>
      <c r="X48" s="34"/>
      <c r="Y48" s="86"/>
      <c r="Z48" s="87"/>
    </row>
    <row r="49" spans="1:84" s="364" customFormat="1" ht="47.5" thickTop="1" thickBot="1" x14ac:dyDescent="0.35">
      <c r="A49" s="484"/>
      <c r="B49" s="1844" t="s">
        <v>1358</v>
      </c>
      <c r="C49" s="1845" t="s">
        <v>1376</v>
      </c>
      <c r="D49" s="1843" t="s">
        <v>1363</v>
      </c>
      <c r="E49" s="995" t="b">
        <f>IF(AND(E50,TRUE,E62,E73,TRUE),TRUE,FALSE)</f>
        <v>0</v>
      </c>
      <c r="F49" s="689">
        <f>SUM(F50,F62,F73)</f>
        <v>0</v>
      </c>
      <c r="G49" s="689">
        <f>COUNTIFS(E50:E59,TRUE,G50:G59,"Not Blank")</f>
        <v>0</v>
      </c>
      <c r="H49" s="689">
        <f>COUNTIFS(E50:E57,FALSE,G50:G57,"Not Blank")</f>
        <v>0</v>
      </c>
      <c r="I49" s="1497" t="str">
        <f xml:space="preserve">
IF(F49&gt;45,"Too Many Entries - Check Red Lines",
IF(AND(E49=FALSE,G49=0,H49=0,E49=TRUE),"Nothing Required Below",
IF(G49&lt;F49,"Valid Entry required below - Check Amber Line/s",
IF(AND(E49=FALSE,G49=0,H49=0),"Nothing Entered below Yet",
IF(G49&lt;F49,"Valid Entry required below - Check Amber Line/s",
IF(AND(G49=0,H49&gt;0),"**Non-Valid Entry/ies below - Check Yellow Line/s",
IF(AND(G49&gt;0,H49&gt;0),"**Valid and Non-Valid Entries made below - Check Yellow Line/s",
IF(AND(E49=FALSE,F49&lt;45),"Not all requirements addressed below - Check Pink Line/s",
IF(AND(E49=FALSE,G49&lt;45,G49&gt;0,H49=0),"More entries to come",
IF(AND(E49,TRUE,G49=45,H49=0),"Valid Entries made below"
))))))))))</f>
        <v>Nothing Entered below Yet</v>
      </c>
      <c r="J49" s="1497">
        <f>COUNTIFS(E50:E59,TRUE,J50:J59,"Not Blank")</f>
        <v>0</v>
      </c>
      <c r="K49" s="1497">
        <f>COUNTIFS(E50:E59,FALSE,J50:J59,"Not Blank")</f>
        <v>0</v>
      </c>
      <c r="L49" s="1497" t="str">
        <f xml:space="preserve">
IF(J49&gt;39,"Too Many Entries - Check Red Lines",
IF(AND(E49=FALSE,J49=0,K49=0,E449=TRUE),"Nothing Required Below",
IF(J49&lt;F49,"Valid Entry required below - Check Amber Line/s",
IF(AND(E49=FALSE,J49=0,K49=0),"Nothing Entered below Yet",
IF(AND(J49=0,K49&gt;0),"**Non-Valid Entry/ies below - Check Yellow Line/s",
IF(AND(J49&gt;0,K49&gt;0),"**Valid and Non-Valid Entries made below - Check Yellow Line/s",
IF(AND(E49=FALSE,J49&lt;39),"Not all requirements addressed below - Check Pink Line/s",
IF(AND(E49=FALSE,J49&lt;39,J49&gt;0,K49=0),"More entries to come",
IF(AND(E49,TRUE,J49=39,K49=0),"Valid Entries made below"
)))))))))</f>
        <v>Nothing Entered below Yet</v>
      </c>
      <c r="M49" s="1770"/>
      <c r="N49" s="1197" t="s">
        <v>565</v>
      </c>
      <c r="O49" s="132" t="b">
        <f>IF(AND(O50=TRUE,O62=TRUE,O73=TRUE,O101=TRUE,O113=TRUE,O131=TRUE),TRUE,FALSE)</f>
        <v>0</v>
      </c>
      <c r="P49" s="337"/>
      <c r="Q49" s="1197" t="s">
        <v>565</v>
      </c>
      <c r="R49" s="734" t="b">
        <f>IF(AND(R50,TRUE,R62,R73,TRUE),TRUE,FALSE)</f>
        <v>0</v>
      </c>
      <c r="S49" s="336"/>
      <c r="T49" s="336"/>
      <c r="U49" s="640"/>
      <c r="V49" s="1197" t="s">
        <v>565</v>
      </c>
      <c r="W49" s="1090" t="b">
        <f>IF(AND(W50=TRUE,W62=TRUE,W73=TRUE,W101=TRUE,W113=TRUE,W131=TRUE),TRUE,FALSE)</f>
        <v>0</v>
      </c>
      <c r="X49" s="4080"/>
      <c r="Y49" s="4080"/>
      <c r="Z49" s="4081"/>
    </row>
    <row r="50" spans="1:84" s="27" customFormat="1" ht="88" thickTop="1" thickBot="1" x14ac:dyDescent="0.35">
      <c r="A50" s="462">
        <v>6</v>
      </c>
      <c r="B50" s="1509" t="s">
        <v>1147</v>
      </c>
      <c r="C50" s="2148" t="s">
        <v>1154</v>
      </c>
      <c r="D50" s="2343" t="s">
        <v>1359</v>
      </c>
      <c r="E50" s="978" t="b">
        <f>IF(AND(E51,TRUE,E52,TRUE,E53,TRUE,E54,TRUE,E55,TRUE,E56,TRUE,E57,TRUE,E58,TRUE,E59,TRUE,E60,TRUE),TRUE,FALSE)</f>
        <v>0</v>
      </c>
      <c r="F50" s="979">
        <f>COUNTIF(E51:E60,TRUE)</f>
        <v>0</v>
      </c>
      <c r="G50" s="979">
        <f>COUNTIFS(E51:E60,TRUE,G51:G60,"Not Blank")</f>
        <v>0</v>
      </c>
      <c r="H50" s="979">
        <f>COUNTIFS(E51:E58,FALSE,G51:G58,"Not Blank")</f>
        <v>0</v>
      </c>
      <c r="I50" s="2155" t="str">
        <f xml:space="preserve">
IF(F50&gt;10,"Too Many Entries - Check Red Lines",
IF(AND(E50=FALSE,G50=0,H50=0,E50=TRUE),"Nothing Required Below",
IF(G50&lt;F50,"Valid Entry required below - Check Amber Line/s",
IF(AND(E50=FALSE,G50=0,H50=0),"Nothing Entered below Yet",
IF(G50&lt;F50,"Valid Entry required below - Check Amber Line/s",
IF(AND(G50=0,H50&gt;0),"**Non-Valid Entry/ies below - Check Yellow Line/s",
IF(AND(G50&gt;0,H50&gt;0),"**Valid and Non-Valid Entries made below - Check Yellow Line/s",
IF(AND(E50=FALSE,F50&lt;10),"Not all requirements addressed below - Check Pink Line/s",
IF(AND(E50=FALSE,G50&lt;10,G50&gt;0,H50=0),"More entries to come",
IF(AND(E50,TRUE,G50=10,H50=0),"Valid Entries made below"
))))))))))</f>
        <v>Nothing Entered below Yet</v>
      </c>
      <c r="J50" s="2155">
        <f>COUNTIFS(E51:E60,TRUE,J51:J60,"Not Blank")</f>
        <v>0</v>
      </c>
      <c r="K50" s="2155">
        <f>COUNTIFS(E51:E60,FALSE,J51:J60,"Not Blank")</f>
        <v>0</v>
      </c>
      <c r="L50" s="2155" t="str">
        <f xml:space="preserve">
IF(J50&gt;10,"Too Many Entries - Check Red Lines",
IF(AND(E50=FALSE,J50=0,K50=0,E50=TRUE),"Nothing Required Below",
IF(J50&lt;F50,"Valid Entry required below - Check Amber Line/s",
IF(AND(E50=FALSE,J50=0,K50=0),"Nothing Entered below Yet",
IF(AND(J50=0,K50&gt;0),"**Non-Valid Entry/ies below - Check Yellow Line/s",
IF(AND(J50&gt;0,K50&gt;0),"**Valid and Non-Valid Entries made below - Check Yellow Line/s",
IF(AND(E50=FALSE,J50&lt;10),"Not all requirements addressed below - Check Pink Line/s",
IF(AND(E50=FALSE,J50&lt;10,J50&gt;0,K50=0),"More entries to come",
IF(AND(E50,TRUE,J50=10,K50=0),"Valid Entries made below"
)))))))))</f>
        <v>Nothing Entered below Yet</v>
      </c>
      <c r="M50" s="2176"/>
      <c r="N50" s="4414" t="s">
        <v>3</v>
      </c>
      <c r="O50" s="4491" t="b">
        <f>IF(OR(N50="Compliant",N50="FE with work-a-round",N50="Functionally Equivalent"),TRUE,FALSE)</f>
        <v>0</v>
      </c>
      <c r="P50" s="2176"/>
      <c r="Q50" s="2178" t="s">
        <v>565</v>
      </c>
      <c r="R50" s="918" t="b">
        <f>IF(AND(R51,TRUE,R52,TRUE,R53,TRUE,R54,TRUE,R55,TRUE,R56,TRUE,R57,TRUE,R58,TRUE,R59,TRUE,R60,TRUE),TRUE,FALSE)</f>
        <v>0</v>
      </c>
      <c r="S50" s="42"/>
      <c r="T50" s="42"/>
      <c r="U50" s="128"/>
      <c r="V50" s="4414" t="s">
        <v>3</v>
      </c>
      <c r="W50" s="4558" t="b">
        <f>IF(OR(V50="Compliant",V50="FE with work-a-round",V50="Functionally Equivalent",V50="Not Required/Applicable"),TRUE,FALSE)</f>
        <v>0</v>
      </c>
      <c r="X50" s="834"/>
      <c r="Y50" s="42"/>
      <c r="Z50" s="1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40"/>
    </row>
    <row r="51" spans="1:84" s="27" customFormat="1" ht="29.5" thickTop="1" x14ac:dyDescent="0.3">
      <c r="A51" s="82"/>
      <c r="B51" s="1504"/>
      <c r="C51" s="1806" t="s">
        <v>1148</v>
      </c>
      <c r="D51" s="2241" t="s">
        <v>3</v>
      </c>
      <c r="E51" s="67" t="b">
        <f t="shared" ref="E51:E60" si="0">IF(D51="Compliant",TRUE,FALSE)</f>
        <v>0</v>
      </c>
      <c r="F51" s="44"/>
      <c r="G51" s="381" t="str">
        <f t="shared" ref="G51:G60" si="1">IF(I51&lt;&gt;"", "Not Blank", "")</f>
        <v/>
      </c>
      <c r="H51" s="380"/>
      <c r="I51" s="42"/>
      <c r="J51" s="391" t="str">
        <f t="shared" ref="J51:J60" si="2">IF(L51&lt;&gt;"", "Not Blank", "")</f>
        <v/>
      </c>
      <c r="K51" s="391"/>
      <c r="L51" s="42"/>
      <c r="M51" s="128"/>
      <c r="N51" s="4415"/>
      <c r="O51" s="4492"/>
      <c r="P51" s="1081"/>
      <c r="Q51" s="1142" t="s">
        <v>3</v>
      </c>
      <c r="R51" s="263" t="b">
        <f>IF(OR(Q51="Compliant",Q51="FE with work-a-round",Q51="Functionally Equivalent"),TRUE,FALSE)</f>
        <v>0</v>
      </c>
      <c r="S51" s="261"/>
      <c r="T51" s="261"/>
      <c r="U51" s="575"/>
      <c r="V51" s="4415"/>
      <c r="W51" s="4559"/>
      <c r="X51" s="121"/>
      <c r="Y51" s="44"/>
      <c r="Z51" s="122"/>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40"/>
    </row>
    <row r="52" spans="1:84" s="27" customFormat="1" ht="29" x14ac:dyDescent="0.3">
      <c r="A52" s="37"/>
      <c r="B52" s="1504"/>
      <c r="C52" s="1717" t="s">
        <v>1150</v>
      </c>
      <c r="D52" s="554" t="s">
        <v>3</v>
      </c>
      <c r="E52" s="67" t="b">
        <f t="shared" si="0"/>
        <v>0</v>
      </c>
      <c r="F52" s="44"/>
      <c r="G52" s="381" t="str">
        <f t="shared" si="1"/>
        <v/>
      </c>
      <c r="H52" s="380"/>
      <c r="I52" s="44"/>
      <c r="J52" s="216" t="str">
        <f t="shared" si="2"/>
        <v/>
      </c>
      <c r="K52" s="216"/>
      <c r="L52" s="44"/>
      <c r="M52" s="122"/>
      <c r="N52" s="4415"/>
      <c r="O52" s="4492"/>
      <c r="P52" s="122"/>
      <c r="Q52" s="847" t="s">
        <v>3</v>
      </c>
      <c r="R52" s="263" t="b">
        <f t="shared" ref="R52:R60" si="3">IF(OR(Q52="Compliant",Q52="FE with work-a-round",Q52="Functionally Equivalent"),TRUE,FALSE)</f>
        <v>0</v>
      </c>
      <c r="S52" s="44"/>
      <c r="T52" s="44"/>
      <c r="U52" s="122"/>
      <c r="V52" s="4415"/>
      <c r="W52" s="4559"/>
      <c r="X52" s="121"/>
      <c r="Y52" s="44"/>
      <c r="Z52" s="122"/>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40"/>
    </row>
    <row r="53" spans="1:84" s="27" customFormat="1" ht="29" x14ac:dyDescent="0.3">
      <c r="A53" s="37"/>
      <c r="B53" s="1504"/>
      <c r="C53" s="1717" t="s">
        <v>1151</v>
      </c>
      <c r="D53" s="554" t="s">
        <v>3</v>
      </c>
      <c r="E53" s="67" t="b">
        <f t="shared" si="0"/>
        <v>0</v>
      </c>
      <c r="F53" s="44"/>
      <c r="G53" s="381" t="str">
        <f t="shared" si="1"/>
        <v/>
      </c>
      <c r="H53" s="380"/>
      <c r="I53" s="44"/>
      <c r="J53" s="216" t="str">
        <f t="shared" si="2"/>
        <v/>
      </c>
      <c r="K53" s="216"/>
      <c r="L53" s="44"/>
      <c r="M53" s="122"/>
      <c r="N53" s="4415"/>
      <c r="O53" s="4492"/>
      <c r="P53" s="122"/>
      <c r="Q53" s="847" t="s">
        <v>3</v>
      </c>
      <c r="R53" s="263" t="b">
        <f t="shared" si="3"/>
        <v>0</v>
      </c>
      <c r="S53" s="44"/>
      <c r="T53" s="44"/>
      <c r="U53" s="122"/>
      <c r="V53" s="4415"/>
      <c r="W53" s="4559"/>
      <c r="X53" s="121"/>
      <c r="Y53" s="44"/>
      <c r="Z53" s="122"/>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40"/>
    </row>
    <row r="54" spans="1:84" s="27" customFormat="1" ht="29" x14ac:dyDescent="0.3">
      <c r="A54" s="37"/>
      <c r="B54" s="1504"/>
      <c r="C54" s="1717" t="s">
        <v>1149</v>
      </c>
      <c r="D54" s="554" t="s">
        <v>3</v>
      </c>
      <c r="E54" s="67" t="b">
        <f t="shared" si="0"/>
        <v>0</v>
      </c>
      <c r="F54" s="44"/>
      <c r="G54" s="381" t="str">
        <f t="shared" si="1"/>
        <v/>
      </c>
      <c r="H54" s="380"/>
      <c r="I54" s="44"/>
      <c r="J54" s="216" t="str">
        <f>IF(L54&lt;&gt;"", "Not Blank", "")</f>
        <v/>
      </c>
      <c r="K54" s="216"/>
      <c r="L54" s="44"/>
      <c r="M54" s="122"/>
      <c r="N54" s="4415"/>
      <c r="O54" s="4492"/>
      <c r="P54" s="122"/>
      <c r="Q54" s="847" t="s">
        <v>3</v>
      </c>
      <c r="R54" s="263" t="b">
        <f t="shared" si="3"/>
        <v>0</v>
      </c>
      <c r="S54" s="44"/>
      <c r="T54" s="44"/>
      <c r="U54" s="122"/>
      <c r="V54" s="4415"/>
      <c r="W54" s="4559"/>
      <c r="X54" s="121"/>
      <c r="Y54" s="44"/>
      <c r="Z54" s="122"/>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40"/>
    </row>
    <row r="55" spans="1:84" s="27" customFormat="1" ht="29" x14ac:dyDescent="0.3">
      <c r="A55" s="37"/>
      <c r="B55" s="1504"/>
      <c r="C55" s="1717" t="s">
        <v>9</v>
      </c>
      <c r="D55" s="554" t="s">
        <v>3</v>
      </c>
      <c r="E55" s="67" t="b">
        <f t="shared" si="0"/>
        <v>0</v>
      </c>
      <c r="F55" s="44"/>
      <c r="G55" s="381" t="str">
        <f t="shared" si="1"/>
        <v/>
      </c>
      <c r="H55" s="380"/>
      <c r="I55" s="44"/>
      <c r="J55" s="216" t="str">
        <f t="shared" si="2"/>
        <v/>
      </c>
      <c r="K55" s="216"/>
      <c r="L55" s="44"/>
      <c r="M55" s="122"/>
      <c r="N55" s="4415"/>
      <c r="O55" s="4492"/>
      <c r="P55" s="122"/>
      <c r="Q55" s="847" t="s">
        <v>3</v>
      </c>
      <c r="R55" s="263" t="b">
        <f t="shared" si="3"/>
        <v>0</v>
      </c>
      <c r="S55" s="44"/>
      <c r="T55" s="44"/>
      <c r="U55" s="122"/>
      <c r="V55" s="4415"/>
      <c r="W55" s="4559"/>
      <c r="X55" s="121"/>
      <c r="Y55" s="44"/>
      <c r="Z55" s="122"/>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40"/>
    </row>
    <row r="56" spans="1:84" s="27" customFormat="1" ht="43.5" x14ac:dyDescent="0.3">
      <c r="A56" s="37"/>
      <c r="B56" s="1504"/>
      <c r="C56" s="1717" t="s">
        <v>2267</v>
      </c>
      <c r="D56" s="554" t="s">
        <v>3</v>
      </c>
      <c r="E56" s="67" t="b">
        <f t="shared" si="0"/>
        <v>0</v>
      </c>
      <c r="F56" s="44"/>
      <c r="G56" s="381" t="str">
        <f t="shared" si="1"/>
        <v/>
      </c>
      <c r="H56" s="380"/>
      <c r="I56" s="44"/>
      <c r="J56" s="216" t="str">
        <f t="shared" si="2"/>
        <v/>
      </c>
      <c r="K56" s="216"/>
      <c r="L56" s="44"/>
      <c r="M56" s="122"/>
      <c r="N56" s="4415"/>
      <c r="O56" s="4492"/>
      <c r="P56" s="122"/>
      <c r="Q56" s="847" t="s">
        <v>3</v>
      </c>
      <c r="R56" s="263" t="b">
        <f t="shared" si="3"/>
        <v>0</v>
      </c>
      <c r="S56" s="44"/>
      <c r="T56" s="44"/>
      <c r="U56" s="122"/>
      <c r="V56" s="4415"/>
      <c r="W56" s="4559"/>
      <c r="X56" s="121"/>
      <c r="Y56" s="44"/>
      <c r="Z56" s="122"/>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40"/>
    </row>
    <row r="57" spans="1:84" s="27" customFormat="1" ht="29" x14ac:dyDescent="0.3">
      <c r="A57" s="37"/>
      <c r="B57" s="1504"/>
      <c r="C57" s="1717" t="s">
        <v>473</v>
      </c>
      <c r="D57" s="554" t="s">
        <v>3</v>
      </c>
      <c r="E57" s="67" t="b">
        <f t="shared" si="0"/>
        <v>0</v>
      </c>
      <c r="F57" s="44"/>
      <c r="G57" s="381" t="str">
        <f t="shared" si="1"/>
        <v/>
      </c>
      <c r="H57" s="380"/>
      <c r="I57" s="44"/>
      <c r="J57" s="216" t="str">
        <f t="shared" si="2"/>
        <v/>
      </c>
      <c r="K57" s="216"/>
      <c r="L57" s="44"/>
      <c r="M57" s="122"/>
      <c r="N57" s="4415"/>
      <c r="O57" s="4492"/>
      <c r="P57" s="122"/>
      <c r="Q57" s="847" t="s">
        <v>3</v>
      </c>
      <c r="R57" s="263" t="b">
        <f t="shared" si="3"/>
        <v>0</v>
      </c>
      <c r="S57" s="44"/>
      <c r="T57" s="44"/>
      <c r="U57" s="122"/>
      <c r="V57" s="4415"/>
      <c r="W57" s="4559"/>
      <c r="X57" s="121"/>
      <c r="Y57" s="44"/>
      <c r="Z57" s="122"/>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40"/>
    </row>
    <row r="58" spans="1:84" s="27" customFormat="1" ht="29" x14ac:dyDescent="0.3">
      <c r="A58" s="37"/>
      <c r="B58" s="1504"/>
      <c r="C58" s="1717" t="s">
        <v>1152</v>
      </c>
      <c r="D58" s="554" t="s">
        <v>3</v>
      </c>
      <c r="E58" s="67" t="b">
        <f t="shared" si="0"/>
        <v>0</v>
      </c>
      <c r="F58" s="44"/>
      <c r="G58" s="381" t="str">
        <f t="shared" si="1"/>
        <v/>
      </c>
      <c r="H58" s="380"/>
      <c r="I58" s="44"/>
      <c r="J58" s="216" t="str">
        <f t="shared" si="2"/>
        <v/>
      </c>
      <c r="K58" s="216"/>
      <c r="L58" s="44"/>
      <c r="M58" s="122"/>
      <c r="N58" s="4415"/>
      <c r="O58" s="4492"/>
      <c r="P58" s="122"/>
      <c r="Q58" s="847" t="s">
        <v>3</v>
      </c>
      <c r="R58" s="263" t="b">
        <f t="shared" si="3"/>
        <v>0</v>
      </c>
      <c r="S58" s="44"/>
      <c r="T58" s="44"/>
      <c r="U58" s="122"/>
      <c r="V58" s="4415"/>
      <c r="W58" s="4559"/>
      <c r="X58" s="121"/>
      <c r="Y58" s="44"/>
      <c r="Z58" s="122"/>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27" customFormat="1" ht="29" x14ac:dyDescent="0.3">
      <c r="A59" s="37"/>
      <c r="B59" s="1504"/>
      <c r="C59" s="1717" t="s">
        <v>1153</v>
      </c>
      <c r="D59" s="554" t="s">
        <v>3</v>
      </c>
      <c r="E59" s="67" t="b">
        <f t="shared" si="0"/>
        <v>0</v>
      </c>
      <c r="F59" s="44"/>
      <c r="G59" s="381" t="str">
        <f t="shared" si="1"/>
        <v/>
      </c>
      <c r="H59" s="380"/>
      <c r="I59" s="44"/>
      <c r="J59" s="216" t="str">
        <f t="shared" si="2"/>
        <v/>
      </c>
      <c r="K59" s="216"/>
      <c r="L59" s="44"/>
      <c r="M59" s="122"/>
      <c r="N59" s="4415"/>
      <c r="O59" s="4492"/>
      <c r="P59" s="122"/>
      <c r="Q59" s="847" t="s">
        <v>3</v>
      </c>
      <c r="R59" s="263" t="b">
        <f t="shared" si="3"/>
        <v>0</v>
      </c>
      <c r="S59" s="44"/>
      <c r="T59" s="44"/>
      <c r="U59" s="122"/>
      <c r="V59" s="4415"/>
      <c r="W59" s="4559"/>
      <c r="X59" s="121"/>
      <c r="Y59" s="44"/>
      <c r="Z59" s="122"/>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40"/>
    </row>
    <row r="60" spans="1:84" s="27" customFormat="1" ht="29.5" thickBot="1" x14ac:dyDescent="0.35">
      <c r="A60" s="37"/>
      <c r="B60" s="1505"/>
      <c r="C60" s="1800" t="s">
        <v>768</v>
      </c>
      <c r="D60" s="567" t="s">
        <v>3</v>
      </c>
      <c r="E60" s="161" t="b">
        <f t="shared" si="0"/>
        <v>0</v>
      </c>
      <c r="F60" s="124"/>
      <c r="G60" s="451" t="str">
        <f t="shared" si="1"/>
        <v/>
      </c>
      <c r="H60" s="404"/>
      <c r="I60" s="124"/>
      <c r="J60" s="218" t="str">
        <f t="shared" si="2"/>
        <v/>
      </c>
      <c r="K60" s="218"/>
      <c r="L60" s="124"/>
      <c r="M60" s="125"/>
      <c r="N60" s="4416"/>
      <c r="O60" s="4493"/>
      <c r="P60" s="125"/>
      <c r="Q60" s="848" t="s">
        <v>3</v>
      </c>
      <c r="R60" s="694" t="b">
        <f t="shared" si="3"/>
        <v>0</v>
      </c>
      <c r="S60" s="124"/>
      <c r="T60" s="124"/>
      <c r="U60" s="125"/>
      <c r="V60" s="4416"/>
      <c r="W60" s="4560"/>
      <c r="X60" s="123"/>
      <c r="Y60" s="124"/>
      <c r="Z60" s="125"/>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40"/>
    </row>
    <row r="61" spans="1:84" s="3730" customFormat="1" ht="15.5" thickTop="1" thickBot="1" x14ac:dyDescent="0.35">
      <c r="A61" s="4047"/>
      <c r="B61" s="3638"/>
      <c r="C61" s="3638"/>
      <c r="D61" s="3634"/>
      <c r="E61" s="3638"/>
      <c r="F61" s="3638"/>
      <c r="G61" s="3638"/>
      <c r="H61" s="3638"/>
      <c r="I61" s="3638"/>
      <c r="J61" s="3638"/>
      <c r="K61" s="3638"/>
      <c r="L61" s="3638"/>
      <c r="M61" s="3634"/>
      <c r="N61" s="3636"/>
      <c r="O61" s="3636"/>
      <c r="P61" s="3634"/>
      <c r="Q61" s="3634"/>
      <c r="R61" s="3634"/>
      <c r="S61" s="3634"/>
      <c r="T61" s="3634"/>
      <c r="U61" s="3634"/>
      <c r="V61" s="3639"/>
      <c r="W61" s="3641"/>
      <c r="X61" s="3634"/>
      <c r="Y61" s="3634"/>
      <c r="Z61" s="3634"/>
      <c r="AA61" s="3634"/>
      <c r="AB61" s="3634"/>
      <c r="AC61" s="3634"/>
      <c r="AD61" s="3634"/>
      <c r="AE61" s="3634"/>
      <c r="AF61" s="3634"/>
      <c r="AG61" s="3634"/>
      <c r="AH61" s="3634"/>
      <c r="AI61" s="3634"/>
      <c r="AJ61" s="3634"/>
      <c r="AK61" s="3634"/>
      <c r="AL61" s="3634"/>
      <c r="AM61" s="3634"/>
      <c r="AN61" s="3634"/>
      <c r="AO61" s="3634"/>
      <c r="AP61" s="3634"/>
      <c r="AQ61" s="3634"/>
      <c r="AR61" s="3634"/>
      <c r="AS61" s="3634"/>
      <c r="AT61" s="3634"/>
      <c r="AU61" s="3634"/>
      <c r="AV61" s="3634"/>
      <c r="AW61" s="3634"/>
      <c r="AX61" s="3634"/>
      <c r="AY61" s="3634"/>
      <c r="AZ61" s="3634"/>
      <c r="BA61" s="3634"/>
      <c r="BB61" s="3634"/>
      <c r="BC61" s="3634"/>
      <c r="BD61" s="3634"/>
      <c r="BE61" s="3634"/>
      <c r="BF61" s="3634"/>
      <c r="BG61" s="3634"/>
      <c r="BH61" s="3634"/>
      <c r="BI61" s="3634"/>
      <c r="BJ61" s="3634"/>
      <c r="BK61" s="3634"/>
      <c r="BL61" s="3634"/>
      <c r="BM61" s="3634"/>
      <c r="BN61" s="3634"/>
      <c r="BO61" s="3634"/>
      <c r="BP61" s="3634"/>
      <c r="BQ61" s="3634"/>
      <c r="BR61" s="3634"/>
      <c r="BS61" s="3634"/>
      <c r="BT61" s="3634"/>
      <c r="BU61" s="3634"/>
      <c r="BV61" s="3634"/>
      <c r="BW61" s="3634"/>
      <c r="BX61" s="3634"/>
      <c r="BY61" s="3634"/>
      <c r="BZ61" s="3634"/>
      <c r="CA61" s="3634"/>
      <c r="CB61" s="3634"/>
      <c r="CC61" s="3634"/>
      <c r="CD61" s="3634"/>
      <c r="CE61" s="3634"/>
      <c r="CF61" s="3634"/>
    </row>
    <row r="62" spans="1:84" s="27" customFormat="1" ht="44.5" thickTop="1" thickBot="1" x14ac:dyDescent="0.35">
      <c r="A62" s="525">
        <v>6</v>
      </c>
      <c r="B62" s="1860" t="s">
        <v>1146</v>
      </c>
      <c r="C62" s="1684" t="s">
        <v>565</v>
      </c>
      <c r="D62" s="1821" t="s">
        <v>565</v>
      </c>
      <c r="E62" s="1050" t="b">
        <f>IF(E63=TRUE,TRUE,FALSE)</f>
        <v>0</v>
      </c>
      <c r="F62" s="1726">
        <f>SUM(F63,F65)</f>
        <v>0</v>
      </c>
      <c r="G62" s="1726">
        <f>COUNTIFS(E63:E71,TRUE,G63:G71,"Not Blank")</f>
        <v>0</v>
      </c>
      <c r="H62" s="1726">
        <f>COUNTIFS(E63:E70,FALSE,G63:G70,"Not Blank")</f>
        <v>0</v>
      </c>
      <c r="I62" s="1727" t="str">
        <f xml:space="preserve">
IF(F62&gt;9,"Too Many Entries - Check Red Lines",
IF(AND(E62=FALSE,G62=0,H62=0,E62=TRUE),"Nothing Required Below",
IF(G62&lt;F62,"Valid Entry required below - Check Amber Line/s",
IF(AND(E62=FALSE,G62=0,H62=0),"Nothing Entered below Yet",
IF(G62&lt;F62,"Valid Entry required below - Check Amber Line/s",
IF(AND(G62=0,H62&gt;0),"**Non-Valid Entry/ies below - Check Yellow Line/s",
IF(AND(G62&gt;0,H62&gt;0),"**Valid and Non-Valid Entries made below - Check Yellow Line/s",
IF(AND(E62=FALSE,F62&lt;9),"Not all requirements addressed below - Check Pink Line/s",
IF(AND(E62=FALSE,G62&lt;9,G62&gt;0,H62=0),"More entries to come",
IF(AND(E62,TRUE,G62=9,H62=0),"Valid Entries made below"
))))))))))</f>
        <v>Nothing Entered below Yet</v>
      </c>
      <c r="J62" s="1727">
        <f>COUNTIFS(E63:E71,TRUE,J63:J71,"Not Blank")</f>
        <v>0</v>
      </c>
      <c r="K62" s="1727">
        <f>COUNTIFS(E63:E71,FALSE,J63:J71,"Not Blank")</f>
        <v>0</v>
      </c>
      <c r="L62" s="1727" t="str">
        <f xml:space="preserve">
IF(J62&gt;9,"Too Many Entries - Check Red Lines",
IF(AND(E62=FALSE,J62=0,K62=0,E62=TRUE),"Nothing Required Below",
IF(J62&lt;F62,"Valid Entry required below - Check Amber Line/s",
IF(AND(E62=FALSE,J62=0,K62=0),"Nothing Entered below Yet",
IF(AND(J62=0,K62&gt;0),"**Non-Valid Entry/ies below - Check Yellow Line/s",
IF(AND(J62&gt;0,K62&gt;0),"**Valid and Non-Valid Entries made below - Check Yellow Line/s",
IF(AND(E62=FALSE,J62&lt;9),"Not all requirements addressed below - Check Pink Line/s",
IF(AND(E62=FALSE,J62&lt;9,J62&gt;0,K62=0),"More entries to come",
IF(AND(E62,TRUE,J62=9,K62=0),"Valid Entries made below"
)))))))))</f>
        <v>Nothing Entered below Yet</v>
      </c>
      <c r="M62" s="66"/>
      <c r="N62" s="4484" t="s">
        <v>3</v>
      </c>
      <c r="O62" s="4567" t="b">
        <f>IF(OR(N62="Compliant",N62="FE with work-a-round",N62="Functionally Equivalent"),TRUE,FALSE)</f>
        <v>0</v>
      </c>
      <c r="P62" s="306"/>
      <c r="Q62" s="1846" t="s">
        <v>565</v>
      </c>
      <c r="R62" s="749" t="b">
        <f>IF(R63=TRUE,TRUE,FALSE)</f>
        <v>0</v>
      </c>
      <c r="S62" s="3600"/>
      <c r="T62" s="3600"/>
      <c r="U62" s="3598"/>
      <c r="V62" s="4564" t="s">
        <v>3</v>
      </c>
      <c r="W62" s="4558" t="b">
        <f>IF(OR(V62="Compliant",V62="FE with work-a-round",V62="Functionally Equivalent",V62="Not Required/Applicable"),TRUE,FALSE)</f>
        <v>0</v>
      </c>
      <c r="X62" s="897"/>
      <c r="Y62" s="842"/>
      <c r="Z62" s="807"/>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40"/>
    </row>
    <row r="63" spans="1:84" s="27" customFormat="1" ht="44" thickTop="1" x14ac:dyDescent="0.3">
      <c r="A63" s="82">
        <v>6.1</v>
      </c>
      <c r="B63" s="1852" t="s">
        <v>1375</v>
      </c>
      <c r="C63" s="2175" t="s">
        <v>664</v>
      </c>
      <c r="D63" s="2375" t="s">
        <v>565</v>
      </c>
      <c r="E63" s="2371" t="b">
        <f>IF(AND(E64=TRUE,E65=TRUE,E68=TRUE,E69=TRUE,E70=TRUE,E71=TRUE),TRUE,FALSE)</f>
        <v>0</v>
      </c>
      <c r="F63" s="2342">
        <f>COUNTIF(E64,TRUE)+COUNTIF(E66:E71,TRUE)</f>
        <v>0</v>
      </c>
      <c r="G63" s="2342">
        <f>COUNTIFS(E64,TRUE,G64,"Not Blank")+COUNTIFS(E66:E70,TRUE,G66:G70,"Not Blank")</f>
        <v>0</v>
      </c>
      <c r="H63" s="2342">
        <f>COUNTIFS(E64:E71,FALSE,G64:G71,"Not Blank")</f>
        <v>0</v>
      </c>
      <c r="I63" s="2155" t="str">
        <f xml:space="preserve">
IF(F63&gt;7,"Too Many Entries - Check Red Lines",
IF(AND(E63=FALSE,G63=0,H63=0,E63=TRUE),"Nothing Required Below",
IF(G63&lt;F63,"Valid Entry required below - Check Amber Line/s",
IF(AND(E63=FALSE,G63=0,H63=0),"Nothing Entered below Yet",
IF(G63&lt;F63,"Valid Entry required below - Check Amber Line/s",
IF(AND(G63=0,H63&gt;0),"**Non-Valid Entry/ies below - Check Yellow Line/s",
IF(AND(G63&gt;0,H63&gt;0),"**Valid and Non-Valid Entries made below - Check Yellow Line/s",
IF(AND(E63=FALSE,F63&lt;7),"Not all requirements addressed below - Check Pink Line/s",
IF(AND(E63=FALSE,G63&lt;7,G63&gt;0,H63=0),"More entries to come",
IF(AND(E63,TRUE,G63=7,H63=0),"Valid Entries made below"
))))))))))</f>
        <v>Nothing Entered below Yet</v>
      </c>
      <c r="J63" s="1514">
        <f>COUNTIFS(E64,TRUE,J64,"Not Blank")+COUNTIFS(E66:E70,TRUE,J66:J70,"Not Blank")</f>
        <v>0</v>
      </c>
      <c r="K63" s="1514">
        <f>COUNTIFS(E64:E70,FALSE,J64:J70,"Not Blank")</f>
        <v>0</v>
      </c>
      <c r="L63" s="2155" t="str">
        <f xml:space="preserve">
IF(J63&gt;7,"Too Many Entries - Check Red Lines",
IF(AND(E63=FALSE,J63=0,K63=0,E63=TRUE),"Nothing Required Below",
IF(J63&lt;F63,"Valid Entry required below - Check Amber Line/s",
IF(AND(E63=FALSE,J63=0,K63=0),"Nothing Entered below Yet",
IF(AND(J63=0,K63&gt;0),"**Non-Valid Entry/ies below - Check Yellow Line/s",
IF(AND(J63&gt;0,K63&gt;0),"**Valid and Non-Valid Entries made below - Check Yellow Line/s",
IF(AND(E63=FALSE,J63&lt;7),"Not all requirements addressed below - Check Pink Line/s",
IF(AND(E63=FALSE,J63&lt;7,J63&gt;0,K63=0),"More entries to come",
IF(AND(E63,TRUE,J63=7,K63=0),"Valid Entries made below"
)))))))))</f>
        <v>Nothing Entered below Yet</v>
      </c>
      <c r="M63" s="2176"/>
      <c r="N63" s="4485"/>
      <c r="O63" s="4561"/>
      <c r="P63" s="2170"/>
      <c r="Q63" s="2376" t="s">
        <v>565</v>
      </c>
      <c r="R63" s="840" t="b">
        <f>IF(AND(R64=TRUE,R65=TRUE,R68=TRUE,R69=TRUE,R70=TRUE,R71=TRUE),TRUE,FALSE)</f>
        <v>0</v>
      </c>
      <c r="S63" s="111"/>
      <c r="T63" s="111"/>
      <c r="U63" s="120"/>
      <c r="V63" s="4565"/>
      <c r="W63" s="4559"/>
      <c r="X63" s="119"/>
      <c r="Y63" s="111"/>
      <c r="Z63" s="120"/>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40"/>
    </row>
    <row r="64" spans="1:84" s="27" customFormat="1" ht="29.5" thickBot="1" x14ac:dyDescent="0.35">
      <c r="A64" s="37"/>
      <c r="B64" s="1852"/>
      <c r="C64" s="1703" t="s">
        <v>665</v>
      </c>
      <c r="D64" s="196" t="s">
        <v>3</v>
      </c>
      <c r="E64" s="706" t="b">
        <f>IF(D64="Compliant",TRUE,FALSE)</f>
        <v>0</v>
      </c>
      <c r="F64" s="160"/>
      <c r="G64" s="2373" t="str">
        <f>IF(I64&lt;&gt;"", "Not Blank", "")</f>
        <v/>
      </c>
      <c r="H64" s="2374"/>
      <c r="I64" s="160"/>
      <c r="J64" s="218" t="str">
        <f>IF(L64&lt;&gt;"", "Not Blank", "")</f>
        <v/>
      </c>
      <c r="K64" s="218"/>
      <c r="L64" s="160"/>
      <c r="M64" s="135"/>
      <c r="N64" s="4485"/>
      <c r="O64" s="4561"/>
      <c r="P64" s="1081"/>
      <c r="Q64" s="2133" t="s">
        <v>3</v>
      </c>
      <c r="R64" s="694" t="b">
        <f>IF(OR(Q64="Compliant",Q64="FE with work-a-round",Q64="Functionally Equivalent"),TRUE,FALSE)</f>
        <v>0</v>
      </c>
      <c r="S64" s="1555"/>
      <c r="T64" s="1555"/>
      <c r="U64" s="1556"/>
      <c r="V64" s="4565"/>
      <c r="W64" s="4559"/>
      <c r="X64" s="123"/>
      <c r="Y64" s="124"/>
      <c r="Z64" s="125"/>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40"/>
    </row>
    <row r="65" spans="1:84" s="27" customFormat="1" ht="29.5" thickTop="1" x14ac:dyDescent="0.3">
      <c r="A65" s="37"/>
      <c r="B65" s="1679" t="s">
        <v>1723</v>
      </c>
      <c r="C65" s="1685" t="s">
        <v>666</v>
      </c>
      <c r="D65" s="2343" t="s">
        <v>565</v>
      </c>
      <c r="E65" s="2371" t="b">
        <f>IF(AND(E66=TRUE,E67=TRUE),TRUE,FALSE)</f>
        <v>0</v>
      </c>
      <c r="F65" s="2342">
        <f>COUNTIF(E66:E67,TRUE)</f>
        <v>0</v>
      </c>
      <c r="G65" s="2342">
        <f>COUNTIFS(E66:E67,TRUE,G66:G67,"Not Blank")</f>
        <v>0</v>
      </c>
      <c r="H65" s="2342">
        <f>COUNTIFS(E66:E67,FALSE,G66:G67,"Not Blank")</f>
        <v>0</v>
      </c>
      <c r="I65" s="2155" t="str">
        <f xml:space="preserve">
IF(F65&gt;2,"Too Many Entries - Check Red Lines",
IF(AND(E65=FALSE,G65=0,H65=0,E65=TRUE),"Nothing Required Below",
IF(G65&lt;F65,"Valid Entry required below - Check Amber Line/s",
IF(AND(E65=FALSE,G65=0,H65=0),"Nothing Entered below Yet",
IF(G65&lt;F65,"Valid Entry required below - Check Amber Line/s",
IF(AND(G65=0,H65&gt;0),"**Non-Valid Entry/ies below - Check Yellow Line/s",
IF(AND(G65&gt;0,H65&gt;0),"**Valid and Non-Valid Entries made below - Check Yellow Line/s",
IF(AND(E65=FALSE,F65&lt;2),"Not all requirements addressed below - Check Pink Line/s",
IF(AND(E65=FALSE,G65&lt;2,G65&gt;0,H65=0),"More entries to come",
IF(AND(E65,TRUE,G65=2,H65=0),"Valid Entries made below"
))))))))))</f>
        <v>Nothing Entered below Yet</v>
      </c>
      <c r="J65" s="1514">
        <f>COUNTIFS(E66:E67,TRUE,J66:J67,"Not Blank")</f>
        <v>0</v>
      </c>
      <c r="K65" s="1514">
        <f>COUNTIFS(E66:E67,FALSE,J66:J67,"Not Blank")</f>
        <v>0</v>
      </c>
      <c r="L65" s="2155" t="str">
        <f xml:space="preserve">
IF(J65&gt;2,"Too Many Entries - Check Red Lines",
IF(AND(E65=FALSE,J65=0,K65=0,E65=TRUE),"Nothing Required Below",
IF(J65&lt;F65,"Valid Entry required below - Check Amber Line/s",
IF(AND(E65=FALSE,J65=0,K65=0),"Nothing Entered below Yet",
IF(AND(J65=0,K65&gt;0),"**Non-Valid Entry/ies below - Check Yellow Line/s",
IF(AND(J65&gt;0,K65&gt;0),"**Valid and Non-Valid Entries made below - Check Yellow Line/s",
IF(AND(E65=FALSE,J65&lt;2),"Not all requirements addressed below - Check Pink Line/s",
IF(AND(E65=FALSE,J65&lt;2,J65&gt;0,K65=0),"More entries to come",
IF(AND(E65,TRUE,J65=2,K65=0),"Valid Entries made below"
)))))))))</f>
        <v>Nothing Entered below Yet</v>
      </c>
      <c r="M65" s="2176"/>
      <c r="N65" s="4485"/>
      <c r="O65" s="4561"/>
      <c r="P65" s="122"/>
      <c r="Q65" s="2376" t="s">
        <v>565</v>
      </c>
      <c r="R65" s="840" t="b">
        <f>IF(AND(R66=TRUE,R67=TRUE),TRUE,FALSE)</f>
        <v>0</v>
      </c>
      <c r="S65" s="111"/>
      <c r="T65" s="111"/>
      <c r="U65" s="120"/>
      <c r="V65" s="4565"/>
      <c r="W65" s="4559"/>
      <c r="X65" s="119"/>
      <c r="Y65" s="111"/>
      <c r="Z65" s="120"/>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40"/>
    </row>
    <row r="66" spans="1:84" s="27" customFormat="1" ht="29" x14ac:dyDescent="0.3">
      <c r="A66" s="37"/>
      <c r="B66" s="1852"/>
      <c r="C66" s="1686" t="s">
        <v>423</v>
      </c>
      <c r="D66" s="140" t="s">
        <v>3</v>
      </c>
      <c r="E66" s="41" t="b">
        <f t="shared" ref="E66:E71" si="4">IF(D66="Compliant",TRUE,FALSE)</f>
        <v>0</v>
      </c>
      <c r="F66" s="42"/>
      <c r="G66" s="449" t="str">
        <f t="shared" ref="G66:G71" si="5">IF(I66&lt;&gt;"", "Not Blank", "")</f>
        <v/>
      </c>
      <c r="H66" s="450"/>
      <c r="I66" s="42"/>
      <c r="J66" s="216" t="str">
        <f t="shared" ref="J66:J71" si="6">IF(L66&lt;&gt;"", "Not Blank", "")</f>
        <v/>
      </c>
      <c r="K66" s="216"/>
      <c r="L66" s="42"/>
      <c r="M66" s="136"/>
      <c r="N66" s="4485"/>
      <c r="O66" s="4561"/>
      <c r="P66" s="122"/>
      <c r="Q66" s="1826" t="s">
        <v>3</v>
      </c>
      <c r="R66" s="263" t="b">
        <f t="shared" ref="R66:R71" si="7">IF(OR(Q66="Compliant",Q66="FE with work-a-round",Q66="Functionally Equivalent"),TRUE,FALSE)</f>
        <v>0</v>
      </c>
      <c r="S66" s="44"/>
      <c r="T66" s="44"/>
      <c r="U66" s="122"/>
      <c r="V66" s="4565"/>
      <c r="W66" s="4559"/>
      <c r="X66" s="121"/>
      <c r="Y66" s="44"/>
      <c r="Z66" s="122"/>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40"/>
    </row>
    <row r="67" spans="1:84" s="27" customFormat="1" ht="29.5" thickBot="1" x14ac:dyDescent="0.35">
      <c r="A67" s="37"/>
      <c r="B67" s="1852"/>
      <c r="C67" s="1687" t="s">
        <v>668</v>
      </c>
      <c r="D67" s="641" t="s">
        <v>3</v>
      </c>
      <c r="E67" s="161" t="b">
        <f t="shared" si="4"/>
        <v>0</v>
      </c>
      <c r="F67" s="124"/>
      <c r="G67" s="451" t="str">
        <f>IF(I67&lt;&gt;"", "Not Blank", "")</f>
        <v/>
      </c>
      <c r="H67" s="404"/>
      <c r="I67" s="124"/>
      <c r="J67" s="218" t="str">
        <f t="shared" si="6"/>
        <v/>
      </c>
      <c r="K67" s="218"/>
      <c r="L67" s="124"/>
      <c r="M67" s="135"/>
      <c r="N67" s="4485"/>
      <c r="O67" s="4561"/>
      <c r="P67" s="122"/>
      <c r="Q67" s="691" t="s">
        <v>3</v>
      </c>
      <c r="R67" s="694" t="b">
        <f t="shared" si="7"/>
        <v>0</v>
      </c>
      <c r="S67" s="124"/>
      <c r="T67" s="124"/>
      <c r="U67" s="125"/>
      <c r="V67" s="4565"/>
      <c r="W67" s="4559"/>
      <c r="X67" s="123"/>
      <c r="Y67" s="124"/>
      <c r="Z67" s="125"/>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40"/>
    </row>
    <row r="68" spans="1:84" s="27" customFormat="1" ht="44" thickTop="1" x14ac:dyDescent="0.3">
      <c r="A68" s="37"/>
      <c r="B68" s="1852"/>
      <c r="C68" s="1702" t="s">
        <v>669</v>
      </c>
      <c r="D68" s="140" t="s">
        <v>3</v>
      </c>
      <c r="E68" s="41" t="b">
        <f t="shared" si="4"/>
        <v>0</v>
      </c>
      <c r="F68" s="42"/>
      <c r="G68" s="449" t="str">
        <f>IF(I67&lt;&gt;"", "Not Blank", "")</f>
        <v/>
      </c>
      <c r="H68" s="450"/>
      <c r="I68" s="42"/>
      <c r="J68" s="391" t="str">
        <f t="shared" si="6"/>
        <v/>
      </c>
      <c r="K68" s="391"/>
      <c r="L68" s="42"/>
      <c r="M68" s="136"/>
      <c r="N68" s="4485"/>
      <c r="O68" s="4561"/>
      <c r="P68" s="122"/>
      <c r="Q68" s="863" t="s">
        <v>3</v>
      </c>
      <c r="R68" s="933" t="b">
        <f t="shared" si="7"/>
        <v>0</v>
      </c>
      <c r="S68" s="42"/>
      <c r="T68" s="42"/>
      <c r="U68" s="128"/>
      <c r="V68" s="4565"/>
      <c r="W68" s="4559"/>
      <c r="X68" s="834"/>
      <c r="Y68" s="42"/>
      <c r="Z68" s="1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84" s="27" customFormat="1" ht="43.5" x14ac:dyDescent="0.3">
      <c r="A69" s="37"/>
      <c r="B69" s="1852"/>
      <c r="C69" s="1686" t="s">
        <v>426</v>
      </c>
      <c r="D69" s="141" t="s">
        <v>3</v>
      </c>
      <c r="E69" s="67" t="b">
        <f t="shared" si="4"/>
        <v>0</v>
      </c>
      <c r="F69" s="44"/>
      <c r="G69" s="381" t="str">
        <f t="shared" si="5"/>
        <v/>
      </c>
      <c r="H69" s="380"/>
      <c r="I69" s="44"/>
      <c r="J69" s="216" t="str">
        <f t="shared" si="6"/>
        <v/>
      </c>
      <c r="K69" s="216"/>
      <c r="L69" s="44"/>
      <c r="M69" s="136"/>
      <c r="N69" s="4485"/>
      <c r="O69" s="4561"/>
      <c r="P69" s="122"/>
      <c r="Q69" s="690" t="s">
        <v>3</v>
      </c>
      <c r="R69" s="263" t="b">
        <f t="shared" si="7"/>
        <v>0</v>
      </c>
      <c r="S69" s="44"/>
      <c r="T69" s="44"/>
      <c r="U69" s="122"/>
      <c r="V69" s="4565"/>
      <c r="W69" s="4559"/>
      <c r="X69" s="121"/>
      <c r="Y69" s="44"/>
      <c r="Z69" s="122"/>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84" s="27" customFormat="1" ht="29" x14ac:dyDescent="0.3">
      <c r="A70" s="37"/>
      <c r="B70" s="1852"/>
      <c r="C70" s="1686" t="s">
        <v>427</v>
      </c>
      <c r="D70" s="141" t="s">
        <v>3</v>
      </c>
      <c r="E70" s="67" t="b">
        <f t="shared" si="4"/>
        <v>0</v>
      </c>
      <c r="F70" s="44"/>
      <c r="G70" s="381" t="str">
        <f t="shared" si="5"/>
        <v/>
      </c>
      <c r="H70" s="380"/>
      <c r="I70" s="44"/>
      <c r="J70" s="216" t="str">
        <f t="shared" si="6"/>
        <v/>
      </c>
      <c r="K70" s="216"/>
      <c r="L70" s="44"/>
      <c r="M70" s="136"/>
      <c r="N70" s="4485"/>
      <c r="O70" s="4561"/>
      <c r="P70" s="122"/>
      <c r="Q70" s="690" t="s">
        <v>3</v>
      </c>
      <c r="R70" s="263" t="b">
        <f t="shared" si="7"/>
        <v>0</v>
      </c>
      <c r="S70" s="44"/>
      <c r="T70" s="44"/>
      <c r="U70" s="122"/>
      <c r="V70" s="4565"/>
      <c r="W70" s="4559"/>
      <c r="X70" s="121"/>
      <c r="Y70" s="44"/>
      <c r="Z70" s="122"/>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40"/>
    </row>
    <row r="71" spans="1:84" s="27" customFormat="1" ht="44" thickBot="1" x14ac:dyDescent="0.35">
      <c r="A71" s="37">
        <v>6.2</v>
      </c>
      <c r="B71" s="1861"/>
      <c r="C71" s="1687" t="s">
        <v>667</v>
      </c>
      <c r="D71" s="641" t="s">
        <v>3</v>
      </c>
      <c r="E71" s="161" t="b">
        <f t="shared" si="4"/>
        <v>0</v>
      </c>
      <c r="F71" s="124"/>
      <c r="G71" s="451" t="str">
        <f t="shared" si="5"/>
        <v/>
      </c>
      <c r="H71" s="404"/>
      <c r="I71" s="124"/>
      <c r="J71" s="218" t="str">
        <f t="shared" si="6"/>
        <v/>
      </c>
      <c r="K71" s="218"/>
      <c r="L71" s="124"/>
      <c r="M71" s="135"/>
      <c r="N71" s="4486"/>
      <c r="O71" s="4562"/>
      <c r="P71" s="125"/>
      <c r="Q71" s="691" t="s">
        <v>3</v>
      </c>
      <c r="R71" s="694" t="b">
        <f t="shared" si="7"/>
        <v>0</v>
      </c>
      <c r="S71" s="124"/>
      <c r="T71" s="124"/>
      <c r="U71" s="125"/>
      <c r="V71" s="4566"/>
      <c r="W71" s="4560"/>
      <c r="X71" s="123"/>
      <c r="Y71" s="124"/>
      <c r="Z71" s="125"/>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40"/>
    </row>
    <row r="72" spans="1:84" s="3794" customFormat="1" ht="15.5" thickTop="1" thickBot="1" x14ac:dyDescent="0.35">
      <c r="A72" s="4064"/>
      <c r="B72" s="3638"/>
      <c r="C72" s="4065"/>
      <c r="D72" s="4047"/>
      <c r="E72" s="3638"/>
      <c r="F72" s="3638"/>
      <c r="G72" s="3638"/>
      <c r="H72" s="3638"/>
      <c r="I72" s="3638"/>
      <c r="J72" s="3638"/>
      <c r="K72" s="3634"/>
      <c r="L72" s="3638"/>
      <c r="M72" s="3638"/>
      <c r="N72" s="3764"/>
      <c r="O72" s="3634"/>
      <c r="P72" s="3634"/>
      <c r="Q72" s="3634"/>
      <c r="R72" s="3634"/>
      <c r="S72" s="3634"/>
      <c r="T72" s="3634"/>
      <c r="U72" s="3634"/>
      <c r="V72" s="3764"/>
      <c r="W72" s="3735"/>
      <c r="X72" s="3729"/>
      <c r="Y72" s="3729"/>
      <c r="Z72" s="3729"/>
      <c r="AA72" s="3634"/>
      <c r="AB72" s="3634"/>
      <c r="AC72" s="3634"/>
      <c r="AD72" s="3634"/>
      <c r="AE72" s="3634"/>
      <c r="AF72" s="3634"/>
      <c r="AG72" s="3634"/>
      <c r="AH72" s="3634"/>
      <c r="AI72" s="3634"/>
      <c r="AJ72" s="3634"/>
      <c r="AK72" s="3634"/>
      <c r="AL72" s="3634"/>
      <c r="AM72" s="3634"/>
      <c r="AN72" s="3634"/>
      <c r="AO72" s="3634"/>
      <c r="AP72" s="3634"/>
      <c r="AQ72" s="3634"/>
      <c r="AR72" s="3634"/>
      <c r="AS72" s="3634"/>
      <c r="AT72" s="3634"/>
      <c r="AU72" s="3634"/>
      <c r="AV72" s="3634"/>
      <c r="AW72" s="3634"/>
      <c r="AX72" s="3634"/>
      <c r="AY72" s="3634"/>
      <c r="AZ72" s="3634"/>
      <c r="BA72" s="3634"/>
      <c r="BB72" s="3634"/>
      <c r="BC72" s="3634"/>
      <c r="BD72" s="3634"/>
      <c r="BE72" s="3634"/>
      <c r="BF72" s="3634"/>
      <c r="BG72" s="3634"/>
      <c r="BH72" s="3634"/>
      <c r="BI72" s="3634"/>
      <c r="BJ72" s="3634"/>
      <c r="BK72" s="3634"/>
      <c r="BL72" s="3634"/>
      <c r="BM72" s="3634"/>
      <c r="BN72" s="3634"/>
      <c r="BO72" s="3634"/>
      <c r="BP72" s="3634"/>
      <c r="BQ72" s="3634"/>
      <c r="BR72" s="3634"/>
      <c r="BS72" s="3634"/>
      <c r="BT72" s="3634"/>
      <c r="BU72" s="3634"/>
      <c r="BV72" s="3634"/>
      <c r="BW72" s="3634"/>
      <c r="BX72" s="3634"/>
      <c r="BY72" s="3634"/>
      <c r="BZ72" s="3634"/>
      <c r="CA72" s="3634"/>
      <c r="CB72" s="3634"/>
      <c r="CC72" s="3634"/>
      <c r="CD72" s="3634"/>
      <c r="CE72" s="3634"/>
      <c r="CF72" s="3785"/>
    </row>
    <row r="73" spans="1:84" s="27" customFormat="1" ht="30" thickTop="1" thickBot="1" x14ac:dyDescent="0.35">
      <c r="A73" s="462">
        <v>7</v>
      </c>
      <c r="B73" s="4066" t="s">
        <v>432</v>
      </c>
      <c r="C73" s="4067" t="s">
        <v>675</v>
      </c>
      <c r="D73" s="1499" t="s">
        <v>1231</v>
      </c>
      <c r="E73" s="1847" t="b">
        <f>IF(AND(E74=TRUE,E78=TRUE,E81=TRUE,E85=TRUE,E88=TRUE,E91=TRUE),TRUE,FALSE)</f>
        <v>0</v>
      </c>
      <c r="F73" s="1848">
        <f>SUM(F74,F78,F81,F85,F88,F91)</f>
        <v>0</v>
      </c>
      <c r="G73" s="1848">
        <f>COUNTIFS(E75:E77,TRUE,G75:G77,"Not Blank")+COUNTIFS(E79:E80,TRUE,G79:G80,"Not Blank")+COUNTIFS(E82:E84,TRUE,G82:G84,"Not Blank")+ COUNTIFS(E86:E87,TRUE,G86:G87,"Not Blank")+COUNTIFS(E92:E99,TRUE,G92:G99,"Not Blank")+COUNTIFS(E89:E90,TRUE,G89:G90,"Not Blank")</f>
        <v>0</v>
      </c>
      <c r="H73" s="1848">
        <f>COUNTIFS(E75:E77,FALSE,G75:G77,"Not Blank")+COUNTIFS(E79:E80,FALSE,G79:G80,"Not Blank")+COUNTIFS(E82:E84,FALSE,G82:G84,"Not Blank")+ COUNTIFS(E86:E87,FALSE,G86:G87,"Not Blank")+COUNTIFS(E89:E90,FALSE,G89:G90,"Not Blank")+COUNTIFS(E92:E99,FALSE,G92:G99,"Not Blank")</f>
        <v>0</v>
      </c>
      <c r="I73" s="1849" t="str">
        <f xml:space="preserve">
IF(F73&gt;20,"Too Many Entries - Check Red Lines",
IF(AND(E73=FALSE,G73=0,H73=0,E73=TRUE),"Nothing Required Below",
IF(G73&lt;F73,"Valid Entry required below - Check Amber Line/s",
IF(AND(E73=FALSE,G73=0,H73=0),"Nothing Entered below Yet",
IF(G73&lt;F73,"Valid Entry required below - Check Amber Line/s",
IF(AND(G73=0,H73&gt;0),"**Non-Valid Entry/ies below - Check Yellow Line/s",
IF(AND(G73&gt;0,H73&gt;0),"**Valid and Non-Valid Entries made below - Check Yellow Line/s",
IF(AND(E73=FALSE,F73&lt;20),"Not all requirements addressed below - Check Pink Line/s",
IF(AND(E73=FALSE,G73&lt;20,G73&gt;0,H73=0),"More entries to come",
IF(AND(E73,TRUE,G73=20,H73=0),"Valid Entries made below"
))))))))))</f>
        <v>Nothing Entered below Yet</v>
      </c>
      <c r="J73" s="1849">
        <f>COUNTIFS(E75:E77,TRUE,J75:J77,"Not Blank")+COUNTIFS(E79:E80,TRUE,J79:J80,"Not Blank")+COUNTIFS(E82:E84,TRUE,J82:J84,"Not Blank")+ COUNTIFS(E86:E87,TRUE,J86:J87,"Not Blank")+COUNTIFS(E92:E99,TRUE,J92:J99,"Not Blank")+COUNTIFS(E89:E90,TRUE,J89:J90,"Not Blank")</f>
        <v>0</v>
      </c>
      <c r="K73" s="1849">
        <f>COUNTIFS(E75:E77,FALSE,J75:J77,"Not Blank")+COUNTIFS(E79:E80,FALSE,J79:J80,"Not Blank")+COUNTIFS(E82:E84,FALSE,J82:J84,"Not Blank")+ COUNTIFS(E86:E87,FALSE,J86:J87,"Not Blank")+COUNTIFS(E89:E90,FALSE,J89:J90,"Not Blank")+COUNTIFS(E92:E99,FALSE,J92:J99,"Not Blank")</f>
        <v>0</v>
      </c>
      <c r="L73" s="1849" t="str">
        <f xml:space="preserve">
IF(J73&gt;20,"Too Many Entries - Check Red Lines",
IF(AND(E73=FALSE,J73=0,K73=0,E73=TRUE),"Nothing Required Below",
IF(J73&lt;F73,"Valid Entry required below - Check Amber Line/s",
IF(AND(E73=FALSE,J73=0,K73=0),"Nothing Entered below Yet",
IF(AND(J73=0,K73&gt;0),"**Non-Valid Entry/ies below - Check Yellow Line/s",
IF(AND(J73&gt;0,K73&gt;0),"**Valid and Non-Valid Entries made below - Check Yellow Line/s",
IF(AND(E73=FALSE,J73&lt;20),"Not all requirements addressed below - Check Pink Line/s",
IF(AND(E73=FALSE,J73&lt;20,J73&gt;0,K73=0),"More entries to come",
IF(AND(E73,TRUE,J73=20,K73=0),"Valid Entries made below"
)))))))))</f>
        <v>Nothing Entered below Yet</v>
      </c>
      <c r="M73" s="279"/>
      <c r="N73" s="1846" t="s">
        <v>565</v>
      </c>
      <c r="O73" s="119" t="b">
        <f>IF(AND(O74=TRUE,O78=TRUE,O81=TRUE,O85=TRUE,O88=TRUE,O91=TRUE),TRUE,FALSE)</f>
        <v>0</v>
      </c>
      <c r="P73" s="337"/>
      <c r="Q73" s="1846" t="s">
        <v>565</v>
      </c>
      <c r="R73" s="735" t="b">
        <f>IF(AND(R74=TRUE,R78=TRUE,R81=TRUE,R85=TRUE,R88=TRUE,R91=TRUE),TRUE,FALSE)</f>
        <v>0</v>
      </c>
      <c r="S73" s="3600"/>
      <c r="T73" s="3600"/>
      <c r="U73" s="3598"/>
      <c r="V73" s="1846" t="s">
        <v>565</v>
      </c>
      <c r="W73" s="1097" t="b">
        <f>IF(AND(W74=TRUE,W78=TRUE,W81=TRUE,W85=TRUE,W88=TRUE,W91=TRUE),TRUE,FALSE)</f>
        <v>0</v>
      </c>
      <c r="X73" s="119"/>
      <c r="Y73" s="111"/>
      <c r="Z73" s="12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29.5" thickTop="1" x14ac:dyDescent="0.3">
      <c r="A74" s="37">
        <v>7.2</v>
      </c>
      <c r="B74" s="1853" t="s">
        <v>1377</v>
      </c>
      <c r="C74" s="2360" t="s">
        <v>671</v>
      </c>
      <c r="D74" s="2359" t="s">
        <v>1354</v>
      </c>
      <c r="E74" s="1850" t="b">
        <f>IF(AND(E75=TRUE,E76=TRUE,E77=TRUE),TRUE,FALSE)</f>
        <v>0</v>
      </c>
      <c r="F74" s="1851">
        <f>COUNTIF(E75:E77,TRUE)</f>
        <v>0</v>
      </c>
      <c r="G74" s="1851">
        <f>COUNTIFS(E75:E77,TRUE,G75:G77,"Not Blank")</f>
        <v>0</v>
      </c>
      <c r="H74" s="1851">
        <f>COUNTIFS(E75:E77,FALSE,G75:G77,"Not Blank")</f>
        <v>0</v>
      </c>
      <c r="I74" s="2365" t="str">
        <f xml:space="preserve">
IF(F74&gt;3,"Too Many Entries - Check Red Lines",
IF(AND(E74=FALSE,G74=0,H74=0,E74=TRUE),"Nothing Required Below",
IF(G74&lt;F74,"Valid Entry required below - Check Amber Line/s",
IF(AND(E74=FALSE,G74=0,H74=0),"Nothing Entered below Yet",
IF(G74&lt;F74,"Valid Entry required below - Check Amber Line/s",
IF(AND(G74=0,H74&gt;0),"**Non-Valid Entry/ies below - Check Yellow Line/s",
IF(AND(G74&gt;0,H74&gt;0),"**Valid and Non-Valid Entries made below - Check Yellow Line/s",
IF(AND(E74=FALSE,F74&lt;3),"Not all requirements addressed below - Check Pink Line/s",
IF(AND(E74=FALSE,G74&lt;3,G74&gt;0,H74=0),"More entries to come",
IF(AND(E74,TRUE,G74=3,H74=0),"Valid Entries made below"
))))))))))</f>
        <v>Nothing Entered below Yet</v>
      </c>
      <c r="J74" s="1838">
        <f>COUNTIFS(E75:E77,TRUE,J75:J77,"Not Blank")</f>
        <v>0</v>
      </c>
      <c r="K74" s="1838">
        <f>COUNTIFS(E75:E77,FALSE,J75:J77,"Not Blank")</f>
        <v>0</v>
      </c>
      <c r="L74" s="2365" t="str">
        <f xml:space="preserve">
IF(J74&gt;3,"Too Many Entries - Check Red Lines",
IF(AND(E74=FALSE,J74=0,K74=0,E74=TRUE),"Nothing Required Below",
IF(J74&lt;F74,"Valid Entry required below - Check Amber Line/s",
IF(AND(E74=FALSE,J74=0,K74=0),"Nothing Entered below Yet",
IF(AND(J74=0,K74&gt;0),"**Non-Valid Entry/ies below - Check Yellow Line/s",
IF(AND(J74&gt;0,K74&gt;0),"**Valid and Non-Valid Entries made below - Check Yellow Line/s",
IF(AND(E74=FALSE,J74&lt;3),"Not all requirements addressed below - Check Pink Line/s",
IF(AND(E74=FALSE,J74&lt;3,J74&gt;0,K74=0),"More entries to come",
IF(AND(E74,TRUE,J74=3,K74=0),"Valid Entries made below"
)))))))))</f>
        <v>Nothing Entered below Yet</v>
      </c>
      <c r="M74" s="2352"/>
      <c r="N74" s="4557" t="s">
        <v>3</v>
      </c>
      <c r="O74" s="4561" t="b">
        <f>IF(OR(N74="Compliant",N74="FE with work-a-round",N74="Functionally Equivalent"),TRUE,FALSE)</f>
        <v>0</v>
      </c>
      <c r="P74" s="2263"/>
      <c r="Q74" s="1846" t="s">
        <v>565</v>
      </c>
      <c r="R74" s="840" t="b">
        <f>IF(AND(R75=TRUE,R76=TRUE,R77=TRUE),TRUE,FALSE)</f>
        <v>0</v>
      </c>
      <c r="S74" s="111"/>
      <c r="T74" s="111"/>
      <c r="U74" s="120"/>
      <c r="V74" s="4484" t="s">
        <v>3</v>
      </c>
      <c r="W74" s="4558" t="b">
        <f>IF(OR(V74="Compliant",V74="FE with work-a-round",V74="Functionally Equivalent",V74="Not Required/Applicable"),TRUE,FALSE)</f>
        <v>0</v>
      </c>
      <c r="X74" s="121"/>
      <c r="Y74" s="44"/>
      <c r="Z74" s="122"/>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27" customFormat="1" ht="29" x14ac:dyDescent="0.3">
      <c r="A75" s="37"/>
      <c r="B75" s="1831"/>
      <c r="C75" s="1866" t="s">
        <v>677</v>
      </c>
      <c r="D75" s="1013" t="s">
        <v>3</v>
      </c>
      <c r="E75" s="294" t="b">
        <f>IF(D75="Compliant",TRUE,FALSE)</f>
        <v>0</v>
      </c>
      <c r="F75" s="281"/>
      <c r="G75" s="430" t="str">
        <f>IF(I75&lt;&gt;"", "Not Blank", "")</f>
        <v/>
      </c>
      <c r="H75" s="442"/>
      <c r="I75" s="301"/>
      <c r="J75" s="479" t="str">
        <f>IF(L75&lt;&gt;"", "Not Blank", "")</f>
        <v/>
      </c>
      <c r="K75" s="479"/>
      <c r="L75" s="301"/>
      <c r="M75" s="298"/>
      <c r="N75" s="4485"/>
      <c r="O75" s="4561"/>
      <c r="P75" s="1081"/>
      <c r="Q75" s="2180" t="s">
        <v>3</v>
      </c>
      <c r="R75" s="263" t="b">
        <f>IF(OR(Q75="Compliant",Q75="FE with work-a-round",Q75="Functionally Equivalent"),TRUE,FALSE)</f>
        <v>0</v>
      </c>
      <c r="S75" s="261"/>
      <c r="T75" s="261"/>
      <c r="U75" s="575"/>
      <c r="V75" s="4485"/>
      <c r="W75" s="4559"/>
      <c r="X75" s="121"/>
      <c r="Y75" s="44"/>
      <c r="Z75" s="122"/>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27" customFormat="1" ht="43.5" x14ac:dyDescent="0.3">
      <c r="A76" s="37"/>
      <c r="B76" s="1831"/>
      <c r="C76" s="1832" t="s">
        <v>678</v>
      </c>
      <c r="D76" s="319" t="s">
        <v>3</v>
      </c>
      <c r="E76" s="294" t="b">
        <f>IF(D76="Compliant",TRUE,FALSE)</f>
        <v>0</v>
      </c>
      <c r="F76" s="281"/>
      <c r="G76" s="430" t="str">
        <f t="shared" ref="G76:G99" si="8">IF(I76&lt;&gt;"", "Not Blank", "")</f>
        <v/>
      </c>
      <c r="H76" s="442"/>
      <c r="I76" s="281"/>
      <c r="J76" s="479" t="str">
        <f>IF(L76&lt;&gt;"", "Not Blank", "")</f>
        <v/>
      </c>
      <c r="K76" s="479"/>
      <c r="L76" s="281"/>
      <c r="M76" s="282"/>
      <c r="N76" s="4485"/>
      <c r="O76" s="4561"/>
      <c r="P76" s="122"/>
      <c r="Q76" s="690" t="s">
        <v>3</v>
      </c>
      <c r="R76" s="263" t="b">
        <f>IF(OR(Q76="Compliant",Q76="FE with work-a-round",Q76="Functionally Equivalent"),TRUE,FALSE)</f>
        <v>0</v>
      </c>
      <c r="S76" s="44"/>
      <c r="T76" s="44"/>
      <c r="U76" s="122"/>
      <c r="V76" s="4485"/>
      <c r="W76" s="4559"/>
      <c r="X76" s="121"/>
      <c r="Y76" s="44"/>
      <c r="Z76" s="122"/>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40"/>
    </row>
    <row r="77" spans="1:84" s="27" customFormat="1" ht="44" thickBot="1" x14ac:dyDescent="0.35">
      <c r="A77" s="37"/>
      <c r="B77" s="1833"/>
      <c r="C77" s="1834" t="s">
        <v>435</v>
      </c>
      <c r="D77" s="230" t="s">
        <v>3</v>
      </c>
      <c r="E77" s="295" t="b">
        <f>IF(D77="Compliant",TRUE,FALSE)</f>
        <v>0</v>
      </c>
      <c r="F77" s="283"/>
      <c r="G77" s="521" t="str">
        <f t="shared" si="8"/>
        <v/>
      </c>
      <c r="H77" s="522"/>
      <c r="I77" s="283"/>
      <c r="J77" s="480" t="str">
        <f>IF(L77&lt;&gt;"", "Not Blank", "")</f>
        <v/>
      </c>
      <c r="K77" s="480"/>
      <c r="L77" s="283"/>
      <c r="M77" s="284"/>
      <c r="N77" s="4551"/>
      <c r="O77" s="4562"/>
      <c r="P77" s="125"/>
      <c r="Q77" s="691" t="s">
        <v>3</v>
      </c>
      <c r="R77" s="694" t="b">
        <f>IF(OR(Q77="Compliant",Q77="FE with work-a-round",Q77="Functionally Equivalent"),TRUE,FALSE)</f>
        <v>0</v>
      </c>
      <c r="S77" s="124"/>
      <c r="T77" s="124"/>
      <c r="U77" s="125"/>
      <c r="V77" s="4486"/>
      <c r="W77" s="4560"/>
      <c r="X77" s="121"/>
      <c r="Y77" s="44"/>
      <c r="Z77" s="122"/>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40"/>
    </row>
    <row r="78" spans="1:84" s="27" customFormat="1" ht="29.5" thickTop="1" x14ac:dyDescent="0.3">
      <c r="A78" s="37">
        <v>7.3</v>
      </c>
      <c r="B78" s="1853" t="s">
        <v>1378</v>
      </c>
      <c r="C78" s="2360" t="s">
        <v>672</v>
      </c>
      <c r="D78" s="2343" t="s">
        <v>1355</v>
      </c>
      <c r="E78" s="1850" t="b">
        <f>IF(AND(E79=TRUE,E80=TRUE),TRUE,FALSE)</f>
        <v>0</v>
      </c>
      <c r="F78" s="1851">
        <f>COUNTIF(E79:E80,TRUE)</f>
        <v>0</v>
      </c>
      <c r="G78" s="1851">
        <f>COUNTIFS(E79:E80,TRUE,G79:G80,"Not Blank")</f>
        <v>0</v>
      </c>
      <c r="H78" s="1851">
        <f>COUNTIFS(E79:E80,FALSE,G79:G80,"Not Blank")</f>
        <v>0</v>
      </c>
      <c r="I78" s="2365" t="str">
        <f xml:space="preserve">
IF(F78&gt;2,"Too Many Entries - Check Red Lines",
IF(AND(E78=FALSE,G78=0,H78=0,E78=TRUE),"Nothing Required Below",
IF(G78&lt;F78,"Valid Entry required below - Check Amber Line/s",
IF(AND(E78=FALSE,G78=0,H78=0),"Nothing Entered below Yet",
IF(G78&lt;F78,"Valid Entry required below - Check Amber Line/s",
IF(AND(G78=0,H78&gt;0),"**Non-Valid Entry/ies below - Check Yellow Line/s",
IF(AND(G78&gt;0,H78&gt;0),"**Valid and Non-Valid Entries made below - Check Yellow Line/s",
IF(AND(E78=FALSE,F78&lt;2),"Not all requirements addressed below - Check Pink Line/s",
IF(AND(E78=FALSE,G78&lt;2,G78&gt;0,H78=0),"More entries to come",
IF(AND(E78,TRUE,G78=2,H78=0),"Valid Entries made below"
))))))))))</f>
        <v>Nothing Entered below Yet</v>
      </c>
      <c r="J78" s="1838">
        <f>COUNTIFS(E79:E80,TRUE,J79:J80,"Not Blank")</f>
        <v>0</v>
      </c>
      <c r="K78" s="1838">
        <f>COUNTIFS(E79:E80,FALSE,J79:J80,"Not Blank")</f>
        <v>0</v>
      </c>
      <c r="L78" s="1865" t="str">
        <f xml:space="preserve">
IF(J78&gt;2,"Too Many Entries - Check Red Lines",
IF(AND(E78=FALSE,J78=0,K78=0,E78=TRUE),"Nothing Required Below",
IF(J78&lt;F78,"Valid Entry required below - Check Amber Line/s",
IF(AND(E78=FALSE,J78=0,K78=0),"Nothing Entered below Yet",
IF(AND(J78=0,K78&gt;0),"**Non-Valid Entry/ies below - Check Yellow Line/s",
IF(AND(J78&gt;0,K78&gt;0),"**Valid and Non-Valid Entries made below - Check Yellow Line/s",
IF(AND(E78=FALSE,J78&lt;2),"Not all requirements addressed below - Check Pink Line/s",
IF(AND(E78=FALSE,J78&lt;2,J78&gt;0,K78=0),"More entries to come",
IF(AND(E78,TRUE,J78=2,K78=0),"Valid Entries made below"
)))))))))</f>
        <v>Nothing Entered below Yet</v>
      </c>
      <c r="M78" s="2352"/>
      <c r="N78" s="4557" t="s">
        <v>3</v>
      </c>
      <c r="O78" s="4548" t="b">
        <f>IF(OR(N78="Compliant",N78="FE with work-a-round",N78="Functionally Equivalent"),TRUE,FALSE)</f>
        <v>0</v>
      </c>
      <c r="P78" s="2176"/>
      <c r="Q78" s="1846" t="s">
        <v>565</v>
      </c>
      <c r="R78" s="840" t="b">
        <f>IF(AND(R79=TRUE,R80=TRUE),TRUE,FALSE)</f>
        <v>0</v>
      </c>
      <c r="S78" s="111"/>
      <c r="T78" s="111"/>
      <c r="U78" s="120"/>
      <c r="V78" s="4484" t="s">
        <v>3</v>
      </c>
      <c r="W78" s="4558" t="b">
        <f>IF(OR(V78="Compliant",V78="FE with work-a-round",V78="Functionally Equivalent",V78="Not Required/Applicable"),TRUE,FALSE)</f>
        <v>0</v>
      </c>
      <c r="X78" s="121"/>
      <c r="Y78" s="44"/>
      <c r="Z78" s="122"/>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40"/>
    </row>
    <row r="79" spans="1:84" s="27" customFormat="1" ht="29" x14ac:dyDescent="0.3">
      <c r="A79" s="37"/>
      <c r="B79" s="1831"/>
      <c r="C79" s="1866" t="s">
        <v>679</v>
      </c>
      <c r="D79" s="1013" t="s">
        <v>3</v>
      </c>
      <c r="E79" s="294" t="b">
        <f>IF(D79="Compliant",TRUE,FALSE)</f>
        <v>0</v>
      </c>
      <c r="F79" s="281"/>
      <c r="G79" s="430" t="str">
        <f t="shared" si="8"/>
        <v/>
      </c>
      <c r="H79" s="442"/>
      <c r="I79" s="301"/>
      <c r="J79" s="479" t="str">
        <f>IF(L79&lt;&gt;"", "Not Blank", "")</f>
        <v/>
      </c>
      <c r="K79" s="479"/>
      <c r="L79" s="2366"/>
      <c r="M79" s="298"/>
      <c r="N79" s="4485"/>
      <c r="O79" s="4549"/>
      <c r="P79" s="1081"/>
      <c r="Q79" s="2180" t="s">
        <v>3</v>
      </c>
      <c r="R79" s="263" t="b">
        <f>IF(OR(Q79="Compliant",Q79="FE with work-a-round",Q79="Functionally Equivalent"),TRUE,FALSE)</f>
        <v>0</v>
      </c>
      <c r="S79" s="261"/>
      <c r="T79" s="261"/>
      <c r="U79" s="575"/>
      <c r="V79" s="4485"/>
      <c r="W79" s="4559"/>
      <c r="X79" s="121"/>
      <c r="Y79" s="44"/>
      <c r="Z79" s="122"/>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40"/>
    </row>
    <row r="80" spans="1:84" s="27" customFormat="1" ht="58.5" thickBot="1" x14ac:dyDescent="0.35">
      <c r="A80" s="37"/>
      <c r="B80" s="1833"/>
      <c r="C80" s="1834" t="s">
        <v>437</v>
      </c>
      <c r="D80" s="230" t="s">
        <v>3</v>
      </c>
      <c r="E80" s="295" t="b">
        <f>IF(D80="Compliant",TRUE,FALSE)</f>
        <v>0</v>
      </c>
      <c r="F80" s="283"/>
      <c r="G80" s="521" t="str">
        <f t="shared" si="8"/>
        <v/>
      </c>
      <c r="H80" s="522"/>
      <c r="I80" s="283"/>
      <c r="J80" s="480" t="str">
        <f>IF(L80&lt;&gt;"", "Not Blank", "")</f>
        <v/>
      </c>
      <c r="K80" s="480"/>
      <c r="L80" s="283"/>
      <c r="M80" s="284"/>
      <c r="N80" s="4551"/>
      <c r="O80" s="4550"/>
      <c r="P80" s="125"/>
      <c r="Q80" s="691" t="s">
        <v>3</v>
      </c>
      <c r="R80" s="694" t="b">
        <f>IF(OR(Q80="Compliant",Q80="FE with work-a-round",Q80="Functionally Equivalent"),TRUE,FALSE)</f>
        <v>0</v>
      </c>
      <c r="S80" s="124"/>
      <c r="T80" s="124"/>
      <c r="U80" s="125"/>
      <c r="V80" s="4486"/>
      <c r="W80" s="4560"/>
      <c r="X80" s="121"/>
      <c r="Y80" s="44"/>
      <c r="Z80" s="122"/>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40"/>
    </row>
    <row r="81" spans="1:84" s="27" customFormat="1" ht="29.5" thickTop="1" x14ac:dyDescent="0.3">
      <c r="A81" s="37">
        <v>7.4</v>
      </c>
      <c r="B81" s="1853" t="s">
        <v>1379</v>
      </c>
      <c r="C81" s="1864" t="s">
        <v>595</v>
      </c>
      <c r="D81" s="1192" t="s">
        <v>1356</v>
      </c>
      <c r="E81" s="1850" t="b">
        <f>IF(AND(E82=TRUE,E83=TRUE,E84=TRUE),TRUE,FALSE)</f>
        <v>0</v>
      </c>
      <c r="F81" s="1851">
        <f>COUNTIF(E82:E84,TRUE)</f>
        <v>0</v>
      </c>
      <c r="G81" s="1851">
        <f>COUNTIFS(E82:E84,TRUE,G82:G84,"Not Blank")</f>
        <v>0</v>
      </c>
      <c r="H81" s="1851">
        <f>COUNTIFS(E82:E84,FALSE,G82:G84,"Not Blank")</f>
        <v>0</v>
      </c>
      <c r="I81" s="1865" t="str">
        <f xml:space="preserve">
IF(F81&gt;3,"Too Many Entries - Check Red Lines",
IF(AND(E81=FALSE,G81=0,H81=0,E81=TRUE),"Nothing Required Below",
IF(G81&lt;F81,"Valid Entry required below - Check Amber Line/s",
IF(AND(E81=FALSE,G81=0,H81=0),"Nothing Entered below Yet",
IF(G81&lt;F81,"Valid Entry required below - Check Amber Line/s",
IF(AND(G81=0,H81&gt;0),"**Non-Valid Entry/ies below - Check Yellow Line/s",
IF(AND(G81&gt;0,H81&gt;0),"**Valid and Non-Valid Entries made below - Check Yellow Line/s",
IF(AND(E81=FALSE,F81&lt;3),"Not all requirements addressed below - Check Pink Line/s",
IF(AND(E81=FALSE,G81&lt;3,G81&gt;0,H81=0),"More entries to come",
IF(AND(E81,TRUE,G81=3,H81=0),"Valid Entries made below"
))))))))))</f>
        <v>Nothing Entered below Yet</v>
      </c>
      <c r="J81" s="1838">
        <f>COUNTIFS(E82:E84,TRUE,J82:J84,"Not Blank")</f>
        <v>0</v>
      </c>
      <c r="K81" s="1838">
        <f>COUNTIFS(E82:E84,FALSE,J82:J84,"Not Blank")</f>
        <v>0</v>
      </c>
      <c r="L81" s="2365" t="str">
        <f xml:space="preserve">
IF(J81&gt;3,"Too Many Entries - Check Red Lines",
IF(AND(E81=FALSE,J81=0,K81=0,E81=TRUE),"Nothing Required Below",
IF(J81&lt;F81,"Valid Entry required below - Check Amber Line/s",
IF(AND(E81=FALSE,J81=0,K81=0),"Nothing Entered below Yet",
IF(AND(J81=0,K81&gt;0),"**Non-Valid Entry/ies below - Check Yellow Line/s",
IF(AND(J81&gt;0,K81&gt;0),"**Valid and Non-Valid Entries made below - Check Yellow Line/s",
IF(AND(E81=FALSE,J81&lt;3),"Not all requirements addressed below - Check Pink Line/s",
IF(AND(E81=FALSE,J81&lt;3,J81&gt;0,K81=0),"More entries to come",
IF(AND(E81,TRUE,J81=3,K81=0),"Valid Entries made below"
)))))))))</f>
        <v>Nothing Entered below Yet</v>
      </c>
      <c r="M81" s="2352"/>
      <c r="N81" s="4557" t="s">
        <v>3</v>
      </c>
      <c r="O81" s="4548" t="b">
        <f>IF(OR(N81="Compliant",N81="FE with work-a-round",N81="Functionally Equivalent"),TRUE,FALSE)</f>
        <v>0</v>
      </c>
      <c r="P81" s="2176"/>
      <c r="Q81" s="2376" t="s">
        <v>565</v>
      </c>
      <c r="R81" s="840" t="b">
        <f>IF(AND(R82=TRUE,R83=TRUE,R84=TRUE),TRUE,FALSE)</f>
        <v>0</v>
      </c>
      <c r="S81" s="111"/>
      <c r="T81" s="111"/>
      <c r="U81" s="120"/>
      <c r="V81" s="4484" t="s">
        <v>3</v>
      </c>
      <c r="W81" s="4558" t="b">
        <f>IF(OR(V81="Compliant",V81="FE with work-a-round",V81="Functionally Equivalent",V81="Not Required/Applicable"),TRUE,FALSE)</f>
        <v>0</v>
      </c>
      <c r="X81" s="121"/>
      <c r="Y81" s="44"/>
      <c r="Z81" s="122"/>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40"/>
    </row>
    <row r="82" spans="1:84" s="27" customFormat="1" ht="29" x14ac:dyDescent="0.3">
      <c r="A82" s="37"/>
      <c r="B82" s="1831"/>
      <c r="C82" s="2377" t="s">
        <v>673</v>
      </c>
      <c r="D82" s="2168" t="s">
        <v>3</v>
      </c>
      <c r="E82" s="294" t="b">
        <f>IF(D82="Compliant",TRUE,FALSE)</f>
        <v>0</v>
      </c>
      <c r="F82" s="281"/>
      <c r="G82" s="430" t="str">
        <f t="shared" si="8"/>
        <v/>
      </c>
      <c r="H82" s="442"/>
      <c r="I82" s="2366"/>
      <c r="J82" s="479" t="str">
        <f>IF(L82&lt;&gt;"", "Not Blank", "")</f>
        <v/>
      </c>
      <c r="K82" s="479"/>
      <c r="L82" s="301"/>
      <c r="M82" s="298"/>
      <c r="N82" s="4485"/>
      <c r="O82" s="4549"/>
      <c r="P82" s="1081"/>
      <c r="Q82" s="1826" t="s">
        <v>3</v>
      </c>
      <c r="R82" s="263" t="b">
        <f>IF(OR(Q82="Compliant",Q82="FE with work-a-round",Q82="Functionally Equivalent"),TRUE,FALSE)</f>
        <v>0</v>
      </c>
      <c r="S82" s="261"/>
      <c r="T82" s="261"/>
      <c r="U82" s="575"/>
      <c r="V82" s="4485"/>
      <c r="W82" s="4559"/>
      <c r="X82" s="121"/>
      <c r="Y82" s="44"/>
      <c r="Z82" s="122"/>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40"/>
    </row>
    <row r="83" spans="1:84" s="27" customFormat="1" ht="29" x14ac:dyDescent="0.3">
      <c r="A83" s="37"/>
      <c r="B83" s="1831"/>
      <c r="C83" s="1832" t="s">
        <v>438</v>
      </c>
      <c r="D83" s="319" t="s">
        <v>3</v>
      </c>
      <c r="E83" s="294" t="b">
        <f>IF(D83="Compliant",TRUE,FALSE)</f>
        <v>0</v>
      </c>
      <c r="F83" s="281"/>
      <c r="G83" s="430" t="str">
        <f t="shared" si="8"/>
        <v/>
      </c>
      <c r="H83" s="442"/>
      <c r="I83" s="281"/>
      <c r="J83" s="479" t="str">
        <f>IF(L83&lt;&gt;"", "Not Blank", "")</f>
        <v/>
      </c>
      <c r="K83" s="479"/>
      <c r="L83" s="281"/>
      <c r="M83" s="282"/>
      <c r="N83" s="4485"/>
      <c r="O83" s="4549"/>
      <c r="P83" s="122"/>
      <c r="Q83" s="690" t="s">
        <v>3</v>
      </c>
      <c r="R83" s="263" t="b">
        <f>IF(OR(Q83="Compliant",Q83="FE with work-a-round",Q83="Functionally Equivalent"),TRUE,FALSE)</f>
        <v>0</v>
      </c>
      <c r="S83" s="44"/>
      <c r="T83" s="44"/>
      <c r="U83" s="122"/>
      <c r="V83" s="4485"/>
      <c r="W83" s="4559"/>
      <c r="X83" s="121"/>
      <c r="Y83" s="44"/>
      <c r="Z83" s="122"/>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40"/>
    </row>
    <row r="84" spans="1:84" s="27" customFormat="1" ht="29.5" thickBot="1" x14ac:dyDescent="0.35">
      <c r="A84" s="37"/>
      <c r="B84" s="1833"/>
      <c r="C84" s="1834" t="s">
        <v>439</v>
      </c>
      <c r="D84" s="230" t="s">
        <v>3</v>
      </c>
      <c r="E84" s="295" t="b">
        <f>IF(D84="Compliant",TRUE,FALSE)</f>
        <v>0</v>
      </c>
      <c r="F84" s="283"/>
      <c r="G84" s="521" t="str">
        <f>IF(I84&lt;&gt;"", "Not Blank", "")</f>
        <v/>
      </c>
      <c r="H84" s="522"/>
      <c r="I84" s="283"/>
      <c r="J84" s="480" t="str">
        <f>IF(L84&lt;&gt;"", "Not Blank", "")</f>
        <v/>
      </c>
      <c r="K84" s="480"/>
      <c r="L84" s="283"/>
      <c r="M84" s="284"/>
      <c r="N84" s="4551"/>
      <c r="O84" s="4550"/>
      <c r="P84" s="125"/>
      <c r="Q84" s="691" t="s">
        <v>3</v>
      </c>
      <c r="R84" s="694" t="b">
        <f>IF(OR(Q84="Compliant",Q84="FE with work-a-round",Q84="Functionally Equivalent"),TRUE,FALSE)</f>
        <v>0</v>
      </c>
      <c r="S84" s="124"/>
      <c r="T84" s="124"/>
      <c r="U84" s="125"/>
      <c r="V84" s="4486"/>
      <c r="W84" s="4560"/>
      <c r="X84" s="121"/>
      <c r="Y84" s="44"/>
      <c r="Z84" s="122"/>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40"/>
    </row>
    <row r="85" spans="1:84" s="27" customFormat="1" ht="29.5" thickTop="1" x14ac:dyDescent="0.3">
      <c r="A85" s="37">
        <v>7.5</v>
      </c>
      <c r="B85" s="1853" t="s">
        <v>1380</v>
      </c>
      <c r="C85" s="1864" t="s">
        <v>674</v>
      </c>
      <c r="D85" s="2343" t="s">
        <v>1353</v>
      </c>
      <c r="E85" s="1850" t="b">
        <f>IF(AND(E86=TRUE,E87=TRUE),TRUE,FALSE)</f>
        <v>0</v>
      </c>
      <c r="F85" s="1851">
        <f>COUNTIF(E86:E87,TRUE)</f>
        <v>0</v>
      </c>
      <c r="G85" s="1851">
        <f>COUNTIFS(E86:E87,TRUE,G86:G87,"Not Blank")</f>
        <v>0</v>
      </c>
      <c r="H85" s="1851">
        <f>COUNTIFS(E86:E87,FALSE,G86:G87,"Not Blank")</f>
        <v>0</v>
      </c>
      <c r="I85" s="2365" t="str">
        <f xml:space="preserve">
IF(F85&gt;2,"Too Many Entries - Check Red Lines",
IF(AND(E85=FALSE,G85=0,H85=0,E85=TRUE),"Nothing Required Below",
IF(G85&lt;F85,"Valid Entry required below - Check Amber Line/s",
IF(AND(E85=FALSE,G85=0,H85=0),"Nothing Entered below Yet",
IF(G85&lt;F85,"Valid Entry required below - Check Amber Line/s",
IF(AND(G85=0,H85&gt;0),"**Non-Valid Entry/ies below - Check Yellow Line/s",
IF(AND(G85&gt;0,H85&gt;0),"**Valid and Non-Valid Entries made below - Check Yellow Line/s",
IF(AND(E85=FALSE,F85&lt;2),"Not all requirements addressed below - Check Pink Line/s",
IF(AND(E85=FALSE,G85&lt;2,G85&gt;0,H85=0),"More entries to come",
IF(AND(E85,TRUE,G85=2,H85=0),"Valid Entries made below"
))))))))))</f>
        <v>Nothing Entered below Yet</v>
      </c>
      <c r="J85" s="1838">
        <f>COUNTIFS(E86:E87,TRUE,J86:J87,"Not Blank")</f>
        <v>0</v>
      </c>
      <c r="K85" s="1838">
        <f>COUNTIFS(E86:E87,FALSE,J86:J87,"Not Blank")</f>
        <v>0</v>
      </c>
      <c r="L85" s="2365" t="str">
        <f xml:space="preserve">
IF(J85&gt;2,"Too Many Entries - Check Red Lines",
IF(AND(E85=FALSE,J85=0,K85=0,E85=TRUE),"Nothing Required Below",
IF(J85&lt;F85,"Valid Entry required below - Check Amber Line/s",
IF(AND(E85=FALSE,J85=0,K85=0),"Nothing Entered below Yet",
IF(AND(J85=0,K85&gt;0),"**Non-Valid Entry/ies below - Check Yellow Line/s",
IF(AND(J85&gt;0,K85&gt;0),"**Valid and Non-Valid Entries made below - Check Yellow Line/s",
IF(AND(E85=FALSE,J85&lt;2),"Not all requirements addressed below - Check Pink Line/s",
IF(AND(E85=FALSE,J85&lt;2,J85&gt;0,K85=0),"More entries to come",
IF(AND(E85,TRUE,J85=2,K85=0),"Valid Entries made below"
)))))))))</f>
        <v>Nothing Entered below Yet</v>
      </c>
      <c r="M85" s="2352"/>
      <c r="N85" s="4557" t="s">
        <v>3</v>
      </c>
      <c r="O85" s="4548" t="b">
        <f>IF(OR(N85="Compliant",N85="FE with work-a-round",N85="Functionally Equivalent"),TRUE,FALSE)</f>
        <v>0</v>
      </c>
      <c r="P85" s="2176"/>
      <c r="Q85" s="2376" t="s">
        <v>565</v>
      </c>
      <c r="R85" s="840" t="b">
        <f>IF(AND(R86=TRUE,R87=TRUE),TRUE,FALSE)</f>
        <v>0</v>
      </c>
      <c r="S85" s="111"/>
      <c r="T85" s="111"/>
      <c r="U85" s="120"/>
      <c r="V85" s="4484" t="s">
        <v>3</v>
      </c>
      <c r="W85" s="4558" t="b">
        <f>IF(OR(V85="Compliant",V85="FE with work-a-round",V85="Functionally Equivalent",V85="Not Required/Applicable"),TRUE,FALSE)</f>
        <v>0</v>
      </c>
      <c r="X85" s="121"/>
      <c r="Y85" s="44"/>
      <c r="Z85" s="122"/>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40"/>
    </row>
    <row r="86" spans="1:84" s="27" customFormat="1" ht="116" x14ac:dyDescent="0.3">
      <c r="A86" s="37"/>
      <c r="B86" s="1831"/>
      <c r="C86" s="2377" t="s">
        <v>440</v>
      </c>
      <c r="D86" s="1013" t="s">
        <v>3</v>
      </c>
      <c r="E86" s="294" t="b">
        <f>IF(D86="Compliant",TRUE,FALSE)</f>
        <v>0</v>
      </c>
      <c r="F86" s="281"/>
      <c r="G86" s="430" t="str">
        <f t="shared" si="8"/>
        <v/>
      </c>
      <c r="H86" s="442"/>
      <c r="I86" s="301"/>
      <c r="J86" s="479" t="str">
        <f t="shared" ref="J86:J97" si="9">IF(L86&lt;&gt;"", "Not Blank", "")</f>
        <v/>
      </c>
      <c r="K86" s="479"/>
      <c r="L86" s="301"/>
      <c r="M86" s="298"/>
      <c r="N86" s="4485"/>
      <c r="O86" s="4549"/>
      <c r="P86" s="1081"/>
      <c r="Q86" s="1826" t="s">
        <v>3</v>
      </c>
      <c r="R86" s="263" t="b">
        <f>IF(OR(Q86="Compliant",Q86="FE with work-a-round",Q86="Functionally Equivalent"),TRUE,FALSE)</f>
        <v>0</v>
      </c>
      <c r="S86" s="261"/>
      <c r="T86" s="261"/>
      <c r="U86" s="575"/>
      <c r="V86" s="4485"/>
      <c r="W86" s="4559"/>
      <c r="X86" s="121"/>
      <c r="Y86" s="44"/>
      <c r="Z86" s="122"/>
      <c r="AA86" s="28"/>
      <c r="AB86" s="28"/>
      <c r="AC86" s="28"/>
      <c r="AD86" s="28"/>
      <c r="AE86" s="28"/>
      <c r="AF86" s="28"/>
      <c r="AG86" s="28"/>
      <c r="AH86" s="28"/>
      <c r="AI86" s="28"/>
      <c r="AJ86" s="28"/>
      <c r="AK86" s="28"/>
      <c r="AL86" s="28"/>
      <c r="AM86" s="28"/>
      <c r="AN86" s="28"/>
      <c r="AO86" s="28"/>
      <c r="AP86" s="28"/>
      <c r="AQ86" s="28"/>
      <c r="AR86" s="28"/>
      <c r="AS86" s="41"/>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3"/>
    </row>
    <row r="87" spans="1:84" s="27" customFormat="1" ht="31.5" customHeight="1" thickBot="1" x14ac:dyDescent="0.35">
      <c r="A87" s="37"/>
      <c r="B87" s="1833"/>
      <c r="C87" s="1834" t="s">
        <v>975</v>
      </c>
      <c r="D87" s="230" t="s">
        <v>3</v>
      </c>
      <c r="E87" s="295" t="b">
        <f>IF(D87="Compliant",TRUE,FALSE)</f>
        <v>0</v>
      </c>
      <c r="F87" s="283"/>
      <c r="G87" s="521" t="str">
        <f t="shared" si="8"/>
        <v/>
      </c>
      <c r="H87" s="522"/>
      <c r="I87" s="283"/>
      <c r="J87" s="480" t="str">
        <f t="shared" si="9"/>
        <v/>
      </c>
      <c r="K87" s="480"/>
      <c r="L87" s="283"/>
      <c r="M87" s="284"/>
      <c r="N87" s="4551"/>
      <c r="O87" s="4550"/>
      <c r="P87" s="125"/>
      <c r="Q87" s="691" t="s">
        <v>3</v>
      </c>
      <c r="R87" s="694" t="b">
        <f>IF(OR(Q87="Compliant",Q87="FE with work-a-round",Q87="Functionally Equivalent"),TRUE,FALSE)</f>
        <v>0</v>
      </c>
      <c r="S87" s="124"/>
      <c r="T87" s="124"/>
      <c r="U87" s="125"/>
      <c r="V87" s="4486"/>
      <c r="W87" s="4560"/>
      <c r="X87" s="121"/>
      <c r="Y87" s="44"/>
      <c r="Z87" s="122"/>
      <c r="AA87" s="28"/>
      <c r="AB87" s="28"/>
      <c r="AC87" s="28"/>
      <c r="AD87" s="28"/>
      <c r="AE87" s="28"/>
      <c r="AF87" s="28"/>
      <c r="AG87" s="28"/>
      <c r="AH87" s="28"/>
      <c r="AI87" s="28"/>
      <c r="AJ87" s="28"/>
      <c r="AK87" s="28"/>
      <c r="AL87" s="28"/>
      <c r="AM87" s="28"/>
      <c r="AN87" s="28"/>
      <c r="AO87" s="28"/>
      <c r="AP87" s="28"/>
      <c r="AQ87" s="28"/>
      <c r="AR87" s="28"/>
      <c r="AS87" s="67"/>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5"/>
    </row>
    <row r="88" spans="1:84" s="27" customFormat="1" ht="44" thickTop="1" x14ac:dyDescent="0.3">
      <c r="A88" s="37">
        <v>7.1</v>
      </c>
      <c r="B88" s="1853" t="s">
        <v>1381</v>
      </c>
      <c r="C88" s="2360" t="s">
        <v>537</v>
      </c>
      <c r="D88" s="2343" t="s">
        <v>1357</v>
      </c>
      <c r="E88" s="1850" t="b">
        <f>IF(AND(E89=TRUE,E90=TRUE),TRUE,FALSE)</f>
        <v>0</v>
      </c>
      <c r="F88" s="1851">
        <f>COUNTIF(E89:E90,TRUE)</f>
        <v>0</v>
      </c>
      <c r="G88" s="1851">
        <f>COUNTIFS(E89:E90,TRUE,G89:G90,"Not Blank")</f>
        <v>0</v>
      </c>
      <c r="H88" s="1851">
        <f>COUNTIFS(E89:E90,FALSE,G89:G90,"Not Blank")</f>
        <v>0</v>
      </c>
      <c r="I88" s="2365" t="str">
        <f xml:space="preserve">
IF(F88&gt;2,"Too Many Entries - Check Red Lines",
IF(AND(E88=FALSE,G88=0,H88=0,E88=TRUE),"Nothing Required Below",
IF(G88&lt;F88,"Valid Entry required below - Check Amber Line/s",
IF(AND(E88=FALSE,G88=0,H88=0),"Nothing Entered below Yet",
IF(G88&lt;F88,"Valid Entry required below - Check Amber Line/s",
IF(AND(G88=0,H88&gt;0),"**Non-Valid Entry/ies below - Check Yellow Line/s",
IF(AND(G88&gt;0,H88&gt;0),"**Valid and Non-Valid Entries made below - Check Yellow Line/s",
IF(AND(E88=FALSE,F88&lt;2),"Not all requirements addressed below - Check Pink Line/s",
IF(AND(E88=FALSE,G88&lt;2,G88&gt;0,H88=0),"More entries to come",
IF(AND(E88,TRUE,G88=2,H88=0),"Valid Entries made below"
))))))))))</f>
        <v>Nothing Entered below Yet</v>
      </c>
      <c r="J88" s="2365">
        <f>COUNTIFS(E89:E90,TRUE,J89:J90,"Not Blank")</f>
        <v>0</v>
      </c>
      <c r="K88" s="2365">
        <f>COUNTIFS(E89:E90,FALSE,J89:J90,"Not Blank")</f>
        <v>0</v>
      </c>
      <c r="L88" s="2365" t="str">
        <f xml:space="preserve">
IF(J88&gt;2,"Too Many Entries - Check Red Lines",
IF(AND(E88=FALSE,J88=0,K88=0,E88=TRUE),"Nothing Required Below",
IF(J88&lt;F88,"Valid Entry required below - Check Amber Line/s",
IF(AND(E88=FALSE,J88=0,K88=0),"Nothing Entered below Yet",
IF(AND(J88=0,K88&gt;0),"**Non-Valid Entry/ies below - Check Yellow Line/s",
IF(AND(J88&gt;0,K88&gt;0),"**Valid and Non-Valid Entries made below - Check Yellow Line/s",
IF(AND(E88=FALSE,J88&lt;2),"Not all requirements addressed below - Check Pink Line/s",
IF(AND(E88=FALSE,J88&lt;2,J88&gt;0,K88=0),"More entries to come",
IF(AND(E88,TRUE,J88=2,K88=0),"Valid Entries made below"
)))))))))</f>
        <v>Nothing Entered below Yet</v>
      </c>
      <c r="M88" s="2352"/>
      <c r="N88" s="4557" t="s">
        <v>3</v>
      </c>
      <c r="O88" s="4548" t="b">
        <f>IF(OR(N88="Compliant",N88="FE with work-a-round",N88="Functionally Equivalent"),TRUE,FALSE)</f>
        <v>0</v>
      </c>
      <c r="P88" s="2176"/>
      <c r="Q88" s="2376" t="s">
        <v>565</v>
      </c>
      <c r="R88" s="840" t="b">
        <f>IF(AND(R89=TRUE,R90=TRUE),TRUE,FALSE)</f>
        <v>0</v>
      </c>
      <c r="S88" s="111"/>
      <c r="T88" s="111"/>
      <c r="U88" s="120"/>
      <c r="V88" s="4484" t="s">
        <v>3</v>
      </c>
      <c r="W88" s="4558" t="b">
        <f>IF(OR(V88="Compliant",V88="FE with work-a-round",V88="Functionally Equivalent",V88="Not Required/Applicable"),TRUE,FALSE)</f>
        <v>0</v>
      </c>
      <c r="X88" s="121"/>
      <c r="Y88" s="44"/>
      <c r="Z88" s="122"/>
      <c r="AA88" s="28"/>
      <c r="AB88" s="28"/>
      <c r="AC88" s="28"/>
      <c r="AD88" s="28"/>
      <c r="AE88" s="28"/>
      <c r="AF88" s="28"/>
      <c r="AG88" s="28"/>
      <c r="AH88" s="28"/>
      <c r="AI88" s="28"/>
      <c r="AJ88" s="28"/>
      <c r="AK88" s="28"/>
      <c r="AL88" s="28"/>
      <c r="AM88" s="28"/>
      <c r="AN88" s="28"/>
      <c r="AO88" s="28"/>
      <c r="AP88" s="28"/>
      <c r="AQ88" s="28"/>
      <c r="AR88" s="28"/>
      <c r="AS88" s="67"/>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5"/>
    </row>
    <row r="89" spans="1:84" s="27" customFormat="1" ht="29" x14ac:dyDescent="0.3">
      <c r="A89" s="37"/>
      <c r="B89" s="1831"/>
      <c r="C89" s="1866" t="s">
        <v>682</v>
      </c>
      <c r="D89" s="1013" t="s">
        <v>3</v>
      </c>
      <c r="E89" s="294" t="b">
        <f>IF(D89="Compliant",TRUE,FALSE)</f>
        <v>0</v>
      </c>
      <c r="F89" s="281"/>
      <c r="G89" s="430" t="str">
        <f>IF(I89&lt;&gt;"", "Not Blank", "")</f>
        <v/>
      </c>
      <c r="H89" s="442"/>
      <c r="I89" s="301"/>
      <c r="J89" s="2378" t="str">
        <f>IF(L89&lt;&gt;"", "Not Blank", "")</f>
        <v/>
      </c>
      <c r="K89" s="2378"/>
      <c r="L89" s="301"/>
      <c r="M89" s="298"/>
      <c r="N89" s="4485"/>
      <c r="O89" s="4549"/>
      <c r="P89" s="1081"/>
      <c r="Q89" s="1826" t="s">
        <v>3</v>
      </c>
      <c r="R89" s="263" t="b">
        <f>IF(OR(Q89="Compliant",Q89="FE with work-a-round",Q89="Functionally Equivalent"),TRUE,FALSE)</f>
        <v>0</v>
      </c>
      <c r="S89" s="261"/>
      <c r="T89" s="261"/>
      <c r="U89" s="575"/>
      <c r="V89" s="4485"/>
      <c r="W89" s="4559"/>
      <c r="X89" s="121"/>
      <c r="Y89" s="44"/>
      <c r="Z89" s="122"/>
      <c r="AA89" s="28"/>
      <c r="AB89" s="28"/>
      <c r="AC89" s="28"/>
      <c r="AD89" s="28"/>
      <c r="AE89" s="28"/>
      <c r="AF89" s="28"/>
      <c r="AG89" s="28"/>
      <c r="AH89" s="28"/>
      <c r="AI89" s="28"/>
      <c r="AJ89" s="28"/>
      <c r="AK89" s="28"/>
      <c r="AL89" s="28"/>
      <c r="AM89" s="28"/>
      <c r="AN89" s="28"/>
      <c r="AO89" s="28"/>
      <c r="AP89" s="28"/>
      <c r="AQ89" s="28"/>
      <c r="AR89" s="28"/>
      <c r="AS89" s="67"/>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5"/>
    </row>
    <row r="90" spans="1:84" s="27" customFormat="1" ht="29.5" thickBot="1" x14ac:dyDescent="0.35">
      <c r="A90" s="37"/>
      <c r="B90" s="1833"/>
      <c r="C90" s="1834" t="s">
        <v>683</v>
      </c>
      <c r="D90" s="230" t="s">
        <v>3</v>
      </c>
      <c r="E90" s="295" t="b">
        <f>IF(D90="Compliant",TRUE,FALSE)</f>
        <v>0</v>
      </c>
      <c r="F90" s="283"/>
      <c r="G90" s="521" t="str">
        <f>IF(I90&lt;&gt;"", "Not Blank", "")</f>
        <v/>
      </c>
      <c r="H90" s="522"/>
      <c r="I90" s="283"/>
      <c r="J90" s="480" t="str">
        <f>IF(L90&lt;&gt;"", "Not Blank", "")</f>
        <v/>
      </c>
      <c r="K90" s="480"/>
      <c r="L90" s="283"/>
      <c r="M90" s="284"/>
      <c r="N90" s="4551"/>
      <c r="O90" s="4550"/>
      <c r="P90" s="125"/>
      <c r="Q90" s="691" t="s">
        <v>3</v>
      </c>
      <c r="R90" s="694" t="b">
        <f>IF(OR(Q90="Compliant",Q90="FE with work-a-round",Q90="Functionally Equivalent"),TRUE,FALSE)</f>
        <v>0</v>
      </c>
      <c r="S90" s="124"/>
      <c r="T90" s="124"/>
      <c r="U90" s="125"/>
      <c r="V90" s="4486"/>
      <c r="W90" s="4560"/>
      <c r="X90" s="121"/>
      <c r="Y90" s="44"/>
      <c r="Z90" s="122"/>
      <c r="AA90" s="28"/>
      <c r="AB90" s="28"/>
      <c r="AC90" s="28"/>
      <c r="AD90" s="28"/>
      <c r="AE90" s="28"/>
      <c r="AF90" s="28"/>
      <c r="AG90" s="28"/>
      <c r="AH90" s="28"/>
      <c r="AI90" s="28"/>
      <c r="AJ90" s="28"/>
      <c r="AK90" s="28"/>
      <c r="AL90" s="28"/>
      <c r="AM90" s="28"/>
      <c r="AN90" s="28"/>
      <c r="AO90" s="28"/>
      <c r="AP90" s="28"/>
      <c r="AQ90" s="28"/>
      <c r="AR90" s="28"/>
      <c r="AS90" s="67"/>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5"/>
    </row>
    <row r="91" spans="1:84" s="27" customFormat="1" ht="31.5" customHeight="1" thickTop="1" x14ac:dyDescent="0.3">
      <c r="A91" s="37"/>
      <c r="B91" s="1853" t="s">
        <v>1157</v>
      </c>
      <c r="C91" s="2379" t="s">
        <v>1157</v>
      </c>
      <c r="D91" s="2343" t="s">
        <v>565</v>
      </c>
      <c r="E91" s="1850" t="b">
        <f>IF(AND(E92=TRUE,E93=TRUE,E94=TRUE,E95=TRUE,E96=TRUE,E97=TRUE,E98=TRUE,E99=TRUE),TRUE,FALSE)</f>
        <v>0</v>
      </c>
      <c r="F91" s="1851">
        <f>COUNTIF(E92:E99,TRUE)</f>
        <v>0</v>
      </c>
      <c r="G91" s="1851">
        <f>COUNTIFS(E92:E99,TRUE,G92:G99,"Not Blank")</f>
        <v>0</v>
      </c>
      <c r="H91" s="1851">
        <f>COUNTIFS(E92:E99,FALSE,G92:G99,"Not Blank")</f>
        <v>0</v>
      </c>
      <c r="I91" s="2365" t="str">
        <f xml:space="preserve">
IF(F91&gt;8,"Too Many Entries - Check Red Lines",
IF(AND(E91=FALSE,G91=0,H91=0,E91=TRUE),"Nothing Required Below",
IF(G91&lt;F91,"Valid Entry required below - Check Amber Line/s",
IF(AND(E91=FALSE,G91=0,H91=0),"Nothing Entered below Yet",
IF(G91&lt;F91,"Valid Entry required below - Check Amber Line/s",
IF(AND(G91=0,H91&gt;0),"**Non-Valid Entry/ies below - Check Yellow Line/s",
IF(AND(G91&gt;0,H91&gt;0),"**Valid and Non-Valid Entries made below - Check Yellow Line/s",
IF(AND(E91=FALSE,F91&lt;8),"Not all requirements addressed below - Check Pink Line/s",
IF(AND(E91=FALSE,G91&lt;8,G91&gt;0,H91=0),"More entries to come",
IF(AND(E91,TRUE,G91=8,H91=0),"Valid Entries made below"
))))))))))</f>
        <v>Nothing Entered below Yet</v>
      </c>
      <c r="J91" s="2365">
        <f>COUNTIFS(E92:E99,TRUE,J92:J99,"Not Blank")</f>
        <v>0</v>
      </c>
      <c r="K91" s="2365">
        <f>COUNTIFS(E92:E99,FALSE,J92:J99,"Not Blank")</f>
        <v>0</v>
      </c>
      <c r="L91" s="2365" t="str">
        <f xml:space="preserve">
IF(J91&gt;8,"Too Many Entries - Check Red Lines",
IF(AND(E91=FALSE,J91=0,K91=0,E91=TRUE),"Nothing Required Below",
IF(J91&lt;F91,"Valid Entry required below - Check Amber Line/s",
IF(AND(E91=FALSE,J91=0,K91=0),"Nothing Entered below Yet",
IF(AND(J91=0,K91&gt;0),"**Non-Valid Entry/ies below - Check Yellow Line/s",
IF(AND(J91&gt;0,K91&gt;0),"**Valid and Non-Valid Entries made below - Check Yellow Line/s",
IF(AND(E91=FALSE,J91&lt;8),"Not all requirements addressed below - Check Pink Line/s",
IF(AND(E91=FALSE,J91&lt;8,J91&gt;0,K91=0),"More entries to come",
IF(AND(E91,TRUE,J91=8,K91=0),"Valid Entries made below"
)))))))))</f>
        <v>Nothing Entered below Yet</v>
      </c>
      <c r="M91" s="2352"/>
      <c r="N91" s="4557" t="s">
        <v>3</v>
      </c>
      <c r="O91" s="4548" t="b">
        <f>IF(OR(N91="Compliant",N91="FE with work-a-round",N91="Functionally Equivalent"),TRUE,FALSE)</f>
        <v>0</v>
      </c>
      <c r="P91" s="2176"/>
      <c r="Q91" s="2376" t="s">
        <v>565</v>
      </c>
      <c r="R91" s="840" t="b">
        <f>IF(AND(R92=TRUE,R93=TRUE,R94=TRUE,R95=TRUE,R96=TRUE,R97=TRUE,R98=TRUE,R99=TRUE),TRUE,FALSE)</f>
        <v>0</v>
      </c>
      <c r="S91" s="111"/>
      <c r="T91" s="111"/>
      <c r="U91" s="120"/>
      <c r="V91" s="4484" t="s">
        <v>3</v>
      </c>
      <c r="W91" s="4558" t="b">
        <f>IF(OR(V91="Compliant",V91="FE with work-a-round",V91="Functionally Equivalent",V91="Not Required/Applicable"),TRUE,FALSE)</f>
        <v>0</v>
      </c>
      <c r="X91" s="121"/>
      <c r="Y91" s="44"/>
      <c r="Z91" s="122"/>
      <c r="AA91" s="28"/>
      <c r="AB91" s="28"/>
      <c r="AC91" s="28"/>
      <c r="AD91" s="28"/>
      <c r="AE91" s="28"/>
      <c r="AF91" s="28"/>
      <c r="AG91" s="28"/>
      <c r="AH91" s="28"/>
      <c r="AI91" s="28"/>
      <c r="AJ91" s="28"/>
      <c r="AK91" s="28"/>
      <c r="AL91" s="28"/>
      <c r="AM91" s="28"/>
      <c r="AN91" s="28"/>
      <c r="AO91" s="28"/>
      <c r="AP91" s="28"/>
      <c r="AQ91" s="28"/>
      <c r="AR91" s="28"/>
      <c r="AS91" s="67"/>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5"/>
    </row>
    <row r="92" spans="1:84" s="27" customFormat="1" ht="31.5" customHeight="1" x14ac:dyDescent="0.3">
      <c r="A92" s="37">
        <v>7.1</v>
      </c>
      <c r="B92" s="1831"/>
      <c r="C92" s="1866" t="s">
        <v>676</v>
      </c>
      <c r="D92" s="1013" t="s">
        <v>3</v>
      </c>
      <c r="E92" s="294" t="b">
        <f t="shared" ref="E92:E99" si="10">IF(D92="Compliant",TRUE,FALSE)</f>
        <v>0</v>
      </c>
      <c r="F92" s="281"/>
      <c r="G92" s="430" t="str">
        <f>IF(I92&lt;&gt;"", "Not Blank", "")</f>
        <v/>
      </c>
      <c r="H92" s="442"/>
      <c r="I92" s="301"/>
      <c r="J92" s="2378" t="str">
        <f>IF(L92&lt;&gt;"", "Not Blank", "")</f>
        <v/>
      </c>
      <c r="K92" s="2378"/>
      <c r="L92" s="301"/>
      <c r="M92" s="298"/>
      <c r="N92" s="4485"/>
      <c r="O92" s="4549"/>
      <c r="P92" s="1081"/>
      <c r="Q92" s="1826" t="s">
        <v>3</v>
      </c>
      <c r="R92" s="263" t="b">
        <f>IF(OR(Q92="Compliant",Q92="FE with work-a-round",Q92="Functionally Equivalent"),TRUE,FALSE)</f>
        <v>0</v>
      </c>
      <c r="S92" s="261"/>
      <c r="T92" s="261"/>
      <c r="U92" s="575"/>
      <c r="V92" s="4485"/>
      <c r="W92" s="4559"/>
      <c r="X92" s="121"/>
      <c r="Y92" s="44"/>
      <c r="Z92" s="122"/>
      <c r="AA92" s="28"/>
      <c r="AB92" s="28"/>
      <c r="AC92" s="28"/>
      <c r="AD92" s="28"/>
      <c r="AE92" s="28"/>
      <c r="AF92" s="28"/>
      <c r="AG92" s="28"/>
      <c r="AH92" s="28"/>
      <c r="AI92" s="28"/>
      <c r="AJ92" s="28"/>
      <c r="AK92" s="28"/>
      <c r="AL92" s="28"/>
      <c r="AM92" s="28"/>
      <c r="AN92" s="28"/>
      <c r="AO92" s="28"/>
      <c r="AP92" s="28"/>
      <c r="AQ92" s="28"/>
      <c r="AR92" s="28"/>
      <c r="AS92" s="67"/>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5"/>
    </row>
    <row r="93" spans="1:84" s="27" customFormat="1" ht="87" x14ac:dyDescent="0.3">
      <c r="A93" s="37">
        <v>7.6</v>
      </c>
      <c r="B93" s="1831"/>
      <c r="C93" s="1832" t="s">
        <v>680</v>
      </c>
      <c r="D93" s="319" t="s">
        <v>3</v>
      </c>
      <c r="E93" s="294" t="b">
        <f t="shared" si="10"/>
        <v>0</v>
      </c>
      <c r="F93" s="281"/>
      <c r="G93" s="430" t="str">
        <f t="shared" si="8"/>
        <v/>
      </c>
      <c r="H93" s="442"/>
      <c r="I93" s="281"/>
      <c r="J93" s="479" t="str">
        <f t="shared" si="9"/>
        <v/>
      </c>
      <c r="K93" s="479"/>
      <c r="L93" s="281"/>
      <c r="M93" s="282"/>
      <c r="N93" s="4485"/>
      <c r="O93" s="4549"/>
      <c r="P93" s="122"/>
      <c r="Q93" s="690" t="s">
        <v>3</v>
      </c>
      <c r="R93" s="263" t="b">
        <f t="shared" ref="R93:R99" si="11">IF(OR(Q93="Compliant",Q93="FE with work-a-round",Q93="Functionally Equivalent"),TRUE,FALSE)</f>
        <v>0</v>
      </c>
      <c r="S93" s="44"/>
      <c r="T93" s="44"/>
      <c r="U93" s="122"/>
      <c r="V93" s="4485"/>
      <c r="W93" s="4559"/>
      <c r="X93" s="121"/>
      <c r="Y93" s="44"/>
      <c r="Z93" s="122"/>
      <c r="AA93" s="28"/>
      <c r="AB93" s="28"/>
      <c r="AC93" s="28"/>
      <c r="AD93" s="28"/>
      <c r="AE93" s="28"/>
      <c r="AF93" s="28"/>
      <c r="AG93" s="28"/>
      <c r="AH93" s="28"/>
      <c r="AI93" s="28"/>
      <c r="AJ93" s="28"/>
      <c r="AK93" s="28"/>
      <c r="AL93" s="28"/>
      <c r="AM93" s="28"/>
      <c r="AN93" s="28"/>
      <c r="AO93" s="28"/>
      <c r="AP93" s="28"/>
      <c r="AQ93" s="28"/>
      <c r="AR93" s="28"/>
      <c r="AS93" s="67"/>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5"/>
    </row>
    <row r="94" spans="1:84" s="27" customFormat="1" ht="43.5" x14ac:dyDescent="0.3">
      <c r="A94" s="37">
        <v>7.7</v>
      </c>
      <c r="B94" s="1831"/>
      <c r="C94" s="1832" t="s">
        <v>681</v>
      </c>
      <c r="D94" s="319" t="s">
        <v>3</v>
      </c>
      <c r="E94" s="294" t="b">
        <f t="shared" si="10"/>
        <v>0</v>
      </c>
      <c r="F94" s="281"/>
      <c r="G94" s="430" t="str">
        <f t="shared" si="8"/>
        <v/>
      </c>
      <c r="H94" s="442"/>
      <c r="I94" s="281"/>
      <c r="J94" s="479" t="str">
        <f t="shared" si="9"/>
        <v/>
      </c>
      <c r="K94" s="479"/>
      <c r="L94" s="281"/>
      <c r="M94" s="282"/>
      <c r="N94" s="4485"/>
      <c r="O94" s="4549"/>
      <c r="P94" s="122"/>
      <c r="Q94" s="690" t="s">
        <v>3</v>
      </c>
      <c r="R94" s="263" t="b">
        <f t="shared" si="11"/>
        <v>0</v>
      </c>
      <c r="S94" s="44"/>
      <c r="T94" s="44"/>
      <c r="U94" s="122"/>
      <c r="V94" s="4485"/>
      <c r="W94" s="4559"/>
      <c r="X94" s="121"/>
      <c r="Y94" s="44"/>
      <c r="Z94" s="122"/>
      <c r="AA94" s="28"/>
      <c r="AB94" s="28"/>
      <c r="AC94" s="28"/>
      <c r="AD94" s="28"/>
      <c r="AE94" s="28"/>
      <c r="AF94" s="28"/>
      <c r="AG94" s="28"/>
      <c r="AH94" s="28"/>
      <c r="AI94" s="28"/>
      <c r="AJ94" s="28"/>
      <c r="AK94" s="28"/>
      <c r="AL94" s="28"/>
      <c r="AM94" s="28"/>
      <c r="AN94" s="28"/>
      <c r="AO94" s="28"/>
      <c r="AP94" s="28"/>
      <c r="AQ94" s="28"/>
      <c r="AR94" s="28"/>
      <c r="AS94" s="67"/>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5"/>
    </row>
    <row r="95" spans="1:84" s="27" customFormat="1" ht="72.5" x14ac:dyDescent="0.3">
      <c r="A95" s="37">
        <v>7.8</v>
      </c>
      <c r="B95" s="1831"/>
      <c r="C95" s="1832" t="s">
        <v>599</v>
      </c>
      <c r="D95" s="319" t="s">
        <v>3</v>
      </c>
      <c r="E95" s="294" t="b">
        <f t="shared" si="10"/>
        <v>0</v>
      </c>
      <c r="F95" s="281"/>
      <c r="G95" s="430" t="str">
        <f t="shared" si="8"/>
        <v/>
      </c>
      <c r="H95" s="442"/>
      <c r="I95" s="281"/>
      <c r="J95" s="479" t="str">
        <f t="shared" si="9"/>
        <v/>
      </c>
      <c r="K95" s="479"/>
      <c r="L95" s="281"/>
      <c r="M95" s="282"/>
      <c r="N95" s="4485"/>
      <c r="O95" s="4549"/>
      <c r="P95" s="122"/>
      <c r="Q95" s="690" t="s">
        <v>3</v>
      </c>
      <c r="R95" s="263" t="b">
        <f t="shared" si="11"/>
        <v>0</v>
      </c>
      <c r="S95" s="44"/>
      <c r="T95" s="44"/>
      <c r="U95" s="122"/>
      <c r="V95" s="4485"/>
      <c r="W95" s="4559"/>
      <c r="X95" s="121"/>
      <c r="Y95" s="44"/>
      <c r="Z95" s="122"/>
      <c r="AA95" s="28"/>
      <c r="AB95" s="28"/>
      <c r="AC95" s="28"/>
      <c r="AD95" s="28"/>
      <c r="AE95" s="28"/>
      <c r="AF95" s="28"/>
      <c r="AG95" s="28"/>
      <c r="AH95" s="28"/>
      <c r="AI95" s="28"/>
      <c r="AJ95" s="28"/>
      <c r="AK95" s="28"/>
      <c r="AL95" s="28"/>
      <c r="AM95" s="28"/>
      <c r="AN95" s="28"/>
      <c r="AO95" s="28"/>
      <c r="AP95" s="28"/>
      <c r="AQ95" s="28"/>
      <c r="AR95" s="28"/>
      <c r="AS95" s="67"/>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5"/>
    </row>
    <row r="96" spans="1:84" s="27" customFormat="1" ht="58" x14ac:dyDescent="0.3">
      <c r="A96" s="37">
        <v>7.9</v>
      </c>
      <c r="B96" s="1831"/>
      <c r="C96" s="1832" t="s">
        <v>600</v>
      </c>
      <c r="D96" s="319" t="s">
        <v>3</v>
      </c>
      <c r="E96" s="294" t="b">
        <f t="shared" si="10"/>
        <v>0</v>
      </c>
      <c r="F96" s="281"/>
      <c r="G96" s="430" t="str">
        <f>IF(I96&lt;&gt;"", "Not Blank", "")</f>
        <v/>
      </c>
      <c r="H96" s="442"/>
      <c r="I96" s="281"/>
      <c r="J96" s="479" t="str">
        <f t="shared" si="9"/>
        <v/>
      </c>
      <c r="K96" s="479"/>
      <c r="L96" s="281"/>
      <c r="M96" s="282"/>
      <c r="N96" s="4485"/>
      <c r="O96" s="4549"/>
      <c r="P96" s="122"/>
      <c r="Q96" s="690" t="s">
        <v>3</v>
      </c>
      <c r="R96" s="263" t="b">
        <f t="shared" si="11"/>
        <v>0</v>
      </c>
      <c r="S96" s="44"/>
      <c r="T96" s="44"/>
      <c r="U96" s="122"/>
      <c r="V96" s="4485"/>
      <c r="W96" s="4559"/>
      <c r="X96" s="121"/>
      <c r="Y96" s="44"/>
      <c r="Z96" s="122"/>
      <c r="AA96" s="28"/>
      <c r="AB96" s="28"/>
      <c r="AC96" s="28"/>
      <c r="AD96" s="28"/>
      <c r="AE96" s="28"/>
      <c r="AF96" s="28"/>
      <c r="AG96" s="28"/>
      <c r="AH96" s="28"/>
      <c r="AI96" s="28"/>
      <c r="AJ96" s="28"/>
      <c r="AK96" s="28"/>
      <c r="AL96" s="28"/>
      <c r="AM96" s="28"/>
      <c r="AN96" s="28"/>
      <c r="AO96" s="28"/>
      <c r="AP96" s="28"/>
      <c r="AQ96" s="28"/>
      <c r="AR96" s="28"/>
      <c r="AS96" s="67"/>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5"/>
    </row>
    <row r="97" spans="1:84" s="27" customFormat="1" ht="43.5" x14ac:dyDescent="0.3">
      <c r="A97" s="37"/>
      <c r="B97" s="1831"/>
      <c r="C97" s="1832" t="s">
        <v>442</v>
      </c>
      <c r="D97" s="319" t="s">
        <v>3</v>
      </c>
      <c r="E97" s="294" t="b">
        <f t="shared" si="10"/>
        <v>0</v>
      </c>
      <c r="F97" s="281"/>
      <c r="G97" s="430" t="str">
        <f>IF(I97&lt;&gt;"", "Not Blank", "")</f>
        <v/>
      </c>
      <c r="H97" s="442"/>
      <c r="I97" s="281"/>
      <c r="J97" s="479" t="str">
        <f t="shared" si="9"/>
        <v/>
      </c>
      <c r="K97" s="479"/>
      <c r="L97" s="281"/>
      <c r="M97" s="282"/>
      <c r="N97" s="4485"/>
      <c r="O97" s="4549"/>
      <c r="P97" s="122"/>
      <c r="Q97" s="690" t="s">
        <v>3</v>
      </c>
      <c r="R97" s="263" t="b">
        <f t="shared" si="11"/>
        <v>0</v>
      </c>
      <c r="S97" s="44"/>
      <c r="T97" s="44"/>
      <c r="U97" s="122"/>
      <c r="V97" s="4485"/>
      <c r="W97" s="4559"/>
      <c r="X97" s="121"/>
      <c r="Y97" s="44"/>
      <c r="Z97" s="122"/>
      <c r="AA97" s="28"/>
      <c r="AB97" s="28"/>
      <c r="AC97" s="28"/>
      <c r="AD97" s="28"/>
      <c r="AE97" s="28"/>
      <c r="AF97" s="28"/>
      <c r="AG97" s="28"/>
      <c r="AH97" s="28"/>
      <c r="AI97" s="28"/>
      <c r="AJ97" s="28"/>
      <c r="AK97" s="28"/>
      <c r="AL97" s="28"/>
      <c r="AM97" s="28"/>
      <c r="AN97" s="28"/>
      <c r="AO97" s="28"/>
      <c r="AP97" s="28"/>
      <c r="AQ97" s="28"/>
      <c r="AR97" s="28"/>
      <c r="AS97" s="67"/>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5"/>
    </row>
    <row r="98" spans="1:84" s="27" customFormat="1" ht="130.5" x14ac:dyDescent="0.3">
      <c r="A98" s="37">
        <v>7.11</v>
      </c>
      <c r="B98" s="1831"/>
      <c r="C98" s="1832" t="s">
        <v>684</v>
      </c>
      <c r="D98" s="319" t="s">
        <v>3</v>
      </c>
      <c r="E98" s="294" t="b">
        <f t="shared" si="10"/>
        <v>0</v>
      </c>
      <c r="F98" s="281"/>
      <c r="G98" s="430" t="str">
        <f>IF(I98&lt;&gt;"", "Not Blank", "")</f>
        <v/>
      </c>
      <c r="H98" s="442"/>
      <c r="I98" s="281"/>
      <c r="J98" s="479" t="str">
        <f>IF(L98&lt;&gt;"", "Not Blank", "")</f>
        <v/>
      </c>
      <c r="K98" s="479"/>
      <c r="L98" s="281"/>
      <c r="M98" s="282"/>
      <c r="N98" s="4485"/>
      <c r="O98" s="4549"/>
      <c r="P98" s="122"/>
      <c r="Q98" s="690" t="s">
        <v>3</v>
      </c>
      <c r="R98" s="263" t="b">
        <f t="shared" si="11"/>
        <v>0</v>
      </c>
      <c r="S98" s="44"/>
      <c r="T98" s="44"/>
      <c r="U98" s="122"/>
      <c r="V98" s="4485"/>
      <c r="W98" s="4559"/>
      <c r="X98" s="121"/>
      <c r="Y98" s="44"/>
      <c r="Z98" s="122"/>
      <c r="AA98" s="28"/>
      <c r="AB98" s="28"/>
      <c r="AC98" s="28"/>
      <c r="AD98" s="28"/>
      <c r="AE98" s="28"/>
      <c r="AF98" s="28"/>
      <c r="AG98" s="28"/>
      <c r="AH98" s="28"/>
      <c r="AI98" s="28"/>
      <c r="AJ98" s="28"/>
      <c r="AK98" s="28"/>
      <c r="AL98" s="28"/>
      <c r="AM98" s="28"/>
      <c r="AN98" s="28"/>
      <c r="AO98" s="28"/>
      <c r="AP98" s="28"/>
      <c r="AQ98" s="28"/>
      <c r="AR98" s="28"/>
      <c r="AS98" s="67"/>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5"/>
    </row>
    <row r="99" spans="1:84" s="27" customFormat="1" ht="102" thickBot="1" x14ac:dyDescent="0.35">
      <c r="A99" s="37">
        <v>7.12</v>
      </c>
      <c r="B99" s="1833"/>
      <c r="C99" s="1834" t="s">
        <v>685</v>
      </c>
      <c r="D99" s="230" t="s">
        <v>3</v>
      </c>
      <c r="E99" s="295" t="b">
        <f t="shared" si="10"/>
        <v>0</v>
      </c>
      <c r="F99" s="283"/>
      <c r="G99" s="521" t="str">
        <f t="shared" si="8"/>
        <v/>
      </c>
      <c r="H99" s="522"/>
      <c r="I99" s="283"/>
      <c r="J99" s="480" t="str">
        <f>IF(L99&lt;&gt;"", "Not Blank", "")</f>
        <v/>
      </c>
      <c r="K99" s="480"/>
      <c r="L99" s="283"/>
      <c r="M99" s="284"/>
      <c r="N99" s="4486"/>
      <c r="O99" s="4550"/>
      <c r="P99" s="125"/>
      <c r="Q99" s="691" t="s">
        <v>3</v>
      </c>
      <c r="R99" s="694" t="b">
        <f t="shared" si="11"/>
        <v>0</v>
      </c>
      <c r="S99" s="124"/>
      <c r="T99" s="124"/>
      <c r="U99" s="125"/>
      <c r="V99" s="4486"/>
      <c r="W99" s="4560"/>
      <c r="X99" s="123"/>
      <c r="Y99" s="124"/>
      <c r="Z99" s="125"/>
      <c r="AA99" s="28"/>
      <c r="AB99" s="28"/>
      <c r="AC99" s="28"/>
      <c r="AD99" s="28"/>
      <c r="AE99" s="28"/>
      <c r="AF99" s="28"/>
      <c r="AG99" s="28"/>
      <c r="AH99" s="28"/>
      <c r="AI99" s="28"/>
      <c r="AJ99" s="28"/>
      <c r="AK99" s="28"/>
      <c r="AL99" s="28"/>
      <c r="AM99" s="28"/>
      <c r="AN99" s="28"/>
      <c r="AO99" s="28"/>
      <c r="AP99" s="28"/>
      <c r="AQ99" s="28"/>
      <c r="AR99" s="28"/>
      <c r="AS99" s="67"/>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5"/>
    </row>
    <row r="100" spans="1:84" s="3730" customFormat="1" ht="15.5" thickTop="1" thickBot="1" x14ac:dyDescent="0.35">
      <c r="A100" s="3638"/>
      <c r="B100" s="3638"/>
      <c r="C100" s="3638"/>
      <c r="D100" s="3634"/>
      <c r="E100" s="3638"/>
      <c r="F100" s="3638"/>
      <c r="G100" s="3638"/>
      <c r="H100" s="3638"/>
      <c r="I100" s="3638"/>
      <c r="J100" s="3638"/>
      <c r="K100" s="3638"/>
      <c r="L100" s="3638"/>
      <c r="M100" s="3638"/>
      <c r="N100" s="3764"/>
      <c r="O100" s="3634"/>
      <c r="P100" s="3634"/>
      <c r="Q100" s="3634"/>
      <c r="R100" s="3634"/>
      <c r="S100" s="3634"/>
      <c r="T100" s="3634"/>
      <c r="U100" s="3634"/>
      <c r="V100" s="3764"/>
      <c r="W100" s="3641"/>
      <c r="X100" s="3634"/>
      <c r="Y100" s="3634"/>
      <c r="Z100" s="3634"/>
      <c r="AA100" s="3634"/>
      <c r="AB100" s="3634"/>
      <c r="AC100" s="3634"/>
      <c r="AD100" s="3634"/>
      <c r="AE100" s="3634"/>
      <c r="AF100" s="3634"/>
      <c r="AG100" s="3634"/>
      <c r="AH100" s="3634"/>
      <c r="AI100" s="3634"/>
      <c r="AJ100" s="3634"/>
      <c r="AK100" s="3634"/>
      <c r="AL100" s="3634"/>
      <c r="AM100" s="3634"/>
      <c r="AN100" s="3634"/>
      <c r="AO100" s="3634"/>
      <c r="AP100" s="3634"/>
      <c r="AQ100" s="3634"/>
      <c r="AR100" s="3634"/>
      <c r="AS100" s="4068"/>
      <c r="AT100" s="4068"/>
      <c r="AU100" s="4068"/>
      <c r="AV100" s="4068"/>
      <c r="AW100" s="4068"/>
      <c r="AX100" s="4068"/>
      <c r="AY100" s="4068"/>
      <c r="AZ100" s="4068"/>
      <c r="BA100" s="4068"/>
      <c r="BB100" s="4068"/>
      <c r="BC100" s="4068"/>
      <c r="BD100" s="4068"/>
      <c r="BE100" s="4068"/>
      <c r="BF100" s="4068"/>
      <c r="BG100" s="4068"/>
      <c r="BH100" s="4068"/>
      <c r="BI100" s="4068"/>
      <c r="BJ100" s="4068"/>
      <c r="BK100" s="4068"/>
      <c r="BL100" s="4068"/>
      <c r="BM100" s="4068"/>
      <c r="BN100" s="4068"/>
      <c r="BO100" s="4068"/>
      <c r="BP100" s="4068"/>
      <c r="BQ100" s="4068"/>
      <c r="BR100" s="4068"/>
      <c r="BS100" s="4068"/>
      <c r="BT100" s="4068"/>
      <c r="BU100" s="4068"/>
      <c r="BV100" s="4068"/>
      <c r="BW100" s="4068"/>
      <c r="BX100" s="4068"/>
      <c r="BY100" s="4068"/>
      <c r="BZ100" s="4068"/>
      <c r="CA100" s="4068"/>
      <c r="CB100" s="4068"/>
      <c r="CC100" s="4068"/>
      <c r="CD100" s="4068"/>
      <c r="CE100" s="4068"/>
      <c r="CF100" s="4068"/>
    </row>
    <row r="101" spans="1:84" s="27" customFormat="1" ht="30" thickTop="1" thickBot="1" x14ac:dyDescent="0.35">
      <c r="A101" s="203">
        <v>8</v>
      </c>
      <c r="B101" s="1805" t="s">
        <v>1766</v>
      </c>
      <c r="C101" s="1809" t="s">
        <v>688</v>
      </c>
      <c r="D101" s="1499" t="s">
        <v>565</v>
      </c>
      <c r="E101" s="1050" t="b">
        <f>IF(AND(E102=TRUE,E108=TRUE,E109=TRUE,E110=TRUE,E111=TRUE),TRUE,FALSE)</f>
        <v>0</v>
      </c>
      <c r="F101" s="1726">
        <f>COUNTIF(E103:E111,TRUE)</f>
        <v>0</v>
      </c>
      <c r="G101" s="1726">
        <f>COUNTIFS(E103:E111,TRUE,G103:G111,"Not Blank")</f>
        <v>0</v>
      </c>
      <c r="H101" s="1726">
        <f>COUNTIFS(E103:E111,FALSE,G103:G111,"Not Blank")</f>
        <v>0</v>
      </c>
      <c r="I101" s="1727" t="str">
        <f xml:space="preserve">
IF(F101&gt;9,"Too Many Entries - Check Red Lines",
IF(AND(E101=FALSE,G101=0,H101=0,E101=TRUE),"Nothing Required Below",
IF(G101&lt;F101,"Valid Entry required below - Check Amber Line/s",
IF(AND(E101=FALSE,G101=0,H101=0),"Nothing Entered below Yet",
IF(G101&lt;F101,"Valid Entry required below - Check Amber Line/s",
IF(AND(G101=0,H101&gt;0),"**Non-Valid Entry/ies below - Check Yellow Line/s",
IF(AND(G101&gt;0,H101&gt;0),"**Valid and Non-Valid Entries made below - Check Yellow Line/s",
IF(AND(E101=FALSE,F101&lt;9),"Not all requirements addressed below - Check Pink Line/s",
IF(AND(E101=FALSE,G101&lt;9,G101&gt;0,H101=0),"More entries to come",
IF(AND(E101,TRUE,G101=9,H101=0),"Valid Entries made below"
))))))))))</f>
        <v>Nothing Entered below Yet</v>
      </c>
      <c r="J101" s="1497">
        <f>COUNTIFS(E103:E111,TRUE,J103:J111,"Not Blank")</f>
        <v>0</v>
      </c>
      <c r="K101" s="1497">
        <f>COUNTIFS(E103:E111,FALSE,J103:J111,"Not Blank")</f>
        <v>0</v>
      </c>
      <c r="L101" s="1497" t="str">
        <f xml:space="preserve">
IF(J101&gt;9,"Too Many Entries - Check Red Lines",
IF(AND(E101=FALSE,J101=0,K101=0,E101=TRUE),"Nothing Required Below",
IF(J101&lt;F101,"Valid Entry required below - Check Amber Line/s",
IF(AND(E101=FALSE,J101=0,K101=0),"Nothing Entered below Yet",
IF(AND(J101=0,K101&gt;0),"**Non-Valid Entry/ies below - Check Yellow Line/s",
IF(AND(J101&gt;0,K101&gt;0),"**Valid and Non-Valid Entries made below - Check Yellow Line/s",
IF(AND(E101=FALSE,J101&lt;9),"Not all requirements addressed below - Check Pink Line/s",
IF(AND(E101=FALSE,J101&lt;9,J101&gt;0,K101=0),"More entries to come",
IF(AND(E101,TRUE,J101=9,K101=0),"Valid Entries made below"
)))))))))</f>
        <v>Nothing Entered below Yet</v>
      </c>
      <c r="M101" s="134"/>
      <c r="N101" s="4484" t="s">
        <v>3</v>
      </c>
      <c r="O101" s="4548" t="b">
        <f>IF(OR(N101="Compliant",N101="FE with work-a-round",N101="Functionally Equivalent"),TRUE,FALSE)</f>
        <v>0</v>
      </c>
      <c r="P101" s="337"/>
      <c r="Q101" s="1846" t="s">
        <v>565</v>
      </c>
      <c r="R101" s="735" t="b">
        <f>IF(AND(R102=TRUE,R108=TRUE,R109=TRUE,R110=TRUE,R111=TRUE),TRUE,FALSE)</f>
        <v>0</v>
      </c>
      <c r="S101" s="336"/>
      <c r="T101" s="336"/>
      <c r="U101" s="337"/>
      <c r="V101" s="4484" t="s">
        <v>3</v>
      </c>
      <c r="W101" s="4558" t="b">
        <f>IF(OR(V101="Compliant",V101="FE with work-a-round",V101="Functionally Equivalent",V101="Not Required/Applicable"),TRUE,FALSE)</f>
        <v>0</v>
      </c>
      <c r="X101" s="132"/>
      <c r="Y101" s="133"/>
      <c r="Z101" s="134"/>
      <c r="AA101" s="28"/>
      <c r="AB101" s="28"/>
      <c r="AC101" s="28"/>
      <c r="AD101" s="28"/>
      <c r="AE101" s="28"/>
      <c r="AF101" s="28"/>
      <c r="AG101" s="28"/>
      <c r="AH101" s="28"/>
      <c r="AI101" s="28"/>
      <c r="AJ101" s="28"/>
      <c r="AK101" s="28"/>
      <c r="AL101" s="28"/>
      <c r="AM101" s="28"/>
      <c r="AN101" s="28"/>
      <c r="AO101" s="28"/>
      <c r="AP101" s="28"/>
      <c r="AQ101" s="28"/>
      <c r="AR101" s="28"/>
      <c r="AS101" s="67"/>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5"/>
    </row>
    <row r="102" spans="1:84" s="27" customFormat="1" ht="29.5" thickTop="1" x14ac:dyDescent="0.3">
      <c r="A102" s="37">
        <v>8.1</v>
      </c>
      <c r="B102" s="1854" t="s">
        <v>1374</v>
      </c>
      <c r="C102" s="2175" t="s">
        <v>686</v>
      </c>
      <c r="D102" s="2382" t="s">
        <v>565</v>
      </c>
      <c r="E102" s="2380" t="b">
        <f>IF(AND(E103=TRUE,E104=TRUE,E105=TRUE,E106=TRUE,E107=TRUE),TRUE,FALSE)</f>
        <v>0</v>
      </c>
      <c r="F102" s="2324">
        <f>COUNTIF(E103:E107,TRUE)</f>
        <v>0</v>
      </c>
      <c r="G102" s="2324">
        <f>COUNTIFS(E103:E107,TRUE,G103:G107,"Not Blank")</f>
        <v>0</v>
      </c>
      <c r="H102" s="2324">
        <f>COUNTIFS(E103:E107,FALSE,G103:G107,"Not Blank")</f>
        <v>0</v>
      </c>
      <c r="I102" s="2383" t="str">
        <f xml:space="preserve">
IF(F102&gt;5,"Too Many Entries - Check Red Lines",
IF(AND(E102=FALSE,G102=0,H102=0,E102=TRUE),"Nothing Required Below",
IF(G102&lt;F102,"Valid Entry required below - Check Amber Line/s",
IF(AND(E102=FALSE,G102=0,H102=0),"Nothing Entered below Yet",
IF(G102&lt;F102,"Valid Entry required below - Check Amber Line/s",
IF(AND(G102=0,H102&gt;0),"**Non-Valid Entry/ies below - Check Yellow Line/s",
IF(AND(G102&gt;0,H102&gt;0),"**Valid and Non-Valid Entries made below - Check Yellow Line/s",
IF(AND(E102=FALSE,F102&lt;5),"Not all requirements addressed below - Check Pink Line/s",
IF(AND(E102=FALSE,G102&lt;5,G102&gt;0,H102=0),"More entries to come",
IF(AND(E102,TRUE,G102=5,H102=0),"Valid Entries made below"
))))))))))</f>
        <v>Nothing Entered below Yet</v>
      </c>
      <c r="J102" s="2381">
        <f>COUNTIFS(E103:E107,TRUE,J103:J107,"Not Blank")</f>
        <v>0</v>
      </c>
      <c r="K102" s="2262" cm="1">
        <f t="array" ref="K102">COUNTIFS(E103:E107,FALSEE,J103:J107,"Not Blank")</f>
        <v>0</v>
      </c>
      <c r="L102" s="2262" t="str">
        <f xml:space="preserve">
IF(J102&gt;5,"Too Many Entries - Check Red Lines",
IF(AND(E102=FALSE,J102=0,K102=0,E102=TRUE),"Nothing Required Below",
IF(J102&lt;F102,"Valid Entry required below - Check Amber Line/s",
IF(AND(E102=FALSE,J102=0,K102=0),"Nothing Entered below Yet",
IF(AND(J102=0,K102&gt;0),"**Non-Valid Entry/ies below - Check Yellow Line/s",
IF(AND(J102&gt;0,K102&gt;0),"**Valid and Non-Valid Entries made below - Check Yellow Line/s",
IF(AND(E102=FALSE,J102&lt;5),"Not all requirements addressed below - Check Pink Line/s",
IF(AND(E102=FALSE,J102&lt;5,J102&gt;0,K102=0),"More entries to come",
IF(AND(E102,TRUE,J102=5,K102=0),"Valid Entries made below"
)))))))))</f>
        <v>Nothing Entered below Yet</v>
      </c>
      <c r="M102" s="2263"/>
      <c r="N102" s="4485"/>
      <c r="O102" s="4549"/>
      <c r="P102" s="128"/>
      <c r="Q102" s="553" t="s">
        <v>565</v>
      </c>
      <c r="R102" s="840" t="b">
        <f>IF(AND(R103=TRUE,R104=TRUE,R105=TRUE,R106=TRUE,R107=TRUE),TRUE,FALSE)</f>
        <v>0</v>
      </c>
      <c r="S102" s="42"/>
      <c r="T102" s="42"/>
      <c r="U102" s="128"/>
      <c r="V102" s="4485"/>
      <c r="W102" s="4559"/>
      <c r="X102" s="834"/>
      <c r="Y102" s="42"/>
      <c r="Z102" s="128"/>
      <c r="AA102" s="28"/>
      <c r="AB102" s="28"/>
      <c r="AC102" s="28"/>
      <c r="AD102" s="28"/>
      <c r="AE102" s="28"/>
      <c r="AF102" s="28"/>
      <c r="AG102" s="28"/>
      <c r="AH102" s="28"/>
      <c r="AI102" s="28"/>
      <c r="AJ102" s="28"/>
      <c r="AK102" s="28"/>
      <c r="AL102" s="28"/>
      <c r="AM102" s="28"/>
      <c r="AN102" s="28"/>
      <c r="AO102" s="28"/>
      <c r="AP102" s="28"/>
      <c r="AQ102" s="28"/>
      <c r="AR102" s="28"/>
      <c r="AS102" s="67"/>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5"/>
    </row>
    <row r="103" spans="1:84" s="27" customFormat="1" ht="43.5" x14ac:dyDescent="0.3">
      <c r="A103" s="37" t="s">
        <v>601</v>
      </c>
      <c r="B103" s="1504"/>
      <c r="C103" s="1702" t="s">
        <v>604</v>
      </c>
      <c r="D103" s="81" t="s">
        <v>3</v>
      </c>
      <c r="E103" s="78" t="b">
        <f t="shared" ref="E103:E111" si="12">IF(D103="Compliant",TRUE,FALSE)</f>
        <v>0</v>
      </c>
      <c r="F103" s="79"/>
      <c r="G103" s="79" t="str">
        <f t="shared" ref="G103:G108" si="13">IF(I103&lt;&gt;"", "Not Blank", "")</f>
        <v/>
      </c>
      <c r="H103" s="79"/>
      <c r="I103" s="2164"/>
      <c r="J103" s="1444"/>
      <c r="K103" s="391"/>
      <c r="L103" s="42"/>
      <c r="M103" s="128"/>
      <c r="N103" s="4485"/>
      <c r="O103" s="4549"/>
      <c r="P103" s="575"/>
      <c r="Q103" s="690" t="s">
        <v>3</v>
      </c>
      <c r="R103" s="263" t="b">
        <f>IF(OR(Q103="Compliant",Q103="FE with work-a-round",Q103="Functionally Equivalent"),TRUE,FALSE)</f>
        <v>0</v>
      </c>
      <c r="S103" s="261"/>
      <c r="T103" s="261"/>
      <c r="U103" s="575"/>
      <c r="V103" s="4485"/>
      <c r="W103" s="4559"/>
      <c r="X103" s="121"/>
      <c r="Y103" s="44"/>
      <c r="Z103" s="122"/>
      <c r="AA103" s="28"/>
      <c r="AB103" s="28"/>
      <c r="AC103" s="28"/>
      <c r="AD103" s="28"/>
      <c r="AE103" s="28"/>
      <c r="AF103" s="28"/>
      <c r="AG103" s="28"/>
      <c r="AH103" s="28"/>
      <c r="AI103" s="28"/>
      <c r="AJ103" s="28"/>
      <c r="AK103" s="28"/>
      <c r="AL103" s="28"/>
      <c r="AM103" s="28"/>
      <c r="AN103" s="28"/>
      <c r="AO103" s="28"/>
      <c r="AP103" s="28"/>
      <c r="AQ103" s="28"/>
      <c r="AR103" s="28"/>
      <c r="AS103" s="67"/>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5"/>
    </row>
    <row r="104" spans="1:84" s="27" customFormat="1" ht="29" x14ac:dyDescent="0.3">
      <c r="A104" s="37"/>
      <c r="B104" s="1504"/>
      <c r="C104" s="1717" t="s">
        <v>874</v>
      </c>
      <c r="D104" s="319" t="s">
        <v>3</v>
      </c>
      <c r="E104" s="67" t="b">
        <f t="shared" si="12"/>
        <v>0</v>
      </c>
      <c r="F104" s="44"/>
      <c r="G104" s="44" t="str">
        <f t="shared" si="13"/>
        <v/>
      </c>
      <c r="H104" s="44"/>
      <c r="I104" s="44"/>
      <c r="J104" s="216"/>
      <c r="K104" s="216"/>
      <c r="L104" s="44"/>
      <c r="M104" s="122"/>
      <c r="N104" s="4485"/>
      <c r="O104" s="4549"/>
      <c r="P104" s="122"/>
      <c r="Q104" s="690" t="s">
        <v>3</v>
      </c>
      <c r="R104" s="263" t="b">
        <f t="shared" ref="R104:R111" si="14">IF(OR(Q104="Compliant",Q104="FE with work-a-round",Q104="Functionally Equivalent"),TRUE,FALSE)</f>
        <v>0</v>
      </c>
      <c r="S104" s="44"/>
      <c r="T104" s="44"/>
      <c r="U104" s="122"/>
      <c r="V104" s="4485"/>
      <c r="W104" s="4559"/>
      <c r="X104" s="121"/>
      <c r="Y104" s="44"/>
      <c r="Z104" s="122"/>
      <c r="AA104" s="28"/>
      <c r="AB104" s="28"/>
      <c r="AC104" s="28"/>
      <c r="AD104" s="28"/>
      <c r="AE104" s="28"/>
      <c r="AF104" s="28"/>
      <c r="AG104" s="28"/>
      <c r="AH104" s="28"/>
      <c r="AI104" s="28"/>
      <c r="AJ104" s="28"/>
      <c r="AK104" s="28"/>
      <c r="AL104" s="28"/>
      <c r="AM104" s="28"/>
      <c r="AN104" s="28"/>
      <c r="AO104" s="28"/>
      <c r="AP104" s="28"/>
      <c r="AQ104" s="28"/>
      <c r="AR104" s="28"/>
      <c r="AS104" s="67"/>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5"/>
    </row>
    <row r="105" spans="1:84" s="27" customFormat="1" ht="43.5" x14ac:dyDescent="0.3">
      <c r="A105" s="28" t="s">
        <v>602</v>
      </c>
      <c r="B105" s="1504"/>
      <c r="C105" s="1717" t="s">
        <v>446</v>
      </c>
      <c r="D105" s="319" t="s">
        <v>3</v>
      </c>
      <c r="E105" s="67" t="b">
        <f t="shared" si="12"/>
        <v>0</v>
      </c>
      <c r="F105" s="44"/>
      <c r="G105" s="44" t="str">
        <f t="shared" si="13"/>
        <v/>
      </c>
      <c r="H105" s="44"/>
      <c r="I105" s="44"/>
      <c r="J105" s="216"/>
      <c r="K105" s="216"/>
      <c r="L105" s="44"/>
      <c r="M105" s="122"/>
      <c r="N105" s="4485"/>
      <c r="O105" s="4549"/>
      <c r="P105" s="122"/>
      <c r="Q105" s="690" t="s">
        <v>3</v>
      </c>
      <c r="R105" s="263" t="b">
        <f t="shared" si="14"/>
        <v>0</v>
      </c>
      <c r="S105" s="44"/>
      <c r="T105" s="44"/>
      <c r="U105" s="122"/>
      <c r="V105" s="4485"/>
      <c r="W105" s="4559"/>
      <c r="X105" s="121"/>
      <c r="Y105" s="44"/>
      <c r="Z105" s="122"/>
      <c r="AA105" s="28"/>
      <c r="AB105" s="28"/>
      <c r="AC105" s="28"/>
      <c r="AD105" s="28"/>
      <c r="AE105" s="28"/>
      <c r="AF105" s="28"/>
      <c r="AG105" s="28"/>
      <c r="AH105" s="28"/>
      <c r="AI105" s="28"/>
      <c r="AJ105" s="28"/>
      <c r="AK105" s="28"/>
      <c r="AL105" s="28"/>
      <c r="AM105" s="28"/>
      <c r="AN105" s="28"/>
      <c r="AO105" s="28"/>
      <c r="AP105" s="28"/>
      <c r="AQ105" s="28"/>
      <c r="AR105" s="28"/>
      <c r="AS105" s="67"/>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5"/>
    </row>
    <row r="106" spans="1:84" s="27" customFormat="1" ht="58" x14ac:dyDescent="0.3">
      <c r="A106" s="37"/>
      <c r="B106" s="1504"/>
      <c r="C106" s="1717" t="s">
        <v>687</v>
      </c>
      <c r="D106" s="319" t="s">
        <v>3</v>
      </c>
      <c r="E106" s="67" t="b">
        <f t="shared" si="12"/>
        <v>0</v>
      </c>
      <c r="F106" s="44"/>
      <c r="G106" s="44" t="str">
        <f t="shared" si="13"/>
        <v/>
      </c>
      <c r="H106" s="44"/>
      <c r="I106" s="44"/>
      <c r="J106" s="216"/>
      <c r="K106" s="216"/>
      <c r="L106" s="44"/>
      <c r="M106" s="122"/>
      <c r="N106" s="4485"/>
      <c r="O106" s="4549"/>
      <c r="P106" s="122"/>
      <c r="Q106" s="690" t="s">
        <v>3</v>
      </c>
      <c r="R106" s="263" t="b">
        <f t="shared" si="14"/>
        <v>0</v>
      </c>
      <c r="S106" s="44"/>
      <c r="T106" s="44"/>
      <c r="U106" s="122"/>
      <c r="V106" s="4485"/>
      <c r="W106" s="4559"/>
      <c r="X106" s="121"/>
      <c r="Y106" s="44"/>
      <c r="Z106" s="122"/>
      <c r="AA106" s="28"/>
      <c r="AB106" s="28"/>
      <c r="AC106" s="28"/>
      <c r="AD106" s="28"/>
      <c r="AE106" s="28"/>
      <c r="AF106" s="28"/>
      <c r="AG106" s="28"/>
      <c r="AH106" s="28"/>
      <c r="AI106" s="28"/>
      <c r="AJ106" s="28"/>
      <c r="AK106" s="28"/>
      <c r="AL106" s="28"/>
      <c r="AM106" s="28"/>
      <c r="AN106" s="28"/>
      <c r="AO106" s="28"/>
      <c r="AP106" s="28"/>
      <c r="AQ106" s="28"/>
      <c r="AR106" s="28"/>
      <c r="AS106" s="67"/>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5"/>
    </row>
    <row r="107" spans="1:84" s="27" customFormat="1" ht="43.5" x14ac:dyDescent="0.3">
      <c r="A107" s="37"/>
      <c r="B107" s="1504"/>
      <c r="C107" s="1717" t="s">
        <v>689</v>
      </c>
      <c r="D107" s="319" t="s">
        <v>3</v>
      </c>
      <c r="E107" s="67" t="b">
        <f t="shared" si="12"/>
        <v>0</v>
      </c>
      <c r="F107" s="44"/>
      <c r="G107" s="44" t="str">
        <f t="shared" si="13"/>
        <v/>
      </c>
      <c r="H107" s="44"/>
      <c r="I107" s="44"/>
      <c r="J107" s="216"/>
      <c r="K107" s="216"/>
      <c r="L107" s="44"/>
      <c r="M107" s="122"/>
      <c r="N107" s="4485"/>
      <c r="O107" s="4549"/>
      <c r="P107" s="122"/>
      <c r="Q107" s="690" t="s">
        <v>3</v>
      </c>
      <c r="R107" s="263" t="b">
        <f t="shared" si="14"/>
        <v>0</v>
      </c>
      <c r="S107" s="44"/>
      <c r="T107" s="44"/>
      <c r="U107" s="122"/>
      <c r="V107" s="4485"/>
      <c r="W107" s="4559"/>
      <c r="X107" s="121"/>
      <c r="Y107" s="44"/>
      <c r="Z107" s="122"/>
      <c r="AA107" s="28"/>
      <c r="AB107" s="28"/>
      <c r="AC107" s="28"/>
      <c r="AD107" s="28"/>
      <c r="AE107" s="28"/>
      <c r="AF107" s="28"/>
      <c r="AG107" s="28"/>
      <c r="AH107" s="28"/>
      <c r="AI107" s="28"/>
      <c r="AJ107" s="28"/>
      <c r="AK107" s="28"/>
      <c r="AL107" s="28"/>
      <c r="AM107" s="28"/>
      <c r="AN107" s="28"/>
      <c r="AO107" s="28"/>
      <c r="AP107" s="28"/>
      <c r="AQ107" s="28"/>
      <c r="AR107" s="28"/>
      <c r="AS107" s="67"/>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5"/>
    </row>
    <row r="108" spans="1:84" s="27" customFormat="1" ht="58" x14ac:dyDescent="0.3">
      <c r="A108" s="37">
        <v>8.1999999999999993</v>
      </c>
      <c r="B108" s="1504"/>
      <c r="C108" s="1717" t="s">
        <v>646</v>
      </c>
      <c r="D108" s="319" t="s">
        <v>3</v>
      </c>
      <c r="E108" s="67" t="b">
        <f t="shared" si="12"/>
        <v>0</v>
      </c>
      <c r="F108" s="44"/>
      <c r="G108" s="44" t="str">
        <f t="shared" si="13"/>
        <v/>
      </c>
      <c r="H108" s="44"/>
      <c r="I108" s="44"/>
      <c r="J108" s="216"/>
      <c r="K108" s="216"/>
      <c r="L108" s="44"/>
      <c r="M108" s="122"/>
      <c r="N108" s="4485"/>
      <c r="O108" s="4549"/>
      <c r="P108" s="122"/>
      <c r="Q108" s="690" t="s">
        <v>3</v>
      </c>
      <c r="R108" s="263" t="b">
        <f t="shared" si="14"/>
        <v>0</v>
      </c>
      <c r="S108" s="44"/>
      <c r="T108" s="44"/>
      <c r="U108" s="122"/>
      <c r="V108" s="4485"/>
      <c r="W108" s="4559"/>
      <c r="X108" s="121"/>
      <c r="Y108" s="44"/>
      <c r="Z108" s="122"/>
      <c r="AA108" s="28"/>
      <c r="AB108" s="28"/>
      <c r="AC108" s="28"/>
      <c r="AD108" s="28"/>
      <c r="AE108" s="28"/>
      <c r="AF108" s="28"/>
      <c r="AG108" s="28"/>
      <c r="AH108" s="28"/>
      <c r="AI108" s="28"/>
      <c r="AJ108" s="28"/>
      <c r="AK108" s="28"/>
      <c r="AL108" s="28"/>
      <c r="AM108" s="28"/>
      <c r="AN108" s="28"/>
      <c r="AO108" s="28"/>
      <c r="AP108" s="28"/>
      <c r="AQ108" s="28"/>
      <c r="AR108" s="28"/>
      <c r="AS108" s="67"/>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5"/>
    </row>
    <row r="109" spans="1:84" s="27" customFormat="1" ht="58.5" thickBot="1" x14ac:dyDescent="0.35">
      <c r="A109" s="37">
        <v>8.3000000000000007</v>
      </c>
      <c r="B109" s="1504"/>
      <c r="C109" s="1717" t="s">
        <v>690</v>
      </c>
      <c r="D109" s="319" t="s">
        <v>3</v>
      </c>
      <c r="E109" s="67" t="b">
        <f t="shared" si="12"/>
        <v>0</v>
      </c>
      <c r="F109" s="44"/>
      <c r="G109" s="44" t="str">
        <f>IF(I109&lt;&gt;"", "Not Blank", "")</f>
        <v/>
      </c>
      <c r="H109" s="44"/>
      <c r="I109" s="44"/>
      <c r="J109" s="216"/>
      <c r="K109" s="216"/>
      <c r="L109" s="44"/>
      <c r="M109" s="122"/>
      <c r="N109" s="4485"/>
      <c r="O109" s="4549"/>
      <c r="P109" s="122"/>
      <c r="Q109" s="690" t="s">
        <v>3</v>
      </c>
      <c r="R109" s="263" t="b">
        <f t="shared" si="14"/>
        <v>0</v>
      </c>
      <c r="S109" s="44"/>
      <c r="T109" s="44"/>
      <c r="U109" s="122"/>
      <c r="V109" s="4485"/>
      <c r="W109" s="4559"/>
      <c r="X109" s="895"/>
      <c r="Y109" s="44"/>
      <c r="Z109" s="122"/>
      <c r="AA109" s="28"/>
      <c r="AB109" s="28"/>
      <c r="AC109" s="28"/>
      <c r="AD109" s="28"/>
      <c r="AE109" s="28"/>
      <c r="AF109" s="28"/>
      <c r="AG109" s="28"/>
      <c r="AH109" s="28"/>
      <c r="AI109" s="28"/>
      <c r="AJ109" s="28"/>
      <c r="AK109" s="28"/>
      <c r="AL109" s="28"/>
      <c r="AM109" s="28"/>
      <c r="AN109" s="28"/>
      <c r="AO109" s="28"/>
      <c r="AP109" s="28"/>
      <c r="AQ109" s="28"/>
      <c r="AR109" s="28"/>
      <c r="AS109" s="67"/>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5"/>
    </row>
    <row r="110" spans="1:84" s="27" customFormat="1" ht="59" thickTop="1" thickBot="1" x14ac:dyDescent="0.35">
      <c r="A110" s="37">
        <v>8.4</v>
      </c>
      <c r="B110" s="1504"/>
      <c r="C110" s="1717" t="s">
        <v>691</v>
      </c>
      <c r="D110" s="319" t="s">
        <v>3</v>
      </c>
      <c r="E110" s="67" t="b">
        <f t="shared" si="12"/>
        <v>0</v>
      </c>
      <c r="F110" s="44"/>
      <c r="G110" s="44" t="str">
        <f>IF(I110&lt;&gt;"", "Not Blank", "")</f>
        <v/>
      </c>
      <c r="H110" s="44"/>
      <c r="I110" s="44"/>
      <c r="J110" s="216"/>
      <c r="K110" s="216"/>
      <c r="L110" s="44"/>
      <c r="M110" s="122"/>
      <c r="N110" s="4485"/>
      <c r="O110" s="4549"/>
      <c r="P110" s="122"/>
      <c r="Q110" s="690" t="s">
        <v>3</v>
      </c>
      <c r="R110" s="263" t="b">
        <f t="shared" si="14"/>
        <v>0</v>
      </c>
      <c r="S110" s="44"/>
      <c r="T110" s="44"/>
      <c r="U110" s="122"/>
      <c r="V110" s="4485"/>
      <c r="W110" s="4559"/>
      <c r="X110" s="102"/>
      <c r="Y110" s="67"/>
      <c r="Z110" s="122"/>
      <c r="AA110" s="28"/>
      <c r="AB110" s="28"/>
      <c r="AC110" s="28"/>
      <c r="AD110" s="28"/>
      <c r="AE110" s="28"/>
      <c r="AF110" s="28"/>
      <c r="AG110" s="28"/>
      <c r="AH110" s="28"/>
      <c r="AI110" s="28"/>
      <c r="AJ110" s="28"/>
      <c r="AK110" s="28"/>
      <c r="AL110" s="28"/>
      <c r="AM110" s="28"/>
      <c r="AN110" s="28"/>
      <c r="AO110" s="28"/>
      <c r="AP110" s="28"/>
      <c r="AQ110" s="28"/>
      <c r="AR110" s="28"/>
      <c r="AS110" s="67"/>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5"/>
    </row>
    <row r="111" spans="1:84" s="27" customFormat="1" ht="30" thickTop="1" thickBot="1" x14ac:dyDescent="0.35">
      <c r="A111" s="37">
        <v>8.5</v>
      </c>
      <c r="B111" s="1505"/>
      <c r="C111" s="1800" t="s">
        <v>692</v>
      </c>
      <c r="D111" s="230" t="s">
        <v>3</v>
      </c>
      <c r="E111" s="161" t="b">
        <f t="shared" si="12"/>
        <v>0</v>
      </c>
      <c r="F111" s="124"/>
      <c r="G111" s="124" t="str">
        <f>IF(I111&lt;&gt;"", "Not Blank", "")</f>
        <v/>
      </c>
      <c r="H111" s="124"/>
      <c r="I111" s="124"/>
      <c r="J111" s="218"/>
      <c r="K111" s="218"/>
      <c r="L111" s="124"/>
      <c r="M111" s="125"/>
      <c r="N111" s="4486"/>
      <c r="O111" s="4550"/>
      <c r="P111" s="125"/>
      <c r="Q111" s="691" t="s">
        <v>3</v>
      </c>
      <c r="R111" s="694" t="b">
        <f t="shared" si="14"/>
        <v>0</v>
      </c>
      <c r="S111" s="160"/>
      <c r="T111" s="160"/>
      <c r="U111" s="135"/>
      <c r="V111" s="4486"/>
      <c r="W111" s="4560"/>
      <c r="X111" s="982"/>
      <c r="Y111" s="124"/>
      <c r="Z111" s="125"/>
      <c r="AA111" s="28"/>
      <c r="AB111" s="28"/>
      <c r="AC111" s="28"/>
      <c r="AD111" s="28"/>
      <c r="AE111" s="28"/>
      <c r="AF111" s="28"/>
      <c r="AG111" s="28"/>
      <c r="AH111" s="28"/>
      <c r="AI111" s="28"/>
      <c r="AJ111" s="28"/>
      <c r="AK111" s="28"/>
      <c r="AL111" s="28"/>
      <c r="AM111" s="28"/>
      <c r="AN111" s="28"/>
      <c r="AO111" s="28"/>
      <c r="AP111" s="28"/>
      <c r="AQ111" s="28"/>
      <c r="AR111" s="28"/>
      <c r="AS111" s="67"/>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5"/>
    </row>
    <row r="112" spans="1:84" s="3730" customFormat="1" ht="15.5" thickTop="1" thickBot="1" x14ac:dyDescent="0.35">
      <c r="A112" s="3638"/>
      <c r="B112" s="3638"/>
      <c r="C112" s="3638"/>
      <c r="D112" s="3634"/>
      <c r="E112" s="3734"/>
      <c r="F112" s="3734"/>
      <c r="G112" s="3734"/>
      <c r="H112" s="3734"/>
      <c r="I112" s="3734"/>
      <c r="J112" s="3734"/>
      <c r="K112" s="3734"/>
      <c r="L112" s="3734"/>
      <c r="M112" s="3734"/>
      <c r="N112" s="4069"/>
      <c r="O112" s="3694"/>
      <c r="P112" s="3694"/>
      <c r="Q112" s="3634"/>
      <c r="R112" s="3640"/>
      <c r="S112" s="3634"/>
      <c r="T112" s="3634"/>
      <c r="U112" s="3634"/>
      <c r="V112" s="3638"/>
      <c r="W112" s="3641"/>
      <c r="X112" s="3634"/>
      <c r="Y112" s="3764"/>
      <c r="Z112" s="3764"/>
      <c r="AA112" s="3634"/>
      <c r="AB112" s="3634"/>
      <c r="AC112" s="3634"/>
      <c r="AD112" s="3634"/>
      <c r="AE112" s="3634"/>
      <c r="AF112" s="3634"/>
      <c r="AG112" s="3634"/>
      <c r="AH112" s="3634"/>
      <c r="AI112" s="3634"/>
      <c r="AJ112" s="3634"/>
      <c r="AK112" s="3634"/>
      <c r="AL112" s="3634"/>
      <c r="AM112" s="3634"/>
      <c r="AN112" s="3634"/>
      <c r="AO112" s="3634"/>
      <c r="AP112" s="3634"/>
      <c r="AQ112" s="3634"/>
      <c r="AR112" s="3634"/>
      <c r="AS112" s="4068"/>
      <c r="AT112" s="4068"/>
      <c r="AU112" s="4068"/>
      <c r="AV112" s="4068"/>
      <c r="AW112" s="4068"/>
      <c r="AX112" s="4068"/>
      <c r="AY112" s="4068"/>
      <c r="AZ112" s="4068"/>
      <c r="BA112" s="4068"/>
      <c r="BB112" s="4068"/>
      <c r="BC112" s="4068"/>
      <c r="BD112" s="4068"/>
      <c r="BE112" s="4068"/>
      <c r="BF112" s="4068"/>
      <c r="BG112" s="4068"/>
      <c r="BH112" s="4068"/>
      <c r="BI112" s="4068"/>
      <c r="BJ112" s="4068"/>
      <c r="BK112" s="4068"/>
      <c r="BL112" s="4068"/>
      <c r="BM112" s="4068"/>
      <c r="BN112" s="4068"/>
      <c r="BO112" s="4068"/>
      <c r="BP112" s="4068"/>
      <c r="BQ112" s="4068"/>
      <c r="BR112" s="4068"/>
      <c r="BS112" s="4068"/>
      <c r="BT112" s="4068"/>
      <c r="BU112" s="4068"/>
      <c r="BV112" s="4068"/>
      <c r="BW112" s="4068"/>
      <c r="BX112" s="4068"/>
      <c r="BY112" s="4068"/>
      <c r="BZ112" s="4068"/>
      <c r="CA112" s="4068"/>
      <c r="CB112" s="4068"/>
      <c r="CC112" s="4068"/>
      <c r="CD112" s="4068"/>
      <c r="CE112" s="4068"/>
      <c r="CF112" s="4068"/>
    </row>
    <row r="113" spans="1:84" s="27" customFormat="1" ht="30" thickTop="1" thickBot="1" x14ac:dyDescent="0.35">
      <c r="A113" s="109">
        <v>9</v>
      </c>
      <c r="B113" s="1805" t="s">
        <v>1767</v>
      </c>
      <c r="C113" s="1709" t="s">
        <v>1783</v>
      </c>
      <c r="D113" s="1640" t="s">
        <v>1588</v>
      </c>
      <c r="E113" s="995" t="b">
        <f>IF(AND(E114=TRUE,E117=TRUE,E124=TRUE,E125=TRUE,E126=TRUE,E127=TRUE,E128=TRUE,E129=TRUE),TRUE,FALSE)</f>
        <v>0</v>
      </c>
      <c r="F113" s="689">
        <f>COUNTIF(E115:E116,TRUE)+COUNTIF(E118:E129,TRUE)</f>
        <v>0</v>
      </c>
      <c r="G113" s="689">
        <f>COUNTIFS(E115:E116,TRUE,G115:G116,"Not Blank")+COUNTIFS(E118:E129,TRUE,G118:G129,"Not Blank")</f>
        <v>0</v>
      </c>
      <c r="H113" s="689">
        <f>COUNTIFS(E115:E116,FALSE,G115:G116,"Not Blank")+COUNTIFS(E118:E129,FALSE,G118:G129,"Not Blank")</f>
        <v>0</v>
      </c>
      <c r="I113" s="1497" t="str">
        <f xml:space="preserve">
IF(F113&gt;14,"Too Many Entries - Check Red Lines",
IF(AND(E113=FALSE,G113=0,H113=0,E113=TRUE),"Nothing Required Below",
IF(G113&lt;F113,"Valid Entry required below - Check Amber Line/s",
IF(AND(E113=FALSE,G113=0,H113=0),"Nothing Entered below Yet",
IF(G113&lt;F113,"Valid Entry required below - Check Amber Line/s",
IF(AND(G113=0,H113&gt;0),"**Non-Valid Entry/ies below - Check Yellow Line/s",
IF(AND(G113&gt;0,H113&gt;0),"**Valid and Non-Valid Entries made below - Check Yellow Line/s",
IF(AND(E113=FALSE,F113&lt;14),"Not all requirements addressed below - Check Pink Line/s",
IF(AND(E113=FALSE,G113&lt;14,G113&gt;0,H113=0),"More entries to come",
IF(AND(E113,TRUE,G113=14,H113=0),"Valid Entries made below"
))))))))))</f>
        <v>Nothing Entered below Yet</v>
      </c>
      <c r="J113" s="1497">
        <f>COUNTIFS(E114:E117,TRUE,J114:J117,"Not Blank")</f>
        <v>0</v>
      </c>
      <c r="K113" s="1497">
        <f>COUNTIFS(E114:E129,FALSE,J114:J129,"Not Blank")</f>
        <v>0</v>
      </c>
      <c r="L113" s="1497" t="str">
        <f xml:space="preserve">
IF(J113&gt;14,"Too Many Entries - Check Red Lines",
IF(AND(E113=FALSE,J113=0,K113=0,E112=TRUE),"Nothing Required Below",
IF(J113&lt;F113,"Valid Entry required below - Check Amber Line/s",
IF(AND(E113=FALSE,J113=0,K113=0),"Nothing Entered below Yet",
IF(AND(J113=0,K113&gt;0),"**Non-Valid Entry/ies below - Check Yellow Line/s",
IF(AND(J113&gt;0,K113&gt;0),"**Valid and Non-Valid Entries made below - Check Yellow Line/s",
IF(AND(E113=FALSE,J113&lt;14),"Not all requirements addressed below - Check Pink Line/s",
IF(AND(E113=FALSE,J113&lt;14,J113&gt;0,K113=0),"More entries to come",
IF(AND(E113,TRUE,J113=14,K113=0),"Valid Entries made below"
)))))))))</f>
        <v>Nothing Entered below Yet</v>
      </c>
      <c r="M113" s="134"/>
      <c r="N113" s="1640" t="s">
        <v>565</v>
      </c>
      <c r="O113" s="132" t="b">
        <f>IF(AND(O114=TRUE,O117=TRUE,O124=TRUE),TRUE,FALSE)</f>
        <v>0</v>
      </c>
      <c r="P113" s="337"/>
      <c r="Q113" s="1640" t="s">
        <v>565</v>
      </c>
      <c r="R113" s="734" t="b">
        <f>IF(AND(R114=TRUE,R117=TRUE,R124=TRUE,R125=TRUE,R126=TRUE,R127=TRUE,R128=TRUE,R129=TRUE),TRUE,FALSE)</f>
        <v>0</v>
      </c>
      <c r="S113" s="336"/>
      <c r="T113" s="336"/>
      <c r="U113" s="640"/>
      <c r="V113" s="1640" t="s">
        <v>565</v>
      </c>
      <c r="W113" s="1090" t="b">
        <f>IF(AND(W114=TRUE,W117=TRUE,W124=TRUE),TRUE,FALSE)</f>
        <v>0</v>
      </c>
      <c r="X113" s="132"/>
      <c r="Y113" s="133"/>
      <c r="Z113" s="134"/>
      <c r="AA113" s="28"/>
      <c r="AB113" s="28"/>
      <c r="AC113" s="28"/>
      <c r="AD113" s="28"/>
      <c r="AE113" s="28"/>
      <c r="AF113" s="28"/>
      <c r="AG113" s="28"/>
      <c r="AH113" s="28"/>
      <c r="AI113" s="28"/>
      <c r="AJ113" s="28"/>
      <c r="AK113" s="28"/>
      <c r="AL113" s="28"/>
      <c r="AM113" s="28"/>
      <c r="AN113" s="28"/>
      <c r="AO113" s="28"/>
      <c r="AP113" s="28"/>
      <c r="AQ113" s="28"/>
      <c r="AR113" s="28"/>
      <c r="AS113" s="67"/>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5"/>
    </row>
    <row r="114" spans="1:84" s="27" customFormat="1" ht="15.5" thickTop="1" thickBot="1" x14ac:dyDescent="0.35">
      <c r="A114" s="82">
        <v>9.1</v>
      </c>
      <c r="B114" s="1805" t="s">
        <v>1372</v>
      </c>
      <c r="C114" s="2275" t="s">
        <v>652</v>
      </c>
      <c r="D114" s="2343" t="s">
        <v>565</v>
      </c>
      <c r="E114" s="41" t="b">
        <f>IF(AND(E115=TRUE,E116=TRUE),TRUE,FALSE)</f>
        <v>0</v>
      </c>
      <c r="F114" s="42">
        <f>COUNTIF(E115:E116,TRUE)</f>
        <v>0</v>
      </c>
      <c r="G114" s="42">
        <f>COUNTIFS(E115:E116,TRUE,G115:G116,"Not Blank")</f>
        <v>0</v>
      </c>
      <c r="H114" s="42">
        <f>COUNTIFS(E115:E116,FALSE,G115:G116,"Not Blank")</f>
        <v>0</v>
      </c>
      <c r="I114" s="1648" t="str">
        <f xml:space="preserve">
IF(F114&gt;2,"Too Many Entries - Check Red Lines",
IF(AND(E114=FALSE,G114=0,H114=0,E114=TRUE),"Nothing Required Below",
IF(G114&lt;F114,"Valid Entry required below - Check Amber Line/s",
IF(AND(E114=FALSE,G114=0,H114=0),"Nothing Entered below Yet",
IF(G114&lt;F114,"Valid Entry required below - Check Amber Line/s",
IF(AND(G114=0,H114&gt;0),"**Non-Valid Entry/ies below - Check Yellow Line/s",
IF(AND(G114&gt;0,H114&gt;0),"**Valid and Non-Valid Entries made below - Check Yellow Line/s",
IF(AND(E114=FALSE,F114&lt;2),"Not all requirements addressed below - Check Pink Line/s",
IF(AND(E114=FALSE,G114&lt;2,G114&gt;0,H114=0),"More entries to come",
IF(AND(E114,TRUE,G114=2,H114=0),"Valid Entries made below"
))))))))))</f>
        <v>Nothing Entered below Yet</v>
      </c>
      <c r="J114" s="1647">
        <f>COUNTIFS(E115:E116,TRUE,J115:J116,"Not Blank")</f>
        <v>0</v>
      </c>
      <c r="K114" s="1647">
        <f>COUNTIFS(E115:E116,FALSE,J115:J116,"Not Blank")</f>
        <v>0</v>
      </c>
      <c r="L114" s="2155" t="str">
        <f xml:space="preserve">
IF(J114&gt;2,"Too Many Entries - Check Red Lines",
IF(AND(E114=FALSE,J114=0,K114=0,E113=TRUE),"Nothing Required Below",
IF(J114&lt;F114,"Valid Entry required below - Check Amber Line/s",
IF(AND(E114=FALSE,J114=0,K114=0),"Nothing Entered below Yet",
IF(AND(J114=0,K114&gt;0),"**Non-Valid Entry/ies below - Check Yellow Line/s",
IF(AND(J114&gt;0,K114&gt;0),"**Valid and Non-Valid Entries made below - Check Yellow Line/s",
IF(AND(E114=FALSE,J114&lt;2),"Not all requirements addressed below - Check Pink Line/s",
IF(AND(E114=FALSE,J114&lt;2,J114&gt;0,K114=0),"More entries to come",
IF(AND(E114,TRUE,J114=2,K114=0),"Valid Entries made below"
)))))))))</f>
        <v>Nothing Entered below Yet</v>
      </c>
      <c r="M114" s="2176"/>
      <c r="N114" s="4485" t="s">
        <v>3</v>
      </c>
      <c r="O114" s="4568" t="b">
        <f>IF(OR(N114="Compliant",N114="FE with work-a-round",N114="Functionally Equivalent"),TRUE,FALSE)</f>
        <v>0</v>
      </c>
      <c r="P114" s="128"/>
      <c r="Q114" s="2376" t="s">
        <v>565</v>
      </c>
      <c r="R114" s="815" t="b">
        <f>IF(AND(R115=TRUE,R116=TRUE),TRUE,FALSE)</f>
        <v>0</v>
      </c>
      <c r="S114" s="42"/>
      <c r="T114" s="42"/>
      <c r="U114" s="128"/>
      <c r="V114" s="4485" t="s">
        <v>3</v>
      </c>
      <c r="W114" s="4555" t="b">
        <f>IF(OR(V114="Compliant",V114="FE with work-a-round",V114="Functionally Equivalent",V114="Not Required/Applicable"),TRUE,FALSE)</f>
        <v>0</v>
      </c>
      <c r="X114" s="41"/>
      <c r="Y114" s="42"/>
      <c r="Z114" s="128"/>
      <c r="AA114" s="28"/>
      <c r="AB114" s="28"/>
      <c r="AC114" s="28"/>
      <c r="AD114" s="28"/>
      <c r="AE114" s="28"/>
      <c r="AF114" s="28"/>
      <c r="AG114" s="28"/>
      <c r="AH114" s="28"/>
      <c r="AI114" s="28"/>
      <c r="AJ114" s="28"/>
      <c r="AK114" s="28"/>
      <c r="AL114" s="28"/>
      <c r="AM114" s="28"/>
      <c r="AN114" s="28"/>
      <c r="AO114" s="28"/>
      <c r="AP114" s="28"/>
      <c r="AQ114" s="28"/>
      <c r="AR114" s="28"/>
      <c r="AS114" s="67"/>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5"/>
    </row>
    <row r="115" spans="1:84" s="27" customFormat="1" ht="16" thickTop="1" x14ac:dyDescent="0.3">
      <c r="A115" s="37"/>
      <c r="B115" s="1504"/>
      <c r="C115" s="2167" t="s">
        <v>449</v>
      </c>
      <c r="D115" s="1013" t="s">
        <v>3</v>
      </c>
      <c r="E115" s="67" t="b">
        <f>IF(D115="Compliant",TRUE,FALSE)</f>
        <v>0</v>
      </c>
      <c r="F115" s="44"/>
      <c r="G115" s="44" t="str">
        <f>IF(I115&lt;&gt;"", "Not Blank", "")</f>
        <v/>
      </c>
      <c r="H115" s="44"/>
      <c r="I115" s="2164"/>
      <c r="J115" s="216"/>
      <c r="K115" s="216"/>
      <c r="L115" s="42"/>
      <c r="M115" s="128"/>
      <c r="N115" s="4485"/>
      <c r="O115" s="4561"/>
      <c r="P115" s="575"/>
      <c r="Q115" s="1826" t="s">
        <v>3</v>
      </c>
      <c r="R115" s="197" t="b">
        <f>IF(OR(Q115="Compliant",Q115="FE with work-a-round",Q115="Functionally Equivalent"),TRUE,FALSE)</f>
        <v>0</v>
      </c>
      <c r="S115" s="261"/>
      <c r="T115" s="261"/>
      <c r="U115" s="575"/>
      <c r="V115" s="4485"/>
      <c r="W115" s="4556"/>
      <c r="X115" s="67"/>
      <c r="Y115" s="44"/>
      <c r="Z115" s="122"/>
      <c r="AA115" s="28"/>
      <c r="AB115" s="28"/>
      <c r="AC115" s="28"/>
      <c r="AD115" s="28"/>
      <c r="AE115" s="28"/>
      <c r="AF115" s="28"/>
      <c r="AG115" s="28"/>
      <c r="AH115" s="28"/>
      <c r="AI115" s="28"/>
      <c r="AJ115" s="28"/>
      <c r="AK115" s="28"/>
      <c r="AL115" s="28"/>
      <c r="AM115" s="28"/>
      <c r="AN115" s="28"/>
      <c r="AO115" s="28"/>
      <c r="AP115" s="28"/>
      <c r="AQ115" s="28"/>
      <c r="AR115" s="28"/>
      <c r="AS115" s="67"/>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5"/>
    </row>
    <row r="116" spans="1:84" s="27" customFormat="1" ht="44" thickBot="1" x14ac:dyDescent="0.35">
      <c r="A116" s="37"/>
      <c r="B116" s="1505"/>
      <c r="C116" s="1800" t="s">
        <v>450</v>
      </c>
      <c r="D116" s="230" t="s">
        <v>3</v>
      </c>
      <c r="E116" s="161" t="b">
        <f>IF(D116="Compliant",TRUE,FALSE)</f>
        <v>0</v>
      </c>
      <c r="F116" s="124"/>
      <c r="G116" s="124" t="str">
        <f>IF(I116&lt;&gt;"", "Not Blank", "")</f>
        <v/>
      </c>
      <c r="H116" s="124"/>
      <c r="I116" s="124"/>
      <c r="J116" s="218"/>
      <c r="K116" s="218"/>
      <c r="L116" s="124"/>
      <c r="M116" s="125"/>
      <c r="N116" s="4486"/>
      <c r="O116" s="4562"/>
      <c r="P116" s="125"/>
      <c r="Q116" s="691" t="s">
        <v>3</v>
      </c>
      <c r="R116" s="197" t="b">
        <f>IF(OR(Q116="Compliant",Q116="FE with work-a-round",Q116="Functionally Equivalent"),TRUE,FALSE)</f>
        <v>0</v>
      </c>
      <c r="S116" s="44"/>
      <c r="T116" s="44"/>
      <c r="U116" s="122"/>
      <c r="V116" s="4486"/>
      <c r="W116" s="4556"/>
      <c r="X116" s="67"/>
      <c r="Y116" s="44"/>
      <c r="Z116" s="122"/>
      <c r="AA116" s="28"/>
      <c r="AB116" s="28"/>
      <c r="AC116" s="28"/>
      <c r="AD116" s="28"/>
      <c r="AE116" s="28"/>
      <c r="AF116" s="28"/>
      <c r="AG116" s="28"/>
      <c r="AH116" s="28"/>
      <c r="AI116" s="28"/>
      <c r="AJ116" s="28"/>
      <c r="AK116" s="28"/>
      <c r="AL116" s="28"/>
      <c r="AM116" s="28"/>
      <c r="AN116" s="28"/>
      <c r="AO116" s="28"/>
      <c r="AP116" s="28"/>
      <c r="AQ116" s="28"/>
      <c r="AR116" s="28"/>
      <c r="AS116" s="67"/>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5"/>
    </row>
    <row r="117" spans="1:84" s="27" customFormat="1" ht="29.5" thickTop="1" x14ac:dyDescent="0.3">
      <c r="A117" s="37">
        <v>9.1999999999999993</v>
      </c>
      <c r="B117" s="2385" t="s">
        <v>1373</v>
      </c>
      <c r="C117" s="2175" t="s">
        <v>693</v>
      </c>
      <c r="D117" s="2343" t="s">
        <v>1360</v>
      </c>
      <c r="E117" s="659" t="b">
        <f>IF(AND(E118=TRUE,E119=TRUE,E120=TRUE,E121=TRUE,E122=TRUE,E123=TRUE),TRUE,FALSE)</f>
        <v>0</v>
      </c>
      <c r="F117" s="207">
        <f>COUNTIF(E118:E123,TRUE)</f>
        <v>0</v>
      </c>
      <c r="G117" s="207">
        <f>COUNTIFS(E118:E123,TRUE,G118:G123,"Not Blank")</f>
        <v>0</v>
      </c>
      <c r="H117" s="207">
        <f>COUNTIFS(E118:E123,FALSE,G118:G123,"Not Blank")</f>
        <v>0</v>
      </c>
      <c r="I117" s="1727" t="str">
        <f xml:space="preserve">
IF(F117&gt;6,"Too Many Entries - Check Red Lines",
IF(AND(E117=FALSE,G117=0,H117=0,E117=TRUE),"Nothing Required Below",
IF(G117&lt;F117,"Valid Entry required below - Check Amber Line/s",
IF(AND(E117=FALSE,G117=0,H117=0),"Nothing Entered below Yet",
IF(G117&lt;F117,"Valid Entry required below - Check Amber Line/s",
IF(AND(G117=0,H117&gt;0),"**Non-Valid Entry/ies below - Check Yellow Line/s",
IF(AND(G117&gt;0,H117&gt;0),"**Valid and Non-Valid Entries made below - Check Yellow Line/s",
IF(AND(E117=FALSE,F117&lt;6),"Not all requirements addressed below - Check Pink Line/s",
IF(AND(E117=FALSE,G117&lt;6,G117&gt;0,H117=0),"More entries to come",
IF(AND(E117,TRUE,G117=6,H117=0),"Valid Entries made below"
))))))))))</f>
        <v>Nothing Entered below Yet</v>
      </c>
      <c r="J117" s="1514">
        <f>COUNTIFS(E118:E123,TRUE,J118:J123,"Not Blank")</f>
        <v>0</v>
      </c>
      <c r="K117" s="1514">
        <f>COUNTIFS(E118:E123,FALSE,J118:J123,"Not Blank")</f>
        <v>0</v>
      </c>
      <c r="L117" s="1727" t="str">
        <f xml:space="preserve">
IF(J117&gt;6,"Too Many Entries - Check Red Lines",
IF(AND(E117=FALSE,J117=0,K117=0,E116=TRUE),"Nothing Required Below",
IF(J117&lt;F117,"Valid Entry required below - Check Amber Line/s",
IF(AND(E117=FALSE,J117=0,K117=0),"Nothing Entered below Yet",
IF(AND(J117=0,K117&gt;0),"**Non-Valid Entry/ies below - Check Yellow Line/s",
IF(AND(J117&gt;0,K117&gt;0),"**Valid and Non-Valid Entries made below - Check Yellow Line/s",
IF(AND(E117=FALSE,J117&lt;6),"Not all requirements addressed below - Check Pink Line/s",
IF(AND(E117=FALSE,J117&lt;6,J117&gt;0,K117=0),"More entries to come",
IF(AND(E117,TRUE,J117=6,K117=0),"Valid Entries made below"
)))))))))</f>
        <v>Nothing Entered below Yet</v>
      </c>
      <c r="M117" s="2176"/>
      <c r="N117" s="4484" t="s">
        <v>3</v>
      </c>
      <c r="O117" s="4548" t="b">
        <f>IF(OR(N117="Compliant",N117="FE with work-a-round",N117="Functionally Equivalent"),TRUE,FALSE)</f>
        <v>0</v>
      </c>
      <c r="P117" s="3611"/>
      <c r="Q117" s="1846" t="s">
        <v>565</v>
      </c>
      <c r="R117" s="840" t="b">
        <f>IF(AND(R118=TRUE,R119=TRUE,R120=TRUE,R121=TRUE,R122=TRUE,R123=TRUE),TRUE,FALSE)</f>
        <v>0</v>
      </c>
      <c r="S117" s="186"/>
      <c r="T117" s="186"/>
      <c r="U117" s="459"/>
      <c r="V117" s="4484" t="s">
        <v>3</v>
      </c>
      <c r="W117" s="4552" t="b">
        <f>IF(OR(V117="Compliant",V117="FE with work-a-round",V117="Functionally Equivalent",V117="Not Required/Applicable"),TRUE,FALSE)</f>
        <v>0</v>
      </c>
      <c r="X117" s="67"/>
      <c r="Y117" s="44"/>
      <c r="Z117" s="122"/>
      <c r="AA117" s="28"/>
      <c r="AB117" s="28"/>
      <c r="AC117" s="28"/>
      <c r="AD117" s="28"/>
      <c r="AE117" s="28"/>
      <c r="AF117" s="28"/>
      <c r="AG117" s="28"/>
      <c r="AH117" s="28"/>
      <c r="AI117" s="28"/>
      <c r="AJ117" s="28"/>
      <c r="AK117" s="28"/>
      <c r="AL117" s="28"/>
      <c r="AM117" s="28"/>
      <c r="AN117" s="28"/>
      <c r="AO117" s="28"/>
      <c r="AP117" s="28"/>
      <c r="AQ117" s="28"/>
      <c r="AR117" s="28"/>
      <c r="AS117" s="67"/>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5"/>
    </row>
    <row r="118" spans="1:84" s="27" customFormat="1" ht="29" x14ac:dyDescent="0.3">
      <c r="A118" s="37"/>
      <c r="B118" s="1504"/>
      <c r="C118" s="1806" t="s">
        <v>694</v>
      </c>
      <c r="D118" s="1013" t="s">
        <v>3</v>
      </c>
      <c r="E118" s="67" t="b">
        <f t="shared" ref="E118:E129" si="15">IF(D118="Compliant",TRUE,FALSE)</f>
        <v>0</v>
      </c>
      <c r="F118" s="44"/>
      <c r="G118" s="44" t="str">
        <f t="shared" ref="G118:G129" si="16">IF(I118&lt;&gt;"", "Not Blank", "")</f>
        <v/>
      </c>
      <c r="H118" s="44"/>
      <c r="I118" s="2164"/>
      <c r="J118" s="216" t="str">
        <f t="shared" ref="J118:J129" si="17">IF(L118&lt;&gt;"", "Not Blank", "")</f>
        <v/>
      </c>
      <c r="K118" s="216"/>
      <c r="L118" s="2164"/>
      <c r="M118" s="128"/>
      <c r="N118" s="4485"/>
      <c r="O118" s="4549"/>
      <c r="P118" s="2177"/>
      <c r="Q118" s="2180" t="s">
        <v>3</v>
      </c>
      <c r="R118" s="263" t="b">
        <f>IF(OR(Q118="Compliant",Q118="FE with work-a-round",Q118="Functionally Equivalent"),TRUE,FALSE)</f>
        <v>0</v>
      </c>
      <c r="S118" s="42"/>
      <c r="T118" s="42"/>
      <c r="U118" s="128"/>
      <c r="V118" s="4485"/>
      <c r="W118" s="4553"/>
      <c r="X118" s="67"/>
      <c r="Y118" s="44"/>
      <c r="Z118" s="122"/>
      <c r="AA118" s="28"/>
      <c r="AB118" s="28"/>
      <c r="AC118" s="28"/>
      <c r="AD118" s="28"/>
      <c r="AE118" s="28"/>
      <c r="AF118" s="28"/>
      <c r="AG118" s="28"/>
      <c r="AH118" s="28"/>
      <c r="AI118" s="28"/>
      <c r="AJ118" s="28"/>
      <c r="AK118" s="28"/>
      <c r="AL118" s="28"/>
      <c r="AM118" s="28"/>
      <c r="AN118" s="28"/>
      <c r="AO118" s="28"/>
      <c r="AP118" s="28"/>
      <c r="AQ118" s="28"/>
      <c r="AR118" s="28"/>
      <c r="AS118" s="67"/>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5"/>
    </row>
    <row r="119" spans="1:84" s="27" customFormat="1" ht="29" x14ac:dyDescent="0.3">
      <c r="A119" s="37"/>
      <c r="B119" s="1504"/>
      <c r="C119" s="1717" t="s">
        <v>697</v>
      </c>
      <c r="D119" s="319" t="s">
        <v>3</v>
      </c>
      <c r="E119" s="67" t="b">
        <f t="shared" si="15"/>
        <v>0</v>
      </c>
      <c r="F119" s="44"/>
      <c r="G119" s="44" t="str">
        <f t="shared" si="16"/>
        <v/>
      </c>
      <c r="H119" s="44"/>
      <c r="I119" s="44"/>
      <c r="J119" s="216" t="str">
        <f t="shared" si="17"/>
        <v/>
      </c>
      <c r="K119" s="216"/>
      <c r="L119" s="44"/>
      <c r="M119" s="122"/>
      <c r="N119" s="4485"/>
      <c r="O119" s="4549"/>
      <c r="P119" s="575"/>
      <c r="Q119" s="690" t="s">
        <v>3</v>
      </c>
      <c r="R119" s="263" t="b">
        <f>IF(OR(Q119="Compliant",Q119="FE with work-a-round",Q119="Functionally Equivalent"),TRUE,FALSE)</f>
        <v>0</v>
      </c>
      <c r="S119" s="261"/>
      <c r="T119" s="261"/>
      <c r="U119" s="575"/>
      <c r="V119" s="4485"/>
      <c r="W119" s="4553"/>
      <c r="X119" s="67"/>
      <c r="Y119" s="44"/>
      <c r="Z119" s="122"/>
      <c r="AA119" s="28"/>
      <c r="AB119" s="28"/>
      <c r="AC119" s="28"/>
      <c r="AD119" s="28"/>
      <c r="AE119" s="28"/>
      <c r="AF119" s="28"/>
      <c r="AG119" s="28"/>
      <c r="AH119" s="28"/>
      <c r="AI119" s="28"/>
      <c r="AJ119" s="28"/>
      <c r="AK119" s="28"/>
      <c r="AL119" s="28"/>
      <c r="AM119" s="28"/>
      <c r="AN119" s="28"/>
      <c r="AO119" s="28"/>
      <c r="AP119" s="28"/>
      <c r="AQ119" s="28"/>
      <c r="AR119" s="28"/>
      <c r="AS119" s="67"/>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5"/>
    </row>
    <row r="120" spans="1:84" s="27" customFormat="1" ht="29" x14ac:dyDescent="0.3">
      <c r="A120" s="37"/>
      <c r="B120" s="1504"/>
      <c r="C120" s="1717" t="s">
        <v>695</v>
      </c>
      <c r="D120" s="319" t="s">
        <v>3</v>
      </c>
      <c r="E120" s="67" t="b">
        <f t="shared" si="15"/>
        <v>0</v>
      </c>
      <c r="F120" s="44"/>
      <c r="G120" s="44" t="str">
        <f t="shared" si="16"/>
        <v/>
      </c>
      <c r="H120" s="44"/>
      <c r="I120" s="44"/>
      <c r="J120" s="216" t="str">
        <f t="shared" si="17"/>
        <v/>
      </c>
      <c r="K120" s="216"/>
      <c r="L120" s="44"/>
      <c r="M120" s="122"/>
      <c r="N120" s="4485"/>
      <c r="O120" s="4549"/>
      <c r="P120" s="122"/>
      <c r="Q120" s="690" t="s">
        <v>3</v>
      </c>
      <c r="R120" s="263" t="b">
        <f t="shared" ref="R120:R129" si="18">IF(OR(Q120="Compliant",Q120="FE with work-a-round",Q120="Functionally Equivalent"),TRUE,FALSE)</f>
        <v>0</v>
      </c>
      <c r="S120" s="44"/>
      <c r="T120" s="44"/>
      <c r="U120" s="122"/>
      <c r="V120" s="4485"/>
      <c r="W120" s="4553"/>
      <c r="X120" s="67"/>
      <c r="Y120" s="44"/>
      <c r="Z120" s="122"/>
      <c r="AA120" s="28"/>
      <c r="AB120" s="28"/>
      <c r="AC120" s="28"/>
      <c r="AD120" s="28"/>
      <c r="AE120" s="28"/>
      <c r="AF120" s="28"/>
      <c r="AG120" s="28"/>
      <c r="AH120" s="28"/>
      <c r="AI120" s="28"/>
      <c r="AJ120" s="28"/>
      <c r="AK120" s="28"/>
      <c r="AL120" s="28"/>
      <c r="AM120" s="28"/>
      <c r="AN120" s="28"/>
      <c r="AO120" s="28"/>
      <c r="AP120" s="28"/>
      <c r="AQ120" s="28"/>
      <c r="AR120" s="28"/>
      <c r="AS120" s="67"/>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5"/>
    </row>
    <row r="121" spans="1:84" s="27" customFormat="1" ht="29" x14ac:dyDescent="0.3">
      <c r="A121" s="37"/>
      <c r="B121" s="1504"/>
      <c r="C121" s="1717" t="s">
        <v>696</v>
      </c>
      <c r="D121" s="319" t="s">
        <v>3</v>
      </c>
      <c r="E121" s="67" t="b">
        <f t="shared" si="15"/>
        <v>0</v>
      </c>
      <c r="F121" s="44"/>
      <c r="G121" s="44" t="str">
        <f t="shared" si="16"/>
        <v/>
      </c>
      <c r="H121" s="44"/>
      <c r="I121" s="44"/>
      <c r="J121" s="216" t="str">
        <f t="shared" si="17"/>
        <v/>
      </c>
      <c r="K121" s="216"/>
      <c r="L121" s="44"/>
      <c r="M121" s="122"/>
      <c r="N121" s="4485"/>
      <c r="O121" s="4549"/>
      <c r="P121" s="122"/>
      <c r="Q121" s="690" t="s">
        <v>3</v>
      </c>
      <c r="R121" s="263" t="b">
        <f t="shared" si="18"/>
        <v>0</v>
      </c>
      <c r="S121" s="44"/>
      <c r="T121" s="44"/>
      <c r="U121" s="122"/>
      <c r="V121" s="4485"/>
      <c r="W121" s="4553"/>
      <c r="X121" s="67"/>
      <c r="Y121" s="44"/>
      <c r="Z121" s="122"/>
      <c r="AA121" s="28"/>
      <c r="AB121" s="28"/>
      <c r="AC121" s="28"/>
      <c r="AD121" s="28"/>
      <c r="AE121" s="28"/>
      <c r="AF121" s="28"/>
      <c r="AG121" s="28"/>
      <c r="AH121" s="28"/>
      <c r="AI121" s="28"/>
      <c r="AJ121" s="28"/>
      <c r="AK121" s="28"/>
      <c r="AL121" s="28"/>
      <c r="AM121" s="28"/>
      <c r="AN121" s="28"/>
      <c r="AO121" s="28"/>
      <c r="AP121" s="28"/>
      <c r="AQ121" s="28"/>
      <c r="AR121" s="28"/>
      <c r="AS121" s="67"/>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5"/>
    </row>
    <row r="122" spans="1:84" s="27" customFormat="1" ht="29" x14ac:dyDescent="0.3">
      <c r="A122" s="37"/>
      <c r="B122" s="1504"/>
      <c r="C122" s="1717" t="s">
        <v>698</v>
      </c>
      <c r="D122" s="319" t="s">
        <v>3</v>
      </c>
      <c r="E122" s="67" t="b">
        <f t="shared" si="15"/>
        <v>0</v>
      </c>
      <c r="F122" s="44"/>
      <c r="G122" s="44" t="str">
        <f t="shared" si="16"/>
        <v/>
      </c>
      <c r="H122" s="44"/>
      <c r="I122" s="44"/>
      <c r="J122" s="216" t="str">
        <f t="shared" si="17"/>
        <v/>
      </c>
      <c r="K122" s="216"/>
      <c r="L122" s="44"/>
      <c r="M122" s="122"/>
      <c r="N122" s="4485"/>
      <c r="O122" s="4549"/>
      <c r="P122" s="122"/>
      <c r="Q122" s="690" t="s">
        <v>3</v>
      </c>
      <c r="R122" s="263" t="b">
        <f t="shared" si="18"/>
        <v>0</v>
      </c>
      <c r="S122" s="44"/>
      <c r="T122" s="44"/>
      <c r="U122" s="122"/>
      <c r="V122" s="4485"/>
      <c r="W122" s="4553"/>
      <c r="X122" s="67"/>
      <c r="Y122" s="44"/>
      <c r="Z122" s="122"/>
      <c r="AA122" s="28"/>
      <c r="AB122" s="28"/>
      <c r="AC122" s="28"/>
      <c r="AD122" s="28"/>
      <c r="AE122" s="28"/>
      <c r="AF122" s="28"/>
      <c r="AG122" s="28"/>
      <c r="AH122" s="28"/>
      <c r="AI122" s="28"/>
      <c r="AJ122" s="28"/>
      <c r="AK122" s="28"/>
      <c r="AL122" s="28"/>
      <c r="AM122" s="28"/>
      <c r="AN122" s="28"/>
      <c r="AO122" s="28"/>
      <c r="AP122" s="28"/>
      <c r="AQ122" s="28"/>
      <c r="AR122" s="28"/>
      <c r="AS122" s="67"/>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5"/>
    </row>
    <row r="123" spans="1:84" s="27" customFormat="1" ht="29.5" thickBot="1" x14ac:dyDescent="0.35">
      <c r="A123" s="37"/>
      <c r="B123" s="1504"/>
      <c r="C123" s="1807" t="s">
        <v>699</v>
      </c>
      <c r="D123" s="849" t="s">
        <v>3</v>
      </c>
      <c r="E123" s="78" t="b">
        <f t="shared" si="15"/>
        <v>0</v>
      </c>
      <c r="F123" s="79"/>
      <c r="G123" s="79" t="str">
        <f t="shared" si="16"/>
        <v/>
      </c>
      <c r="H123" s="79"/>
      <c r="I123" s="79"/>
      <c r="J123" s="403" t="str">
        <f t="shared" si="17"/>
        <v/>
      </c>
      <c r="K123" s="403"/>
      <c r="L123" s="79"/>
      <c r="M123" s="127"/>
      <c r="N123" s="4551"/>
      <c r="O123" s="4550"/>
      <c r="P123" s="125"/>
      <c r="Q123" s="691" t="s">
        <v>3</v>
      </c>
      <c r="R123" s="694" t="b">
        <f t="shared" si="18"/>
        <v>0</v>
      </c>
      <c r="S123" s="79"/>
      <c r="T123" s="79"/>
      <c r="U123" s="127"/>
      <c r="V123" s="4486"/>
      <c r="W123" s="4554"/>
      <c r="X123" s="78"/>
      <c r="Y123" s="79"/>
      <c r="Z123" s="127"/>
      <c r="AA123" s="28"/>
      <c r="AB123" s="28"/>
      <c r="AC123" s="28"/>
      <c r="AD123" s="28"/>
      <c r="AE123" s="28"/>
      <c r="AF123" s="28"/>
      <c r="AG123" s="28"/>
      <c r="AH123" s="28"/>
      <c r="AI123" s="28"/>
      <c r="AJ123" s="28"/>
      <c r="AK123" s="28"/>
      <c r="AL123" s="28"/>
      <c r="AM123" s="28"/>
      <c r="AN123" s="28"/>
      <c r="AO123" s="28"/>
      <c r="AP123" s="28"/>
      <c r="AQ123" s="28"/>
      <c r="AR123" s="28"/>
      <c r="AS123" s="67"/>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5"/>
    </row>
    <row r="124" spans="1:84" s="27" customFormat="1" ht="29.5" thickTop="1" x14ac:dyDescent="0.3">
      <c r="A124" s="37">
        <v>9.3000000000000007</v>
      </c>
      <c r="B124" s="1504" t="s">
        <v>1765</v>
      </c>
      <c r="C124" s="1708" t="s">
        <v>611</v>
      </c>
      <c r="D124" s="229" t="s">
        <v>3</v>
      </c>
      <c r="E124" s="138" t="b">
        <f t="shared" si="15"/>
        <v>0</v>
      </c>
      <c r="F124" s="111"/>
      <c r="G124" s="111" t="str">
        <f t="shared" si="16"/>
        <v/>
      </c>
      <c r="H124" s="111"/>
      <c r="I124" s="111"/>
      <c r="J124" s="220" t="str">
        <f t="shared" si="17"/>
        <v/>
      </c>
      <c r="K124" s="220"/>
      <c r="L124" s="111"/>
      <c r="M124" s="120"/>
      <c r="N124" s="4557" t="s">
        <v>3</v>
      </c>
      <c r="O124" s="4567" t="b">
        <f>IF(OR(N124="Compliant",N124="FE with work-a-round",N124="Functionally Equivalent"),TRUE,FALSE)</f>
        <v>0</v>
      </c>
      <c r="P124" s="120"/>
      <c r="Q124" s="863" t="s">
        <v>3</v>
      </c>
      <c r="R124" s="933" t="b">
        <f t="shared" si="18"/>
        <v>0</v>
      </c>
      <c r="S124" s="111"/>
      <c r="T124" s="111"/>
      <c r="U124" s="120"/>
      <c r="V124" s="4484" t="s">
        <v>3</v>
      </c>
      <c r="W124" s="4556" t="b">
        <f>IF(OR(V124="Compliant",V124="FE with work-a-round",V124="Functionally Equivalent",V124="Not Required/Applicable"),TRUE,FALSE)</f>
        <v>0</v>
      </c>
      <c r="X124" s="138"/>
      <c r="Y124" s="111"/>
      <c r="Z124" s="120"/>
      <c r="AA124" s="28"/>
      <c r="AB124" s="28"/>
      <c r="AC124" s="28"/>
      <c r="AD124" s="28"/>
      <c r="AE124" s="28"/>
      <c r="AF124" s="28"/>
      <c r="AG124" s="28"/>
      <c r="AH124" s="28"/>
      <c r="AI124" s="28"/>
      <c r="AJ124" s="28"/>
      <c r="AK124" s="28"/>
      <c r="AL124" s="28"/>
      <c r="AM124" s="28"/>
      <c r="AN124" s="28"/>
      <c r="AO124" s="28"/>
      <c r="AP124" s="28"/>
      <c r="AQ124" s="28"/>
      <c r="AR124" s="28"/>
      <c r="AS124" s="67"/>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5"/>
    </row>
    <row r="125" spans="1:84" s="27" customFormat="1" ht="29" x14ac:dyDescent="0.3">
      <c r="A125" s="37">
        <v>9.4</v>
      </c>
      <c r="B125" s="1504"/>
      <c r="C125" s="1717" t="s">
        <v>451</v>
      </c>
      <c r="D125" s="319" t="s">
        <v>3</v>
      </c>
      <c r="E125" s="67" t="b">
        <f t="shared" si="15"/>
        <v>0</v>
      </c>
      <c r="F125" s="44"/>
      <c r="G125" s="44" t="str">
        <f t="shared" si="16"/>
        <v/>
      </c>
      <c r="H125" s="44"/>
      <c r="I125" s="44"/>
      <c r="J125" s="216" t="str">
        <f t="shared" si="17"/>
        <v/>
      </c>
      <c r="K125" s="216"/>
      <c r="L125" s="44"/>
      <c r="M125" s="122"/>
      <c r="N125" s="4485"/>
      <c r="O125" s="4561"/>
      <c r="P125" s="122"/>
      <c r="Q125" s="690" t="s">
        <v>3</v>
      </c>
      <c r="R125" s="263" t="b">
        <f t="shared" si="18"/>
        <v>0</v>
      </c>
      <c r="S125" s="44"/>
      <c r="T125" s="44"/>
      <c r="U125" s="122"/>
      <c r="V125" s="4485"/>
      <c r="W125" s="4556"/>
      <c r="X125" s="67"/>
      <c r="Y125" s="44"/>
      <c r="Z125" s="122"/>
      <c r="AA125" s="28"/>
      <c r="AB125" s="28"/>
      <c r="AC125" s="28"/>
      <c r="AD125" s="28"/>
      <c r="AE125" s="28"/>
      <c r="AF125" s="28"/>
      <c r="AG125" s="28"/>
      <c r="AH125" s="28"/>
      <c r="AI125" s="28"/>
      <c r="AJ125" s="28"/>
      <c r="AK125" s="28"/>
      <c r="AL125" s="28"/>
      <c r="AM125" s="28"/>
      <c r="AN125" s="28"/>
      <c r="AO125" s="28"/>
      <c r="AP125" s="28"/>
      <c r="AQ125" s="28"/>
      <c r="AR125" s="28"/>
      <c r="AS125" s="67"/>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5"/>
    </row>
    <row r="126" spans="1:84" s="27" customFormat="1" ht="29" x14ac:dyDescent="0.3">
      <c r="A126" s="37">
        <v>9.5</v>
      </c>
      <c r="B126" s="1504"/>
      <c r="C126" s="1717" t="s">
        <v>700</v>
      </c>
      <c r="D126" s="319" t="s">
        <v>3</v>
      </c>
      <c r="E126" s="67" t="b">
        <f t="shared" si="15"/>
        <v>0</v>
      </c>
      <c r="F126" s="44"/>
      <c r="G126" s="44" t="str">
        <f t="shared" si="16"/>
        <v/>
      </c>
      <c r="H126" s="44"/>
      <c r="I126" s="44"/>
      <c r="J126" s="216" t="str">
        <f t="shared" si="17"/>
        <v/>
      </c>
      <c r="K126" s="216"/>
      <c r="L126" s="44"/>
      <c r="M126" s="122"/>
      <c r="N126" s="4485"/>
      <c r="O126" s="4561"/>
      <c r="P126" s="122"/>
      <c r="Q126" s="690" t="s">
        <v>3</v>
      </c>
      <c r="R126" s="263" t="b">
        <f t="shared" si="18"/>
        <v>0</v>
      </c>
      <c r="S126" s="44"/>
      <c r="T126" s="44"/>
      <c r="U126" s="122"/>
      <c r="V126" s="4485"/>
      <c r="W126" s="4556"/>
      <c r="X126" s="67"/>
      <c r="Y126" s="44"/>
      <c r="Z126" s="122"/>
      <c r="AA126" s="28"/>
      <c r="AB126" s="28"/>
      <c r="AC126" s="28"/>
      <c r="AD126" s="28"/>
      <c r="AE126" s="28"/>
      <c r="AF126" s="28"/>
      <c r="AG126" s="28"/>
      <c r="AH126" s="28"/>
      <c r="AI126" s="28"/>
      <c r="AJ126" s="28"/>
      <c r="AK126" s="28"/>
      <c r="AL126" s="28"/>
      <c r="AM126" s="28"/>
      <c r="AN126" s="28"/>
      <c r="AO126" s="28"/>
      <c r="AP126" s="28"/>
      <c r="AQ126" s="28"/>
      <c r="AR126" s="28"/>
      <c r="AS126" s="67"/>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5"/>
    </row>
    <row r="127" spans="1:84" s="27" customFormat="1" ht="43.5" x14ac:dyDescent="0.3">
      <c r="A127" s="37">
        <v>9.6</v>
      </c>
      <c r="B127" s="1504"/>
      <c r="C127" s="1717" t="s">
        <v>701</v>
      </c>
      <c r="D127" s="319" t="s">
        <v>3</v>
      </c>
      <c r="E127" s="67" t="b">
        <f t="shared" si="15"/>
        <v>0</v>
      </c>
      <c r="F127" s="44"/>
      <c r="G127" s="44" t="str">
        <f t="shared" si="16"/>
        <v/>
      </c>
      <c r="H127" s="44"/>
      <c r="I127" s="44"/>
      <c r="J127" s="216" t="str">
        <f t="shared" si="17"/>
        <v/>
      </c>
      <c r="K127" s="216"/>
      <c r="L127" s="44"/>
      <c r="M127" s="122"/>
      <c r="N127" s="4485"/>
      <c r="O127" s="4561"/>
      <c r="P127" s="122"/>
      <c r="Q127" s="690" t="s">
        <v>3</v>
      </c>
      <c r="R127" s="263" t="b">
        <f t="shared" si="18"/>
        <v>0</v>
      </c>
      <c r="S127" s="44"/>
      <c r="T127" s="44"/>
      <c r="U127" s="122"/>
      <c r="V127" s="4485"/>
      <c r="W127" s="4556"/>
      <c r="X127" s="67"/>
      <c r="Y127" s="44"/>
      <c r="Z127" s="122"/>
      <c r="AA127" s="28"/>
      <c r="AB127" s="28"/>
      <c r="AC127" s="28"/>
      <c r="AD127" s="28"/>
      <c r="AE127" s="28"/>
      <c r="AF127" s="28"/>
      <c r="AG127" s="28"/>
      <c r="AH127" s="28"/>
      <c r="AI127" s="28"/>
      <c r="AJ127" s="28"/>
      <c r="AK127" s="28"/>
      <c r="AL127" s="28"/>
      <c r="AM127" s="28"/>
      <c r="AN127" s="28"/>
      <c r="AO127" s="28"/>
      <c r="AP127" s="28"/>
      <c r="AQ127" s="28"/>
      <c r="AR127" s="28"/>
      <c r="AS127" s="67"/>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5"/>
    </row>
    <row r="128" spans="1:84" s="27" customFormat="1" ht="87" x14ac:dyDescent="0.3">
      <c r="A128" s="37">
        <v>9.6999999999999993</v>
      </c>
      <c r="B128" s="1504"/>
      <c r="C128" s="1717" t="s">
        <v>454</v>
      </c>
      <c r="D128" s="319" t="s">
        <v>3</v>
      </c>
      <c r="E128" s="67" t="b">
        <f t="shared" si="15"/>
        <v>0</v>
      </c>
      <c r="F128" s="44"/>
      <c r="G128" s="44" t="str">
        <f t="shared" si="16"/>
        <v/>
      </c>
      <c r="H128" s="44"/>
      <c r="I128" s="44"/>
      <c r="J128" s="216" t="str">
        <f t="shared" si="17"/>
        <v/>
      </c>
      <c r="K128" s="216"/>
      <c r="L128" s="44"/>
      <c r="M128" s="122"/>
      <c r="N128" s="4485"/>
      <c r="O128" s="4561"/>
      <c r="P128" s="122"/>
      <c r="Q128" s="690" t="s">
        <v>3</v>
      </c>
      <c r="R128" s="263" t="b">
        <f t="shared" si="18"/>
        <v>0</v>
      </c>
      <c r="S128" s="44"/>
      <c r="T128" s="44"/>
      <c r="U128" s="122"/>
      <c r="V128" s="4485"/>
      <c r="W128" s="4556"/>
      <c r="X128" s="67"/>
      <c r="Y128" s="44"/>
      <c r="Z128" s="122"/>
      <c r="AA128" s="28"/>
      <c r="AB128" s="28"/>
      <c r="AC128" s="28"/>
      <c r="AD128" s="28"/>
      <c r="AE128" s="28"/>
      <c r="AF128" s="28"/>
      <c r="AG128" s="28"/>
      <c r="AH128" s="28"/>
      <c r="AI128" s="28"/>
      <c r="AJ128" s="28"/>
      <c r="AK128" s="28"/>
      <c r="AL128" s="28"/>
      <c r="AM128" s="28"/>
      <c r="AN128" s="28"/>
      <c r="AO128" s="28"/>
      <c r="AP128" s="28"/>
      <c r="AQ128" s="28"/>
      <c r="AR128" s="28"/>
      <c r="AS128" s="67"/>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5"/>
    </row>
    <row r="129" spans="1:84" s="27" customFormat="1" ht="29.5" thickBot="1" x14ac:dyDescent="0.35">
      <c r="A129" s="37">
        <v>9.8000000000000007</v>
      </c>
      <c r="B129" s="1505"/>
      <c r="C129" s="1800" t="s">
        <v>702</v>
      </c>
      <c r="D129" s="230" t="s">
        <v>3</v>
      </c>
      <c r="E129" s="161" t="b">
        <f t="shared" si="15"/>
        <v>0</v>
      </c>
      <c r="F129" s="124"/>
      <c r="G129" s="124" t="str">
        <f t="shared" si="16"/>
        <v/>
      </c>
      <c r="H129" s="124"/>
      <c r="I129" s="124"/>
      <c r="J129" s="218" t="str">
        <f t="shared" si="17"/>
        <v/>
      </c>
      <c r="K129" s="218"/>
      <c r="L129" s="124"/>
      <c r="M129" s="125"/>
      <c r="N129" s="4486"/>
      <c r="O129" s="4562"/>
      <c r="P129" s="125"/>
      <c r="Q129" s="691" t="s">
        <v>3</v>
      </c>
      <c r="R129" s="694" t="b">
        <f t="shared" si="18"/>
        <v>0</v>
      </c>
      <c r="S129" s="124"/>
      <c r="T129" s="124"/>
      <c r="U129" s="125"/>
      <c r="V129" s="4486"/>
      <c r="W129" s="4569"/>
      <c r="X129" s="161"/>
      <c r="Y129" s="124"/>
      <c r="Z129" s="125"/>
      <c r="AA129" s="28"/>
      <c r="AB129" s="28"/>
      <c r="AC129" s="28"/>
      <c r="AD129" s="28"/>
      <c r="AE129" s="28"/>
      <c r="AF129" s="28"/>
      <c r="AG129" s="28"/>
      <c r="AH129" s="28"/>
      <c r="AI129" s="28"/>
      <c r="AJ129" s="28"/>
      <c r="AK129" s="28"/>
      <c r="AL129" s="28"/>
      <c r="AM129" s="28"/>
      <c r="AN129" s="28"/>
      <c r="AO129" s="28"/>
      <c r="AP129" s="28"/>
      <c r="AQ129" s="28"/>
      <c r="AR129" s="28"/>
      <c r="AS129" s="67"/>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5"/>
    </row>
    <row r="130" spans="1:84" s="3794" customFormat="1" ht="15.5" thickTop="1" thickBot="1" x14ac:dyDescent="0.35">
      <c r="A130" s="4064"/>
      <c r="B130" s="3638"/>
      <c r="C130" s="3638"/>
      <c r="D130" s="3634"/>
      <c r="E130" s="3638"/>
      <c r="F130" s="3638"/>
      <c r="G130" s="3638"/>
      <c r="H130" s="3638"/>
      <c r="I130" s="3638"/>
      <c r="J130" s="3638"/>
      <c r="K130" s="3638"/>
      <c r="L130" s="3638"/>
      <c r="M130" s="3638"/>
      <c r="N130" s="3638"/>
      <c r="O130" s="3638"/>
      <c r="P130" s="3638"/>
      <c r="Q130" s="3638"/>
      <c r="R130" s="3638"/>
      <c r="S130" s="3638"/>
      <c r="T130" s="3638"/>
      <c r="U130" s="3638"/>
      <c r="V130" s="4065"/>
      <c r="W130" s="3641"/>
      <c r="X130" s="4047"/>
      <c r="Y130" s="3634"/>
      <c r="Z130" s="3634"/>
      <c r="AA130" s="3634"/>
      <c r="AB130" s="3634"/>
      <c r="AC130" s="3634"/>
      <c r="AD130" s="3634"/>
      <c r="AE130" s="3634"/>
      <c r="AF130" s="3634"/>
      <c r="AG130" s="3634"/>
      <c r="AH130" s="3634"/>
      <c r="AI130" s="3634"/>
      <c r="AJ130" s="3634"/>
      <c r="AK130" s="3634"/>
      <c r="AL130" s="3634"/>
      <c r="AM130" s="3634"/>
      <c r="AN130" s="3634"/>
      <c r="AO130" s="3634"/>
      <c r="AP130" s="3634"/>
      <c r="AQ130" s="3634"/>
      <c r="AR130" s="3634"/>
      <c r="AS130" s="3666"/>
      <c r="AT130" s="3667"/>
      <c r="AU130" s="3667"/>
      <c r="AV130" s="3667"/>
      <c r="AW130" s="3667"/>
      <c r="AX130" s="3667"/>
      <c r="AY130" s="3667"/>
      <c r="AZ130" s="3667"/>
      <c r="BA130" s="3667"/>
      <c r="BB130" s="3667"/>
      <c r="BC130" s="3667"/>
      <c r="BD130" s="3667"/>
      <c r="BE130" s="3667"/>
      <c r="BF130" s="3667"/>
      <c r="BG130" s="3667"/>
      <c r="BH130" s="3667"/>
      <c r="BI130" s="3667"/>
      <c r="BJ130" s="3667"/>
      <c r="BK130" s="3667"/>
      <c r="BL130" s="3667"/>
      <c r="BM130" s="3667"/>
      <c r="BN130" s="3667"/>
      <c r="BO130" s="3667"/>
      <c r="BP130" s="3667"/>
      <c r="BQ130" s="3667"/>
      <c r="BR130" s="3667"/>
      <c r="BS130" s="3667"/>
      <c r="BT130" s="3667"/>
      <c r="BU130" s="3667"/>
      <c r="BV130" s="3667"/>
      <c r="BW130" s="3667"/>
      <c r="BX130" s="3667"/>
      <c r="BY130" s="3667"/>
      <c r="BZ130" s="3667"/>
      <c r="CA130" s="3667"/>
      <c r="CB130" s="3667"/>
      <c r="CC130" s="3667"/>
      <c r="CD130" s="3667"/>
      <c r="CE130" s="3667"/>
      <c r="CF130" s="4048"/>
    </row>
    <row r="131" spans="1:84" s="27" customFormat="1" ht="44.5" thickTop="1" thickBot="1" x14ac:dyDescent="0.35">
      <c r="A131" s="100">
        <v>10</v>
      </c>
      <c r="B131" s="1855" t="s">
        <v>456</v>
      </c>
      <c r="C131" s="1856" t="s">
        <v>703</v>
      </c>
      <c r="D131" s="102" t="s">
        <v>3</v>
      </c>
      <c r="E131" s="591" t="b">
        <f>IF(D131="Compliant",TRUE,FALSE)</f>
        <v>0</v>
      </c>
      <c r="F131" s="215">
        <f>COUNTIF(E131,TRUE)</f>
        <v>0</v>
      </c>
      <c r="G131" s="215" t="str">
        <f>IF(I131&lt;&gt;"", "Not Blank", "")</f>
        <v/>
      </c>
      <c r="H131" s="215"/>
      <c r="I131" s="215"/>
      <c r="J131" s="403" t="str">
        <f>IF(L131&lt;&gt;"", "Not Blank", "")</f>
        <v/>
      </c>
      <c r="K131" s="216"/>
      <c r="L131" s="133"/>
      <c r="M131" s="902"/>
      <c r="N131" s="893" t="s">
        <v>3</v>
      </c>
      <c r="O131" s="896" t="b">
        <f>IF(OR(N131="Compliant",N131="FE with work-a-round",N131="Functionally Equivalent"),TRUE,FALSE)</f>
        <v>0</v>
      </c>
      <c r="P131" s="336"/>
      <c r="Q131" s="693" t="s">
        <v>3</v>
      </c>
      <c r="R131" s="689" t="b">
        <f>IF(OR(Q131="Compliant",Q131="FE with work-a-round",Q131="Functionally Equivalent"),TRUE,FALSE)</f>
        <v>0</v>
      </c>
      <c r="S131" s="336"/>
      <c r="T131" s="336"/>
      <c r="U131" s="337"/>
      <c r="V131" s="841" t="s">
        <v>3</v>
      </c>
      <c r="W131" s="1098" t="b">
        <f>IF(OR(V131="Compliant",V131="FE with work-a-round",V131="Functionally Equivalent",V131="Not Required/Applicable"),TRUE,FALSE)</f>
        <v>0</v>
      </c>
      <c r="X131" s="132"/>
      <c r="Y131" s="133"/>
      <c r="Z131" s="134"/>
      <c r="AA131" s="28"/>
      <c r="AB131" s="28"/>
      <c r="AC131" s="28"/>
      <c r="AD131" s="28"/>
      <c r="AE131" s="28"/>
      <c r="AF131" s="28"/>
      <c r="AG131" s="28"/>
      <c r="AH131" s="28"/>
      <c r="AI131" s="28"/>
      <c r="AJ131" s="28"/>
      <c r="AK131" s="28"/>
      <c r="AL131" s="28"/>
      <c r="AM131" s="28"/>
      <c r="AN131" s="28"/>
      <c r="AO131" s="28"/>
      <c r="AP131" s="28"/>
      <c r="AQ131" s="28"/>
      <c r="AR131" s="28"/>
      <c r="AS131" s="67"/>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5"/>
    </row>
    <row r="132" spans="1:84" s="3634" customFormat="1" ht="15" thickTop="1" x14ac:dyDescent="0.3">
      <c r="A132" s="3729"/>
      <c r="J132" s="4049"/>
      <c r="K132" s="3729"/>
      <c r="L132" s="3729"/>
      <c r="M132" s="3729"/>
      <c r="N132" s="4010"/>
      <c r="O132" s="3636"/>
      <c r="V132" s="3700"/>
      <c r="W132" s="3735"/>
      <c r="X132" s="3729"/>
      <c r="Y132" s="3729"/>
      <c r="AS132" s="3680"/>
      <c r="AT132" s="3681"/>
      <c r="AU132" s="3681"/>
      <c r="AV132" s="3681"/>
      <c r="AW132" s="3681"/>
      <c r="AX132" s="3681"/>
      <c r="AY132" s="3681"/>
      <c r="AZ132" s="3681"/>
      <c r="BA132" s="3681"/>
      <c r="BB132" s="3681"/>
      <c r="BC132" s="3681"/>
      <c r="BD132" s="3681"/>
      <c r="BE132" s="3681"/>
      <c r="BF132" s="3681"/>
      <c r="BG132" s="3681"/>
      <c r="BH132" s="3681"/>
      <c r="BI132" s="3681"/>
      <c r="BJ132" s="3681"/>
      <c r="BK132" s="3681"/>
      <c r="BL132" s="3681"/>
      <c r="BM132" s="3681"/>
      <c r="BN132" s="3681"/>
      <c r="BO132" s="3681"/>
      <c r="BP132" s="3681"/>
      <c r="BQ132" s="3681"/>
      <c r="BR132" s="3681"/>
      <c r="BS132" s="3681"/>
      <c r="BT132" s="3681"/>
      <c r="BU132" s="3681"/>
      <c r="BV132" s="3681"/>
      <c r="BW132" s="3681"/>
      <c r="BX132" s="3681"/>
      <c r="BY132" s="3681"/>
      <c r="BZ132" s="3681"/>
      <c r="CA132" s="3681"/>
      <c r="CB132" s="3681"/>
      <c r="CC132" s="3681"/>
      <c r="CD132" s="3681"/>
      <c r="CE132" s="3681"/>
      <c r="CF132" s="3682"/>
    </row>
    <row r="133" spans="1:84" s="3640" customFormat="1" ht="18.649999999999999" customHeight="1" x14ac:dyDescent="0.3">
      <c r="A133" s="4482" t="s">
        <v>1133</v>
      </c>
      <c r="B133" s="4483"/>
      <c r="C133" s="4483"/>
      <c r="D133" s="4483"/>
      <c r="E133" s="4483"/>
      <c r="F133" s="4483"/>
      <c r="G133" s="4483"/>
      <c r="H133" s="4483"/>
      <c r="I133" s="4483"/>
      <c r="J133" s="4483"/>
      <c r="K133" s="4483"/>
      <c r="L133" s="4483"/>
      <c r="M133" s="4483"/>
      <c r="N133" s="4483"/>
      <c r="O133" s="3669"/>
      <c r="P133" s="3670"/>
      <c r="Q133" s="3670"/>
      <c r="R133" s="4050"/>
      <c r="S133" s="3671"/>
      <c r="T133" s="3672"/>
      <c r="U133" s="3672"/>
      <c r="V133" s="3673"/>
      <c r="W133" s="4051"/>
      <c r="X133" s="3674"/>
      <c r="Y133" s="3675"/>
      <c r="Z133" s="3676"/>
    </row>
    <row r="134" spans="1:84" s="3634" customFormat="1" ht="15" thickBot="1" x14ac:dyDescent="0.35">
      <c r="A134" s="3638"/>
      <c r="B134" s="3638"/>
      <c r="C134" s="3638"/>
      <c r="E134" s="3638"/>
      <c r="F134" s="3638"/>
      <c r="G134" s="3638"/>
      <c r="H134" s="3638"/>
      <c r="I134" s="3638"/>
      <c r="J134" s="3638"/>
      <c r="K134" s="3638"/>
      <c r="L134" s="3638"/>
      <c r="M134" s="3638"/>
      <c r="N134" s="3637"/>
      <c r="O134" s="3636"/>
      <c r="V134" s="3639"/>
      <c r="W134" s="3641"/>
      <c r="AS134" s="3687"/>
      <c r="AT134" s="3688"/>
      <c r="AU134" s="3688"/>
      <c r="AV134" s="3688"/>
      <c r="AW134" s="3688"/>
      <c r="AX134" s="3688"/>
      <c r="AY134" s="3688"/>
      <c r="AZ134" s="3688"/>
      <c r="BA134" s="3688"/>
      <c r="BB134" s="3688"/>
      <c r="BC134" s="3688"/>
      <c r="BD134" s="3688"/>
      <c r="BE134" s="3688"/>
      <c r="BF134" s="3688"/>
      <c r="BG134" s="3688"/>
      <c r="BH134" s="3688"/>
      <c r="BI134" s="3688"/>
      <c r="BJ134" s="3688"/>
      <c r="BK134" s="3688"/>
      <c r="BL134" s="3688"/>
      <c r="BM134" s="3688"/>
      <c r="BN134" s="3688"/>
      <c r="BO134" s="3688"/>
      <c r="BP134" s="3688"/>
      <c r="BQ134" s="3688"/>
      <c r="BR134" s="3688"/>
      <c r="BS134" s="3688"/>
      <c r="BT134" s="3688"/>
      <c r="BU134" s="3688"/>
      <c r="BV134" s="3688"/>
      <c r="BW134" s="3688"/>
      <c r="BX134" s="3688"/>
      <c r="BY134" s="3688"/>
      <c r="BZ134" s="3688"/>
      <c r="CA134" s="3688"/>
      <c r="CB134" s="3688"/>
      <c r="CC134" s="3688"/>
      <c r="CD134" s="3688"/>
      <c r="CE134" s="3688"/>
      <c r="CF134" s="3689"/>
    </row>
    <row r="135" spans="1:84" s="28" customFormat="1" ht="41.5" customHeight="1" thickTop="1" thickBot="1" x14ac:dyDescent="0.35">
      <c r="A135" s="97">
        <v>11</v>
      </c>
      <c r="B135" s="1857" t="s">
        <v>769</v>
      </c>
      <c r="C135" s="1709" t="s">
        <v>565</v>
      </c>
      <c r="D135" s="1640" t="s">
        <v>565</v>
      </c>
      <c r="E135" s="995" t="b">
        <f>IF(AND(E136=TRUE,E140=TRUE),TRUE,FALSE)</f>
        <v>0</v>
      </c>
      <c r="F135" s="689">
        <f>SUM(F136,F140)</f>
        <v>0</v>
      </c>
      <c r="G135" s="689">
        <f>SUM(G136,G140)</f>
        <v>0</v>
      </c>
      <c r="H135" s="689">
        <f>SUM(H136,H140)</f>
        <v>0</v>
      </c>
      <c r="I135" s="1497" t="str">
        <f xml:space="preserve">
IF(F135&gt;42,"Too Many Entries - Check Red Lines",
IF(AND(E135=FALSE,G135=0,H135=0,E135=TRUE),"Nothing Required Below",
IF(G135&lt;F135,"Valid Entry required below - Check Amber Line/s",
IF(AND(E135=FALSE,G135=0,H135=0),"Nothing Entered below Yet",
IF(G135&lt;F135,"Valid Entry required below - Check Amber Line/s",
IF(AND(G135=0,H135&gt;0),"**Non-Valid Entry/ies below - Check Yellow Line/s",
IF(AND(G135&gt;0,H135&gt;0),"**Valid and Non-Valid Entries made below - Check Yellow Line/s",
IF(AND(E135=FALSE,F135&lt;42),"Not all requirements addressed below - Check Pink Line/s",
IF(AND(E135=FALSE,G135&lt;42,G135&gt;0,H135=0),"More entries to come",
IF(AND(E135,TRUE,G135=42,H135=0),"Valid Entries made below"
))))))))))</f>
        <v>Nothing Entered below Yet</v>
      </c>
      <c r="J135" s="1497">
        <f>SUM(J136,J140)</f>
        <v>0</v>
      </c>
      <c r="K135" s="1497">
        <f>SUM(K136,K140)</f>
        <v>0</v>
      </c>
      <c r="L135" s="1497" t="str">
        <f xml:space="preserve">
IF(J135&gt;45,"Too Many Entries - Check Red Lines",
IF(AND(E135=FALSE,J135=0,K135=0,E134=TRUE),"Nothing Required Below",
IF(J135&lt;F135,"Valid Entry required below - Check Amber Line/s",
IF(AND(E135=FALSE,J135=0,K135=0),"Nothing Entered below Yet",
IF(AND(J135=0,K135&gt;0),"**Non-Valid Entry/ies below - Check Yellow Line/s",
IF(AND(J135&gt;0,K135&gt;0),"**Valid and Non-Valid Entries made below - Check Yellow Line/s",
IF(AND(E135=FALSE,J135&lt;45),"Not all requirements addressed below - Check Pink Line/s",
IF(AND(E135=FALSE,J135&lt;45,J135&gt;0,K135=0),"More entries to come",
IF(AND(E135,TRUE,J135=45,K135=0),"Valid Entries made below"
)))))))))</f>
        <v>Nothing Entered below Yet</v>
      </c>
      <c r="M135" s="134"/>
      <c r="N135" s="1640" t="s">
        <v>565</v>
      </c>
      <c r="O135" s="132" t="b">
        <f>IF(AND(O136=TRUE,O140=TRUE),TRUE,FALSE)</f>
        <v>0</v>
      </c>
      <c r="P135" s="703"/>
      <c r="Q135" s="1640" t="s">
        <v>565</v>
      </c>
      <c r="R135" s="734" t="b">
        <f>IF(AND(R136=TRUE,R140=TRUE),TRUE,FALSE)</f>
        <v>0</v>
      </c>
      <c r="S135" s="336"/>
      <c r="T135" s="336"/>
      <c r="U135" s="640"/>
      <c r="V135" s="1640" t="s">
        <v>565</v>
      </c>
      <c r="W135" s="1092" t="b">
        <f>IF(AND(W136=TRUE,W140=TRUE),TRUE,FALSE)</f>
        <v>0</v>
      </c>
      <c r="X135" s="231"/>
      <c r="Y135" s="133"/>
      <c r="Z135" s="134"/>
      <c r="AS135" s="67"/>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68"/>
    </row>
    <row r="136" spans="1:84" s="28" customFormat="1" ht="30" thickTop="1" thickBot="1" x14ac:dyDescent="0.35">
      <c r="A136" s="66"/>
      <c r="B136" s="1810" t="s">
        <v>1382</v>
      </c>
      <c r="C136" s="2175" t="s">
        <v>1145</v>
      </c>
      <c r="D136" s="1645" t="s">
        <v>565</v>
      </c>
      <c r="E136" s="978" t="b">
        <f>IF(AND(E137=TRUE,E138=TRUE,E139=TRUE),TRUE,FALSE)</f>
        <v>0</v>
      </c>
      <c r="F136" s="979">
        <f>COUNTIF(E137:E139,TRUE)</f>
        <v>0</v>
      </c>
      <c r="G136" s="979">
        <f>COUNTIFS(E137:E139,TRUE,G137:G139,"Not Blank")</f>
        <v>0</v>
      </c>
      <c r="H136" s="979">
        <f>COUNTIFS(E137:E139,FALSE,G137:G139,"Not Blank")</f>
        <v>0</v>
      </c>
      <c r="I136" s="1648" t="str">
        <f xml:space="preserve">
IF(F136&gt;3,"Too Many Entries - Check Red Lines",
IF(AND(E136=FALSE,G136=0,H136=0,E136=TRUE),"Nothing Required Below",
IF(G136&lt;F136,"Valid Entry required below - Check Amber Line/s",
IF(AND(E136=FALSE,G136=0,H136=0),"Nothing Entered below Yet",
IF(G136&lt;F136,"Valid Entry required below - Check Amber Line/s",
IF(AND(G136=0,H136&gt;0),"**Non-Valid Entry/ies below - Check Yellow Line/s",
IF(AND(G136&gt;0,H136&gt;0),"**Valid and Non-Valid Entries made below - Check Yellow Line/s",
IF(AND(E136=FALSE,F136&lt;3),"Not all requirements addressed below - Check Pink Line/s",
IF(AND(E136=FALSE,G136&lt;3,G136&gt;0,H136=0),"More entries to come",
IF(AND(E136,TRUE,G136=3,H136=0),"Valid Entries made below"
))))))))))</f>
        <v>Nothing Entered below Yet</v>
      </c>
      <c r="J136" s="1647">
        <f>COUNTIFS(E137:E139,TRUE,J137:J139,"Not Blank")</f>
        <v>0</v>
      </c>
      <c r="K136" s="1647">
        <f>COUNTIFS(E137:E139,FALSE,J137:J139,"Not Blank")</f>
        <v>0</v>
      </c>
      <c r="L136" s="1648" t="str">
        <f xml:space="preserve">
IF(J136&gt;3,"Too Many Entries - Check Red Lines",
IF(AND(E136=FALSE,J136=0,K136=0,E135=TRUE),"Nothing Required Below",
IF(J136&lt;F136,"Valid Entry required below - Check Amber Line/s",
IF(AND(E136=FALSE,J136=0,K136=0),"Nothing Entered below Yet",
IF(AND(J136=0,K136&gt;0),"**Non-Valid Entry/ies below - Check Yellow Line/s",
IF(AND(J136&gt;0,K136&gt;0),"**Valid and Non-Valid Entries made below - Check Yellow Line/s",
IF(AND(E136=FALSE,J136&lt;3),"Not all requirements addressed below - Check Pink Line/s",
IF(AND(E136=FALSE,J136&lt;3,J136&gt;0,K136=0),"More entries to come",
IF(AND(E136,TRUE,J136=3,K136=0),"Valid Entries made below"
)))))))))</f>
        <v>Nothing Entered below Yet</v>
      </c>
      <c r="M136" s="136"/>
      <c r="N136" s="4484" t="s">
        <v>3</v>
      </c>
      <c r="O136" s="4542" t="b">
        <f>IF(OR(N136="Compliant",N136="FE with work-a-round",N136="Functionally Equivalent"),TRUE,FALSE)</f>
        <v>0</v>
      </c>
      <c r="Q136" s="2210" t="s">
        <v>565</v>
      </c>
      <c r="R136" s="918" t="b">
        <f>IF(AND(R137=TRUE,R138=TRUE,R139=TRUE),TRUE,FALSE)</f>
        <v>0</v>
      </c>
      <c r="S136" s="42"/>
      <c r="T136" s="42"/>
      <c r="U136" s="128"/>
      <c r="V136" s="4485" t="s">
        <v>3</v>
      </c>
      <c r="W136" s="4543" t="b">
        <f>IF(OR(V136="Compliant",V136="FE with work-a-round",V136="Functionally Equivalent",V136="Not Required/Applicable"),TRUE,FALSE)</f>
        <v>0</v>
      </c>
      <c r="X136" s="41"/>
      <c r="Y136" s="42"/>
      <c r="Z136" s="128"/>
      <c r="AS136" s="67"/>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68"/>
    </row>
    <row r="137" spans="1:84" s="28" customFormat="1" ht="59" thickTop="1" thickBot="1" x14ac:dyDescent="0.35">
      <c r="B137" s="1504"/>
      <c r="C137" s="1806" t="s">
        <v>1792</v>
      </c>
      <c r="D137" s="2168" t="s">
        <v>3</v>
      </c>
      <c r="E137" s="67" t="b">
        <f>IF(D137="Compliant",TRUE,FALSE)</f>
        <v>0</v>
      </c>
      <c r="F137" s="44"/>
      <c r="G137" s="44" t="str">
        <f>IF(I137&lt;&gt;"", "Not Blank", "")</f>
        <v/>
      </c>
      <c r="H137" s="44"/>
      <c r="I137" s="2164"/>
      <c r="J137" s="216" t="str">
        <f>IF(L137&lt;&gt;"", "Not Blank", "")</f>
        <v/>
      </c>
      <c r="K137" s="216"/>
      <c r="L137" s="2164"/>
      <c r="M137" s="2177"/>
      <c r="N137" s="4485"/>
      <c r="O137" s="4542"/>
      <c r="P137" s="2177"/>
      <c r="Q137" s="2180" t="s">
        <v>3</v>
      </c>
      <c r="R137" s="263" t="b">
        <f>IF(OR(Q137="Compliant",Q137="FE with work-a-round",Q137="Functionally Equivalent"),TRUE,FALSE)</f>
        <v>0</v>
      </c>
      <c r="S137" s="44"/>
      <c r="T137" s="44"/>
      <c r="U137" s="122"/>
      <c r="V137" s="4485"/>
      <c r="W137" s="4543"/>
      <c r="X137" s="67"/>
      <c r="Y137" s="44"/>
      <c r="Z137" s="122"/>
      <c r="AS137" s="67"/>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68"/>
    </row>
    <row r="138" spans="1:84" s="28" customFormat="1" ht="44.5" thickTop="1" thickBot="1" x14ac:dyDescent="0.35">
      <c r="B138" s="1504"/>
      <c r="C138" s="1717" t="s">
        <v>1143</v>
      </c>
      <c r="D138" s="319" t="s">
        <v>3</v>
      </c>
      <c r="E138" s="67" t="b">
        <f>IF(D138="Compliant",TRUE,FALSE)</f>
        <v>0</v>
      </c>
      <c r="F138" s="44"/>
      <c r="G138" s="44" t="str">
        <f>IF(I138&lt;&gt;"", "Not Blank", "")</f>
        <v/>
      </c>
      <c r="H138" s="44"/>
      <c r="I138" s="44"/>
      <c r="J138" s="216" t="str">
        <f>IF(L138&lt;&gt;"", "Not Blank", "")</f>
        <v/>
      </c>
      <c r="K138" s="216"/>
      <c r="L138" s="44"/>
      <c r="M138" s="122"/>
      <c r="N138" s="4485"/>
      <c r="O138" s="4542"/>
      <c r="P138" s="67"/>
      <c r="Q138" s="690" t="s">
        <v>3</v>
      </c>
      <c r="R138" s="263" t="b">
        <f>IF(OR(Q138="Compliant",Q138="FE with work-a-round",Q138="Functionally Equivalent"),TRUE,FALSE)</f>
        <v>0</v>
      </c>
      <c r="S138" s="44"/>
      <c r="T138" s="44"/>
      <c r="U138" s="122"/>
      <c r="V138" s="4485"/>
      <c r="W138" s="4543"/>
      <c r="X138" s="67"/>
      <c r="Y138" s="44"/>
      <c r="Z138" s="122"/>
      <c r="AS138" s="67"/>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68"/>
    </row>
    <row r="139" spans="1:84" s="28" customFormat="1" ht="30" thickTop="1" thickBot="1" x14ac:dyDescent="0.35">
      <c r="B139" s="1508"/>
      <c r="C139" s="1807" t="s">
        <v>1144</v>
      </c>
      <c r="D139" s="849" t="s">
        <v>3</v>
      </c>
      <c r="E139" s="78" t="b">
        <f>IF(D139="Compliant",TRUE,FALSE)</f>
        <v>0</v>
      </c>
      <c r="F139" s="79"/>
      <c r="G139" s="79" t="str">
        <f>IF(I139&lt;&gt;"", "Not Blank", "")</f>
        <v/>
      </c>
      <c r="H139" s="79"/>
      <c r="I139" s="79"/>
      <c r="J139" s="403" t="str">
        <f>IF(L139&lt;&gt;"", "Not Blank", "")</f>
        <v/>
      </c>
      <c r="K139" s="403"/>
      <c r="L139" s="79"/>
      <c r="M139" s="127"/>
      <c r="N139" s="4486"/>
      <c r="O139" s="4542"/>
      <c r="P139" s="78"/>
      <c r="Q139" s="692" t="s">
        <v>3</v>
      </c>
      <c r="R139" s="973" t="b">
        <f>IF(OR(Q139="Compliant",Q139="FE with work-a-round",Q139="Functionally Equivalent"),TRUE,FALSE)</f>
        <v>0</v>
      </c>
      <c r="S139" s="79"/>
      <c r="T139" s="79"/>
      <c r="U139" s="127"/>
      <c r="V139" s="4485"/>
      <c r="W139" s="4543"/>
      <c r="X139" s="78"/>
      <c r="Y139" s="79"/>
      <c r="Z139" s="127"/>
      <c r="AS139" s="67"/>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68"/>
    </row>
    <row r="140" spans="1:84" s="28" customFormat="1" ht="30" thickTop="1" thickBot="1" x14ac:dyDescent="0.35">
      <c r="A140" s="37"/>
      <c r="B140" s="1857" t="s">
        <v>1383</v>
      </c>
      <c r="C140" s="1809" t="s">
        <v>1142</v>
      </c>
      <c r="D140" s="1499" t="s">
        <v>565</v>
      </c>
      <c r="E140" s="995" t="b">
        <f>IF(AND(E141=TRUE,E152=TRUE,E163=TRUE),TRUE,FALSE)</f>
        <v>0</v>
      </c>
      <c r="F140" s="689">
        <f>SUM(F141,F152,F163)</f>
        <v>0</v>
      </c>
      <c r="G140" s="689">
        <f>COUNTIF(E142:E151,TRUE)+COUNTIFS(E153:E162,TRUE)+COUNTIFS(E164:E185,TRUE)</f>
        <v>0</v>
      </c>
      <c r="H140" s="689">
        <f>SUM(H141,H152,H163)</f>
        <v>0</v>
      </c>
      <c r="I140" s="1497" t="str">
        <f xml:space="preserve">
IF(F140&gt;42,"Too Many Entries - Check Red Lines",
IF(AND(E140=FALSE,G140=0,H140=0,E140=TRUE),"Nothing Required Below",
IF(G140&lt;F140,"Valid Entry required below - Check Amber Line/s",
IF(AND(E140=FALSE,G140=0,H140=0),"Nothing Entered below Yet",
IF(G140&lt;F140,"Valid Entry required below - Check Amber Line/s",
IF(AND(G140=0,H140&gt;0),"**Non-Valid Entry/ies below - Check Yellow Line/s",
IF(AND(G140&gt;0,H140&gt;0),"**Valid and Non-Valid Entries made below - Check Yellow Line/s",
IF(AND(E140=FALSE,F140&lt;42),"Not all requirements addressed below - Check Pink Line/s",
IF(AND(E140=FALSE,G140&lt;42,G140&gt;0,H140=0),"More entries to come",
IF(AND(E140,TRUE,G140=42,H140=0),"Valid Entries made below"
))))))))))</f>
        <v>Nothing Entered below Yet</v>
      </c>
      <c r="J140" s="1497">
        <f>SUM(J141,J152,J163,)</f>
        <v>0</v>
      </c>
      <c r="K140" s="1497">
        <f>SUM(K141,K152,K163)</f>
        <v>0</v>
      </c>
      <c r="L140" s="1497" t="str">
        <f xml:space="preserve">
IF(J140&gt;42,"Too Many Entries - Check Red Lines",
IF(AND(E140=FALSE,J140=0,K140=0,E139=TRUE),"Nothing Required Below",
IF(J140&lt;F140,"Valid Entry required below - Check Amber Line/s",
IF(AND(E140=FALSE,J140=0,K140=0),"Nothing Entered below Yet",
IF(AND(J140=0,K140&gt;0),"**Non-Valid Entry/ies below - Check Yellow Line/s",
IF(AND(J140&gt;0,K140&gt;0),"**Valid and Non-Valid Entries made below - Check Yellow Line/s",
IF(AND(E140=FALSE,J140&lt;42),"Not all requirements addressed below - Check Pink Line/s",
IF(AND(E140=FALSE,J140&lt;42,J140&gt;0,K140=0),"More entries to come",
IF(AND(E140,TRUE,J140=42,K140=0),"Valid Entries made below"
)))))))))</f>
        <v>Nothing Entered below Yet</v>
      </c>
      <c r="M140" s="134"/>
      <c r="N140" s="1640" t="s">
        <v>565</v>
      </c>
      <c r="O140" s="231" t="b">
        <f>IF(AND(O141=TRUE,O152=TRUE,O163=TRUE),TRUE,FALSE)</f>
        <v>0</v>
      </c>
      <c r="P140" s="703"/>
      <c r="Q140" s="1640" t="s">
        <v>565</v>
      </c>
      <c r="R140" s="734" t="b">
        <f>IF(AND(R141=TRUE,R152=TRUE,R163=TRUE),TRUE,FALSE)</f>
        <v>0</v>
      </c>
      <c r="S140" s="336"/>
      <c r="T140" s="336"/>
      <c r="U140" s="640"/>
      <c r="V140" s="1640" t="s">
        <v>565</v>
      </c>
      <c r="W140" s="1092" t="b">
        <f>IF(AND(W141=TRUE,W152=TRUE,W163=TRUE),TRUE,FALSE)</f>
        <v>0</v>
      </c>
      <c r="X140" s="231"/>
      <c r="Y140" s="133"/>
      <c r="Z140" s="134"/>
      <c r="AS140" s="67"/>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68"/>
    </row>
    <row r="141" spans="1:84" s="28" customFormat="1" ht="44.5" thickTop="1" thickBot="1" x14ac:dyDescent="0.35">
      <c r="B141" s="1810" t="s">
        <v>1384</v>
      </c>
      <c r="C141" s="2275" t="s">
        <v>770</v>
      </c>
      <c r="D141" s="2343" t="s">
        <v>565</v>
      </c>
      <c r="E141" s="978" t="b">
        <f>IF(AND(E142=TRUE,E143=TRUE,E144=TRUE,E145=TRUE,E146=TRUE,E147=TRUE,E148=TRUE,E149=TRUE,E150=TRUE,E151=TRUE,E152=TRUE),TRUE,FALSE)</f>
        <v>0</v>
      </c>
      <c r="F141" s="979">
        <f>COUNTIF(E142:E151,TRUE)</f>
        <v>0</v>
      </c>
      <c r="G141" s="979">
        <f>COUNTIFS(E142:E151,TRUE,G142:G151,"Not Blank")</f>
        <v>0</v>
      </c>
      <c r="H141" s="979">
        <f>COUNTIFS(E142:E151,FALSE,G142:G151,"Not Blank")</f>
        <v>0</v>
      </c>
      <c r="I141" s="2155" t="str">
        <f xml:space="preserve">
IF(F141&gt;10,"Too Many Entries - Check Red Lines",
IF(AND(E141=FALSE,G141=0,H141=0,E141=TRUE),"Nothing Required Below",
IF(G141&lt;F141,"Valid Entry required below - Check Amber Line/s",
IF(AND(E141=FALSE,G141=0,H141=0),"Nothing Entered below Yet",
IF(G141&lt;F141,"Valid Entry required below - Check Amber Line/s",
IF(AND(G141=0,H141&gt;0),"**Non-Valid Entry/ies below - Check Yellow Line/s",
IF(AND(G141&gt;0,H141&gt;0),"**Valid and Non-Valid Entries made below - Check Yellow Line/s",
IF(AND(E141=FALSE,F141&lt;10),"Not all requirements addressed below - Check Pink Line/s",
IF(AND(E141=FALSE,G141&lt;10,G141&gt;0,H141=0),"More entries to come",
IF(AND(E141,TRUE,G141=10,H141=0),"Valid Entries made below"
))))))))))</f>
        <v>Nothing Entered below Yet</v>
      </c>
      <c r="J141" s="2155">
        <f>COUNTIFS(E142:E151,TRUE,J142:J151,"Not Blank")</f>
        <v>0</v>
      </c>
      <c r="K141" s="2155">
        <f>COUNTIFS(E142:E151,FALSE,J142:J151,"Not Blank")</f>
        <v>0</v>
      </c>
      <c r="L141" s="2155" t="str">
        <f xml:space="preserve">
IF(J141&gt;10,"Too Many Entries - Check Red Lines",
IF(AND(E141=FALSE,J141=0,K141=0,E140=TRUE),"Nothing Required Below",
IF(J141&lt;F141,"Valid Entry required below - Check Amber Line/s",
IF(AND(E141=FALSE,J141=0,K141=0),"Nothing Entered below Yet",
IF(AND(J141=0,K141&gt;0),"**Non-Valid Entry/ies below - Check Yellow Line/s",
IF(AND(J141&gt;0,K141&gt;0),"**Valid and Non-Valid Entries made below - Check Yellow Line/s",
IF(AND(E141=FALSE,J141&lt;10),"Not all requirements addressed below - Check Pink Line/s",
IF(AND(E141=FALSE,J141&lt;10,J141&gt;0,K141=0),"More entries to come",
IF(AND(E141,TRUE,J141=10,K141=0),"Valid Entries made below"
)))))))))</f>
        <v>Nothing Entered below Yet</v>
      </c>
      <c r="M141" s="2176"/>
      <c r="N141" s="4484" t="s">
        <v>3</v>
      </c>
      <c r="O141" s="4542" t="b">
        <f>IF(OR(N141="Compliant",N141="FE with work-a-round",N141="Functionally Equivalent"),TRUE,FALSE)</f>
        <v>0</v>
      </c>
      <c r="P141" s="2176"/>
      <c r="Q141" s="2376" t="s">
        <v>565</v>
      </c>
      <c r="R141" s="918" t="b">
        <f>IF(AND(R142=TRUE,R143=TRUE,R144=TRUE,R145=TRUE,R146=TRUE,R147=TRUE,R148=TRUE,R149=TRUE,R150=TRUE,R151=TRUE,R152=TRUE),TRUE,FALSE)</f>
        <v>0</v>
      </c>
      <c r="S141" s="42"/>
      <c r="T141" s="42"/>
      <c r="U141" s="128"/>
      <c r="V141" s="4485" t="s">
        <v>3</v>
      </c>
      <c r="W141" s="4543" t="b">
        <f>IF(OR(V141="Compliant",V141="FE with work-a-round",V141="Functionally Equivalent",V141="Not Required/Applicable"),TRUE,FALSE)</f>
        <v>0</v>
      </c>
      <c r="X141" s="41"/>
      <c r="Y141" s="42"/>
      <c r="Z141" s="128"/>
      <c r="AS141" s="67"/>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68"/>
    </row>
    <row r="142" spans="1:84" s="28" customFormat="1" ht="30" thickTop="1" thickBot="1" x14ac:dyDescent="0.35">
      <c r="A142" s="28">
        <v>11.1</v>
      </c>
      <c r="B142" s="1504"/>
      <c r="C142" s="2167" t="s">
        <v>771</v>
      </c>
      <c r="D142" s="1013" t="s">
        <v>3</v>
      </c>
      <c r="E142" s="67" t="b">
        <f t="shared" ref="E142:E151" si="19">IF(D142="Compliant",TRUE,FALSE)</f>
        <v>0</v>
      </c>
      <c r="F142" s="44"/>
      <c r="G142" s="44" t="str">
        <f t="shared" ref="G142:G151" si="20">IF(I142&lt;&gt;"", "Not Blank", "")</f>
        <v/>
      </c>
      <c r="H142" s="44"/>
      <c r="I142" s="42"/>
      <c r="J142" s="391" t="str">
        <f t="shared" ref="J142:J185" si="21">IF(L142&lt;&gt;"", "Not Blank", "")</f>
        <v/>
      </c>
      <c r="K142" s="391"/>
      <c r="L142" s="42"/>
      <c r="M142" s="128"/>
      <c r="N142" s="4485"/>
      <c r="O142" s="4542"/>
      <c r="P142" s="41"/>
      <c r="Q142" s="1826" t="s">
        <v>3</v>
      </c>
      <c r="R142" s="263" t="b">
        <f>IF(OR(Q142="Compliant",Q142="FE with work-a-round",Q142="Functionally Equivalent"),TRUE,FALSE)</f>
        <v>0</v>
      </c>
      <c r="S142" s="44"/>
      <c r="T142" s="44"/>
      <c r="U142" s="122"/>
      <c r="V142" s="4485"/>
      <c r="W142" s="4543"/>
      <c r="X142" s="67"/>
      <c r="Y142" s="44"/>
      <c r="Z142" s="122"/>
      <c r="AS142" s="67"/>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68"/>
    </row>
    <row r="143" spans="1:84" s="28" customFormat="1" ht="30" thickTop="1" thickBot="1" x14ac:dyDescent="0.35">
      <c r="B143" s="1504"/>
      <c r="C143" s="1717" t="s">
        <v>772</v>
      </c>
      <c r="D143" s="319" t="s">
        <v>3</v>
      </c>
      <c r="E143" s="67" t="b">
        <f t="shared" si="19"/>
        <v>0</v>
      </c>
      <c r="F143" s="44"/>
      <c r="G143" s="44" t="str">
        <f t="shared" si="20"/>
        <v/>
      </c>
      <c r="H143" s="44"/>
      <c r="I143" s="44"/>
      <c r="J143" s="216" t="str">
        <f t="shared" si="21"/>
        <v/>
      </c>
      <c r="K143" s="216"/>
      <c r="L143" s="44"/>
      <c r="M143" s="122"/>
      <c r="N143" s="4485"/>
      <c r="O143" s="4542"/>
      <c r="P143" s="67"/>
      <c r="Q143" s="690" t="s">
        <v>3</v>
      </c>
      <c r="R143" s="263" t="b">
        <f t="shared" ref="R143:R151" si="22">IF(OR(Q143="Compliant",Q143="FE with work-a-round",Q143="Functionally Equivalent"),TRUE,FALSE)</f>
        <v>0</v>
      </c>
      <c r="S143" s="44"/>
      <c r="T143" s="44"/>
      <c r="U143" s="122"/>
      <c r="V143" s="4485"/>
      <c r="W143" s="4543"/>
      <c r="X143" s="67"/>
      <c r="Y143" s="44"/>
      <c r="Z143" s="122"/>
      <c r="AS143" s="67"/>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68"/>
    </row>
    <row r="144" spans="1:84" s="28" customFormat="1" ht="30" thickTop="1" thickBot="1" x14ac:dyDescent="0.35">
      <c r="B144" s="1504"/>
      <c r="C144" s="1717" t="s">
        <v>773</v>
      </c>
      <c r="D144" s="319" t="s">
        <v>3</v>
      </c>
      <c r="E144" s="67" t="b">
        <f t="shared" si="19"/>
        <v>0</v>
      </c>
      <c r="F144" s="44"/>
      <c r="G144" s="44" t="str">
        <f t="shared" si="20"/>
        <v/>
      </c>
      <c r="H144" s="44"/>
      <c r="I144" s="44"/>
      <c r="J144" s="216" t="str">
        <f t="shared" si="21"/>
        <v/>
      </c>
      <c r="K144" s="216"/>
      <c r="L144" s="44"/>
      <c r="M144" s="122"/>
      <c r="N144" s="4485"/>
      <c r="O144" s="4542"/>
      <c r="P144" s="67"/>
      <c r="Q144" s="690" t="s">
        <v>3</v>
      </c>
      <c r="R144" s="263" t="b">
        <f t="shared" si="22"/>
        <v>0</v>
      </c>
      <c r="S144" s="44"/>
      <c r="T144" s="44"/>
      <c r="U144" s="122"/>
      <c r="V144" s="4485"/>
      <c r="W144" s="4543"/>
      <c r="X144" s="67"/>
      <c r="Y144" s="44"/>
      <c r="Z144" s="122"/>
      <c r="AS144" s="67"/>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68"/>
    </row>
    <row r="145" spans="2:84" s="28" customFormat="1" ht="30" thickTop="1" thickBot="1" x14ac:dyDescent="0.35">
      <c r="B145" s="1504"/>
      <c r="C145" s="1717" t="s">
        <v>774</v>
      </c>
      <c r="D145" s="319" t="s">
        <v>3</v>
      </c>
      <c r="E145" s="67" t="b">
        <f t="shared" si="19"/>
        <v>0</v>
      </c>
      <c r="F145" s="44"/>
      <c r="G145" s="44" t="str">
        <f t="shared" si="20"/>
        <v/>
      </c>
      <c r="H145" s="44"/>
      <c r="I145" s="44"/>
      <c r="J145" s="216" t="str">
        <f t="shared" si="21"/>
        <v/>
      </c>
      <c r="K145" s="216"/>
      <c r="L145" s="44"/>
      <c r="M145" s="122"/>
      <c r="N145" s="4485"/>
      <c r="O145" s="4542"/>
      <c r="P145" s="67"/>
      <c r="Q145" s="690" t="s">
        <v>3</v>
      </c>
      <c r="R145" s="263" t="b">
        <f t="shared" si="22"/>
        <v>0</v>
      </c>
      <c r="S145" s="44"/>
      <c r="T145" s="44"/>
      <c r="U145" s="122"/>
      <c r="V145" s="4485"/>
      <c r="W145" s="4543"/>
      <c r="X145" s="67"/>
      <c r="Y145" s="44"/>
      <c r="Z145" s="122"/>
      <c r="AS145" s="67"/>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68"/>
    </row>
    <row r="146" spans="2:84" s="28" customFormat="1" ht="30" thickTop="1" thickBot="1" x14ac:dyDescent="0.35">
      <c r="B146" s="1504"/>
      <c r="C146" s="1717" t="s">
        <v>775</v>
      </c>
      <c r="D146" s="319" t="s">
        <v>3</v>
      </c>
      <c r="E146" s="67" t="b">
        <f t="shared" si="19"/>
        <v>0</v>
      </c>
      <c r="F146" s="44"/>
      <c r="G146" s="44" t="str">
        <f t="shared" si="20"/>
        <v/>
      </c>
      <c r="H146" s="44"/>
      <c r="I146" s="44"/>
      <c r="J146" s="216" t="str">
        <f t="shared" si="21"/>
        <v/>
      </c>
      <c r="K146" s="216"/>
      <c r="L146" s="44"/>
      <c r="M146" s="122"/>
      <c r="N146" s="4485"/>
      <c r="O146" s="4542"/>
      <c r="P146" s="67"/>
      <c r="Q146" s="690" t="s">
        <v>3</v>
      </c>
      <c r="R146" s="263" t="b">
        <f t="shared" si="22"/>
        <v>0</v>
      </c>
      <c r="S146" s="44"/>
      <c r="T146" s="44"/>
      <c r="U146" s="122"/>
      <c r="V146" s="4485"/>
      <c r="W146" s="4543"/>
      <c r="X146" s="67"/>
      <c r="Y146" s="44"/>
      <c r="Z146" s="122"/>
      <c r="AS146" s="67"/>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68"/>
    </row>
    <row r="147" spans="2:84" s="28" customFormat="1" ht="30" thickTop="1" thickBot="1" x14ac:dyDescent="0.35">
      <c r="B147" s="1504"/>
      <c r="C147" s="1717" t="s">
        <v>776</v>
      </c>
      <c r="D147" s="319" t="s">
        <v>3</v>
      </c>
      <c r="E147" s="67" t="b">
        <f t="shared" si="19"/>
        <v>0</v>
      </c>
      <c r="F147" s="44"/>
      <c r="G147" s="44" t="str">
        <f t="shared" si="20"/>
        <v/>
      </c>
      <c r="H147" s="44"/>
      <c r="I147" s="44"/>
      <c r="J147" s="216" t="str">
        <f t="shared" si="21"/>
        <v/>
      </c>
      <c r="K147" s="216"/>
      <c r="L147" s="44"/>
      <c r="M147" s="122"/>
      <c r="N147" s="4485"/>
      <c r="O147" s="4542"/>
      <c r="P147" s="67"/>
      <c r="Q147" s="690" t="s">
        <v>3</v>
      </c>
      <c r="R147" s="263" t="b">
        <f t="shared" si="22"/>
        <v>0</v>
      </c>
      <c r="S147" s="44"/>
      <c r="T147" s="44"/>
      <c r="U147" s="122"/>
      <c r="V147" s="4485"/>
      <c r="W147" s="4543"/>
      <c r="X147" s="67"/>
      <c r="Y147" s="44"/>
      <c r="Z147" s="122"/>
      <c r="AS147" s="67"/>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68"/>
    </row>
    <row r="148" spans="2:84" s="28" customFormat="1" ht="30" thickTop="1" thickBot="1" x14ac:dyDescent="0.35">
      <c r="B148" s="1504"/>
      <c r="C148" s="1717" t="s">
        <v>852</v>
      </c>
      <c r="D148" s="319" t="s">
        <v>3</v>
      </c>
      <c r="E148" s="67" t="b">
        <f t="shared" si="19"/>
        <v>0</v>
      </c>
      <c r="F148" s="44"/>
      <c r="G148" s="44" t="str">
        <f t="shared" si="20"/>
        <v/>
      </c>
      <c r="H148" s="44"/>
      <c r="I148" s="44"/>
      <c r="J148" s="216" t="str">
        <f t="shared" si="21"/>
        <v/>
      </c>
      <c r="K148" s="216"/>
      <c r="L148" s="44"/>
      <c r="M148" s="122"/>
      <c r="N148" s="4485"/>
      <c r="O148" s="4542"/>
      <c r="P148" s="67"/>
      <c r="Q148" s="690" t="s">
        <v>3</v>
      </c>
      <c r="R148" s="263" t="b">
        <f t="shared" si="22"/>
        <v>0</v>
      </c>
      <c r="S148" s="44"/>
      <c r="T148" s="44"/>
      <c r="U148" s="122"/>
      <c r="V148" s="4485"/>
      <c r="W148" s="4543"/>
      <c r="X148" s="67"/>
      <c r="Y148" s="44"/>
      <c r="Z148" s="122"/>
      <c r="AS148" s="67"/>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68"/>
    </row>
    <row r="149" spans="2:84" s="28" customFormat="1" ht="44.5" thickTop="1" thickBot="1" x14ac:dyDescent="0.35">
      <c r="B149" s="1504"/>
      <c r="C149" s="1717" t="s">
        <v>777</v>
      </c>
      <c r="D149" s="319" t="s">
        <v>3</v>
      </c>
      <c r="E149" s="67" t="b">
        <f t="shared" si="19"/>
        <v>0</v>
      </c>
      <c r="F149" s="44"/>
      <c r="G149" s="44" t="str">
        <f t="shared" si="20"/>
        <v/>
      </c>
      <c r="H149" s="44"/>
      <c r="I149" s="44"/>
      <c r="J149" s="216" t="str">
        <f t="shared" si="21"/>
        <v/>
      </c>
      <c r="K149" s="216"/>
      <c r="L149" s="44"/>
      <c r="M149" s="122"/>
      <c r="N149" s="4485"/>
      <c r="O149" s="4542"/>
      <c r="P149" s="67"/>
      <c r="Q149" s="690" t="s">
        <v>3</v>
      </c>
      <c r="R149" s="263" t="b">
        <f t="shared" si="22"/>
        <v>0</v>
      </c>
      <c r="S149" s="44"/>
      <c r="T149" s="44"/>
      <c r="U149" s="122"/>
      <c r="V149" s="4485"/>
      <c r="W149" s="4543"/>
      <c r="X149" s="67"/>
      <c r="Y149" s="44"/>
      <c r="Z149" s="122"/>
      <c r="AS149" s="78"/>
      <c r="AT149" s="79"/>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68"/>
    </row>
    <row r="150" spans="2:84" s="28" customFormat="1" ht="30" thickTop="1" thickBot="1" x14ac:dyDescent="0.35">
      <c r="B150" s="1504"/>
      <c r="C150" s="1717" t="s">
        <v>847</v>
      </c>
      <c r="D150" s="319" t="s">
        <v>3</v>
      </c>
      <c r="E150" s="67" t="b">
        <f t="shared" si="19"/>
        <v>0</v>
      </c>
      <c r="F150" s="44"/>
      <c r="G150" s="44" t="str">
        <f t="shared" si="20"/>
        <v/>
      </c>
      <c r="H150" s="44"/>
      <c r="I150" s="44"/>
      <c r="J150" s="216" t="str">
        <f t="shared" si="21"/>
        <v/>
      </c>
      <c r="K150" s="216"/>
      <c r="L150" s="44"/>
      <c r="M150" s="122"/>
      <c r="N150" s="4485"/>
      <c r="O150" s="4542"/>
      <c r="P150" s="67"/>
      <c r="Q150" s="690" t="s">
        <v>3</v>
      </c>
      <c r="R150" s="263" t="b">
        <f t="shared" si="22"/>
        <v>0</v>
      </c>
      <c r="S150" s="44"/>
      <c r="T150" s="44"/>
      <c r="U150" s="122"/>
      <c r="V150" s="4485"/>
      <c r="W150" s="4543"/>
      <c r="X150" s="67"/>
      <c r="Y150" s="44"/>
      <c r="Z150" s="122"/>
      <c r="AU150" s="67"/>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68"/>
    </row>
    <row r="151" spans="2:84" s="28" customFormat="1" ht="30" thickTop="1" thickBot="1" x14ac:dyDescent="0.35">
      <c r="B151" s="1508"/>
      <c r="C151" s="1807" t="s">
        <v>778</v>
      </c>
      <c r="D151" s="849" t="s">
        <v>3</v>
      </c>
      <c r="E151" s="78" t="b">
        <f t="shared" si="19"/>
        <v>0</v>
      </c>
      <c r="F151" s="79"/>
      <c r="G151" s="79" t="str">
        <f t="shared" si="20"/>
        <v/>
      </c>
      <c r="H151" s="79"/>
      <c r="I151" s="79"/>
      <c r="J151" s="403" t="str">
        <f t="shared" si="21"/>
        <v/>
      </c>
      <c r="K151" s="403"/>
      <c r="L151" s="79"/>
      <c r="M151" s="127"/>
      <c r="N151" s="4486"/>
      <c r="O151" s="4542"/>
      <c r="P151" s="78"/>
      <c r="Q151" s="692" t="s">
        <v>3</v>
      </c>
      <c r="R151" s="973" t="b">
        <f t="shared" si="22"/>
        <v>0</v>
      </c>
      <c r="S151" s="79"/>
      <c r="T151" s="79"/>
      <c r="U151" s="127"/>
      <c r="V151" s="4485"/>
      <c r="W151" s="4543"/>
      <c r="X151" s="78"/>
      <c r="Y151" s="79"/>
      <c r="Z151" s="127"/>
      <c r="AU151" s="67"/>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68"/>
    </row>
    <row r="152" spans="2:84" s="28" customFormat="1" ht="30" thickTop="1" thickBot="1" x14ac:dyDescent="0.35">
      <c r="B152" s="1495" t="s">
        <v>1385</v>
      </c>
      <c r="C152" s="1809" t="s">
        <v>848</v>
      </c>
      <c r="D152" s="1499" t="s">
        <v>565</v>
      </c>
      <c r="E152" s="659" t="b">
        <f>IF(AND(E153=TRUE,E154=TRUE,E155=TRUE,E156=TRUE,E157=TRUE,E158=TRUE,E159=TRUE,E160=TRUE,E161=TRUE,E162=TRUE),TRUE,FALSE)</f>
        <v>0</v>
      </c>
      <c r="F152" s="207">
        <f>COUNTIF(E153:E162,TRUE)</f>
        <v>0</v>
      </c>
      <c r="G152" s="207">
        <f>COUNTIFS(E153:E162,TRUE,G153:G162,"Not Blank")</f>
        <v>0</v>
      </c>
      <c r="H152" s="207">
        <f>COUNTIFS(E153:E162,FALSE,G153:G162,"Not Blank")</f>
        <v>0</v>
      </c>
      <c r="I152" s="1497" t="str">
        <f xml:space="preserve">
IF(F152&gt;10,"Too Many Entries - Check Red Lines",
IF(AND(E152=FALSE,G152=0,H152=0,E152=TRUE),"Nothing Required Below",
IF(G152&lt;F152,"Valid Entry required below - Check Amber Line/s",
IF(AND(E152=FALSE,G152=0,H152=0),"Nothing Entered below Yet",
IF(G152&lt;F152,"Valid Entry required below - Check Amber Line/s",
IF(AND(G152=0,H152&gt;0),"**Non-Valid Entry/ies below - Check Yellow Line/s",
IF(AND(G152&gt;0,H152&gt;0),"**Valid and Non-Valid Entries made below - Check Yellow Line/s",
IF(AND(E152=FALSE,F152&lt;10),"Not all requirements addressed below - Check Pink Line/s",
IF(AND(E152=FALSE,G152&lt;10,G152&gt;0,H152=0),"More entries to come",
IF(AND(E152,TRUE,G152=10,H152=0),"Valid Entries made below"
))))))))))</f>
        <v>Nothing Entered below Yet</v>
      </c>
      <c r="J152" s="1497">
        <f>COUNTIFS(E153:E162,TRUE,J153:J162,"Not Blank")</f>
        <v>0</v>
      </c>
      <c r="K152" s="1497">
        <f>COUNTIFS(E153:E162,FALSE,J153:J162,"Not Blank")</f>
        <v>0</v>
      </c>
      <c r="L152" s="1497" t="str">
        <f xml:space="preserve">
IF(J152&gt;10,"Too Many Entries - Check Red Lines",
IF(AND(E152=FALSE,J152=0,K152=0,E151=TRUE),"Nothing Required Below",
IF(J152&lt;F152,"Valid Entry required below - Check Amber Line/s",
IF(AND(E152=FALSE,J152=0,K152=0),"Nothing Entered below Yet",
IF(AND(J152=0,K152&gt;0),"**Non-Valid Entry/ies below - Check Yellow Line/s",
IF(AND(J152&gt;0,K152&gt;0),"**Valid and Non-Valid Entries made below - Check Yellow Line/s",
IF(AND(E152=FALSE,J152&lt;10),"Not all requirements addressed below - Check Pink Line/s",
IF(AND(E152=FALSE,J152&lt;10,J152&gt;0,K152=0),"More entries to come",
IF(AND(E152,TRUE,J152=10,K152=0),"Valid Entries made below"
)))))))))</f>
        <v>Nothing Entered below Yet</v>
      </c>
      <c r="M152" s="134"/>
      <c r="N152" s="4484" t="s">
        <v>3</v>
      </c>
      <c r="O152" s="4544" t="b">
        <f>IF(OR(N152="Compliant",N152="FE with work-a-round",N152="Functionally Equivalent"),TRUE,FALSE)</f>
        <v>0</v>
      </c>
      <c r="P152" s="88"/>
      <c r="Q152" s="1640" t="s">
        <v>565</v>
      </c>
      <c r="R152" s="840" t="b">
        <f>IF(AND(R153=TRUE,R154=TRUE,R155=TRUE,R156=TRUE,R157=TRUE,R158=TRUE,R159=TRUE,R160=TRUE,R161=TRUE,R162=TRUE),TRUE,FALSE)</f>
        <v>0</v>
      </c>
      <c r="S152" s="111"/>
      <c r="T152" s="111"/>
      <c r="U152" s="120"/>
      <c r="V152" s="4484" t="s">
        <v>3</v>
      </c>
      <c r="W152" s="4543" t="b">
        <f>IF(OR(V152="Compliant",V152="FE with work-a-round",V152="Functionally Equivalent",V152="Not Required/Applicable"),TRUE,FALSE)</f>
        <v>0</v>
      </c>
      <c r="X152" s="138"/>
      <c r="Y152" s="111"/>
      <c r="Z152" s="120"/>
      <c r="AU152" s="67"/>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68"/>
    </row>
    <row r="153" spans="2:84" s="28" customFormat="1" ht="30" thickTop="1" thickBot="1" x14ac:dyDescent="0.35">
      <c r="B153" s="1504"/>
      <c r="C153" s="1806" t="s">
        <v>779</v>
      </c>
      <c r="D153" s="1013" t="s">
        <v>3</v>
      </c>
      <c r="E153" s="67" t="b">
        <f t="shared" ref="E153:E162" si="23">IF(D153="Compliant",TRUE,FALSE)</f>
        <v>0</v>
      </c>
      <c r="F153" s="44"/>
      <c r="G153" s="44" t="str">
        <f t="shared" ref="G153:G162" si="24">IF(I153&lt;&gt;"", "Not Blank", "")</f>
        <v/>
      </c>
      <c r="H153" s="44"/>
      <c r="I153" s="42"/>
      <c r="J153" s="391" t="str">
        <f t="shared" si="21"/>
        <v/>
      </c>
      <c r="K153" s="391"/>
      <c r="L153" s="42"/>
      <c r="M153" s="128"/>
      <c r="N153" s="4485"/>
      <c r="O153" s="4545"/>
      <c r="P153" s="41"/>
      <c r="Q153" s="1826" t="s">
        <v>3</v>
      </c>
      <c r="R153" s="263" t="b">
        <f>IF(OR(Q153="Compliant",Q153="FE with work-a-round",Q153="Functionally Equivalent"),TRUE,FALSE)</f>
        <v>0</v>
      </c>
      <c r="S153" s="44"/>
      <c r="T153" s="44"/>
      <c r="U153" s="122"/>
      <c r="V153" s="4485"/>
      <c r="W153" s="4543"/>
      <c r="X153" s="67"/>
      <c r="Y153" s="44"/>
      <c r="Z153" s="122"/>
      <c r="AU153" s="67"/>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68"/>
    </row>
    <row r="154" spans="2:84" s="28" customFormat="1" ht="30" thickTop="1" thickBot="1" x14ac:dyDescent="0.35">
      <c r="B154" s="1504"/>
      <c r="C154" s="1717" t="s">
        <v>849</v>
      </c>
      <c r="D154" s="319" t="s">
        <v>3</v>
      </c>
      <c r="E154" s="67" t="b">
        <f t="shared" si="23"/>
        <v>0</v>
      </c>
      <c r="F154" s="44"/>
      <c r="G154" s="44" t="str">
        <f t="shared" si="24"/>
        <v/>
      </c>
      <c r="H154" s="44"/>
      <c r="I154" s="44"/>
      <c r="J154" s="216" t="str">
        <f t="shared" si="21"/>
        <v/>
      </c>
      <c r="K154" s="216"/>
      <c r="L154" s="44"/>
      <c r="M154" s="122"/>
      <c r="N154" s="4485"/>
      <c r="O154" s="4545"/>
      <c r="P154" s="67"/>
      <c r="Q154" s="690" t="s">
        <v>3</v>
      </c>
      <c r="R154" s="263" t="b">
        <f t="shared" ref="R154:R162" si="25">IF(OR(Q154="Compliant",Q154="FE with work-a-round",Q154="Functionally Equivalent"),TRUE,FALSE)</f>
        <v>0</v>
      </c>
      <c r="S154" s="44"/>
      <c r="T154" s="44"/>
      <c r="U154" s="122"/>
      <c r="V154" s="4485"/>
      <c r="W154" s="4543"/>
      <c r="X154" s="67"/>
      <c r="Y154" s="44"/>
      <c r="Z154" s="122"/>
      <c r="AU154" s="67"/>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68"/>
    </row>
    <row r="155" spans="2:84" s="28" customFormat="1" ht="16.5" thickTop="1" thickBot="1" x14ac:dyDescent="0.35">
      <c r="B155" s="1504"/>
      <c r="C155" s="1717" t="s">
        <v>780</v>
      </c>
      <c r="D155" s="319" t="s">
        <v>3</v>
      </c>
      <c r="E155" s="67" t="b">
        <f t="shared" si="23"/>
        <v>0</v>
      </c>
      <c r="F155" s="44"/>
      <c r="G155" s="44" t="str">
        <f t="shared" si="24"/>
        <v/>
      </c>
      <c r="H155" s="44"/>
      <c r="I155" s="44"/>
      <c r="J155" s="216" t="str">
        <f t="shared" si="21"/>
        <v/>
      </c>
      <c r="K155" s="216"/>
      <c r="L155" s="44"/>
      <c r="M155" s="122"/>
      <c r="N155" s="4485"/>
      <c r="O155" s="4545"/>
      <c r="P155" s="67"/>
      <c r="Q155" s="690" t="s">
        <v>3</v>
      </c>
      <c r="R155" s="263" t="b">
        <f t="shared" si="25"/>
        <v>0</v>
      </c>
      <c r="S155" s="44"/>
      <c r="T155" s="44"/>
      <c r="U155" s="122"/>
      <c r="V155" s="4485"/>
      <c r="W155" s="4543"/>
      <c r="X155" s="67"/>
      <c r="Y155" s="44"/>
      <c r="Z155" s="122"/>
      <c r="AU155" s="67"/>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68"/>
    </row>
    <row r="156" spans="2:84" s="28" customFormat="1" ht="44.5" thickTop="1" thickBot="1" x14ac:dyDescent="0.35">
      <c r="B156" s="1504"/>
      <c r="C156" s="1717" t="s">
        <v>781</v>
      </c>
      <c r="D156" s="319" t="s">
        <v>3</v>
      </c>
      <c r="E156" s="67" t="b">
        <f t="shared" si="23"/>
        <v>0</v>
      </c>
      <c r="F156" s="44"/>
      <c r="G156" s="44" t="str">
        <f t="shared" si="24"/>
        <v/>
      </c>
      <c r="H156" s="44"/>
      <c r="I156" s="44"/>
      <c r="J156" s="216" t="str">
        <f t="shared" si="21"/>
        <v/>
      </c>
      <c r="K156" s="216"/>
      <c r="L156" s="44"/>
      <c r="M156" s="122"/>
      <c r="N156" s="4485"/>
      <c r="O156" s="4545"/>
      <c r="P156" s="67"/>
      <c r="Q156" s="690" t="s">
        <v>3</v>
      </c>
      <c r="R156" s="263" t="b">
        <f t="shared" si="25"/>
        <v>0</v>
      </c>
      <c r="S156" s="44"/>
      <c r="T156" s="44"/>
      <c r="U156" s="122"/>
      <c r="V156" s="4485"/>
      <c r="W156" s="4543"/>
      <c r="X156" s="67"/>
      <c r="Y156" s="44"/>
      <c r="Z156" s="122"/>
      <c r="AU156" s="67"/>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68"/>
    </row>
    <row r="157" spans="2:84" s="28" customFormat="1" ht="44.5" thickTop="1" thickBot="1" x14ac:dyDescent="0.35">
      <c r="B157" s="1504"/>
      <c r="C157" s="1717" t="s">
        <v>782</v>
      </c>
      <c r="D157" s="319" t="s">
        <v>3</v>
      </c>
      <c r="E157" s="67" t="b">
        <f t="shared" si="23"/>
        <v>0</v>
      </c>
      <c r="F157" s="44"/>
      <c r="G157" s="44" t="str">
        <f t="shared" si="24"/>
        <v/>
      </c>
      <c r="H157" s="44"/>
      <c r="I157" s="44"/>
      <c r="J157" s="216" t="str">
        <f t="shared" si="21"/>
        <v/>
      </c>
      <c r="K157" s="216"/>
      <c r="L157" s="44"/>
      <c r="M157" s="122"/>
      <c r="N157" s="4485"/>
      <c r="O157" s="4545"/>
      <c r="P157" s="67"/>
      <c r="Q157" s="690" t="s">
        <v>3</v>
      </c>
      <c r="R157" s="263" t="b">
        <f t="shared" si="25"/>
        <v>0</v>
      </c>
      <c r="S157" s="44"/>
      <c r="T157" s="44"/>
      <c r="U157" s="122"/>
      <c r="V157" s="4485"/>
      <c r="W157" s="4543"/>
      <c r="X157" s="67"/>
      <c r="Y157" s="44"/>
      <c r="Z157" s="122"/>
      <c r="AU157" s="67"/>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68"/>
    </row>
    <row r="158" spans="2:84" s="28" customFormat="1" ht="30" thickTop="1" thickBot="1" x14ac:dyDescent="0.35">
      <c r="B158" s="1504"/>
      <c r="C158" s="1717" t="s">
        <v>850</v>
      </c>
      <c r="D158" s="319" t="s">
        <v>3</v>
      </c>
      <c r="E158" s="67" t="b">
        <f t="shared" si="23"/>
        <v>0</v>
      </c>
      <c r="F158" s="44"/>
      <c r="G158" s="44" t="str">
        <f t="shared" si="24"/>
        <v/>
      </c>
      <c r="H158" s="44"/>
      <c r="I158" s="44"/>
      <c r="J158" s="216" t="str">
        <f t="shared" si="21"/>
        <v/>
      </c>
      <c r="K158" s="216"/>
      <c r="L158" s="44"/>
      <c r="M158" s="122"/>
      <c r="N158" s="4485"/>
      <c r="O158" s="4545"/>
      <c r="P158" s="67"/>
      <c r="Q158" s="690" t="s">
        <v>3</v>
      </c>
      <c r="R158" s="263" t="b">
        <f t="shared" si="25"/>
        <v>0</v>
      </c>
      <c r="S158" s="44"/>
      <c r="T158" s="44"/>
      <c r="U158" s="122"/>
      <c r="V158" s="4485"/>
      <c r="W158" s="4543"/>
      <c r="X158" s="67"/>
      <c r="Y158" s="44"/>
      <c r="Z158" s="122"/>
      <c r="AU158" s="67"/>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68"/>
    </row>
    <row r="159" spans="2:84" s="28" customFormat="1" ht="30" thickTop="1" thickBot="1" x14ac:dyDescent="0.35">
      <c r="B159" s="1504"/>
      <c r="C159" s="1717" t="s">
        <v>783</v>
      </c>
      <c r="D159" s="319" t="s">
        <v>3</v>
      </c>
      <c r="E159" s="67" t="b">
        <f t="shared" si="23"/>
        <v>0</v>
      </c>
      <c r="F159" s="44"/>
      <c r="G159" s="44" t="str">
        <f t="shared" si="24"/>
        <v/>
      </c>
      <c r="H159" s="44"/>
      <c r="I159" s="44"/>
      <c r="J159" s="216" t="str">
        <f t="shared" si="21"/>
        <v/>
      </c>
      <c r="K159" s="216"/>
      <c r="L159" s="44"/>
      <c r="M159" s="122"/>
      <c r="N159" s="4485"/>
      <c r="O159" s="4545"/>
      <c r="P159" s="67"/>
      <c r="Q159" s="690" t="s">
        <v>3</v>
      </c>
      <c r="R159" s="263" t="b">
        <f t="shared" si="25"/>
        <v>0</v>
      </c>
      <c r="S159" s="44"/>
      <c r="T159" s="44"/>
      <c r="U159" s="122"/>
      <c r="V159" s="4485"/>
      <c r="W159" s="4543"/>
      <c r="X159" s="67"/>
      <c r="Y159" s="44"/>
      <c r="Z159" s="122"/>
      <c r="AU159" s="67"/>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68"/>
    </row>
    <row r="160" spans="2:84" s="28" customFormat="1" ht="30" thickTop="1" thickBot="1" x14ac:dyDescent="0.35">
      <c r="B160" s="1504"/>
      <c r="C160" s="1717" t="s">
        <v>784</v>
      </c>
      <c r="D160" s="319" t="s">
        <v>3</v>
      </c>
      <c r="E160" s="67" t="b">
        <f t="shared" si="23"/>
        <v>0</v>
      </c>
      <c r="F160" s="44"/>
      <c r="G160" s="44" t="str">
        <f t="shared" si="24"/>
        <v/>
      </c>
      <c r="H160" s="44"/>
      <c r="I160" s="44"/>
      <c r="J160" s="216" t="str">
        <f t="shared" si="21"/>
        <v/>
      </c>
      <c r="K160" s="216"/>
      <c r="L160" s="44"/>
      <c r="M160" s="122"/>
      <c r="N160" s="4485"/>
      <c r="O160" s="4545"/>
      <c r="P160" s="67"/>
      <c r="Q160" s="690" t="s">
        <v>3</v>
      </c>
      <c r="R160" s="263" t="b">
        <f t="shared" si="25"/>
        <v>0</v>
      </c>
      <c r="S160" s="44"/>
      <c r="T160" s="44"/>
      <c r="U160" s="122"/>
      <c r="V160" s="4485"/>
      <c r="W160" s="4543"/>
      <c r="X160" s="67"/>
      <c r="Y160" s="44"/>
      <c r="Z160" s="122"/>
      <c r="AU160" s="67"/>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68"/>
    </row>
    <row r="161" spans="1:84" s="28" customFormat="1" ht="30" thickTop="1" thickBot="1" x14ac:dyDescent="0.35">
      <c r="B161" s="1504"/>
      <c r="C161" s="1717" t="s">
        <v>851</v>
      </c>
      <c r="D161" s="319" t="s">
        <v>3</v>
      </c>
      <c r="E161" s="67" t="b">
        <f t="shared" si="23"/>
        <v>0</v>
      </c>
      <c r="F161" s="44"/>
      <c r="G161" s="44" t="str">
        <f t="shared" si="24"/>
        <v/>
      </c>
      <c r="H161" s="44"/>
      <c r="I161" s="44"/>
      <c r="J161" s="216" t="str">
        <f t="shared" si="21"/>
        <v/>
      </c>
      <c r="K161" s="216"/>
      <c r="L161" s="44"/>
      <c r="M161" s="122"/>
      <c r="N161" s="4485"/>
      <c r="O161" s="4545"/>
      <c r="P161" s="67"/>
      <c r="Q161" s="690" t="s">
        <v>3</v>
      </c>
      <c r="R161" s="263" t="b">
        <f t="shared" si="25"/>
        <v>0</v>
      </c>
      <c r="S161" s="44"/>
      <c r="T161" s="44"/>
      <c r="U161" s="122"/>
      <c r="V161" s="4485"/>
      <c r="W161" s="4543"/>
      <c r="X161" s="67"/>
      <c r="Y161" s="44"/>
      <c r="Z161" s="122"/>
      <c r="AU161" s="67"/>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68"/>
    </row>
    <row r="162" spans="1:84" s="28" customFormat="1" ht="44.5" thickTop="1" thickBot="1" x14ac:dyDescent="0.35">
      <c r="B162" s="1505"/>
      <c r="C162" s="1800" t="s">
        <v>785</v>
      </c>
      <c r="D162" s="230" t="s">
        <v>3</v>
      </c>
      <c r="E162" s="161" t="b">
        <f t="shared" si="23"/>
        <v>0</v>
      </c>
      <c r="F162" s="124"/>
      <c r="G162" s="124" t="str">
        <f t="shared" si="24"/>
        <v/>
      </c>
      <c r="H162" s="124"/>
      <c r="I162" s="124"/>
      <c r="J162" s="218" t="str">
        <f t="shared" si="21"/>
        <v/>
      </c>
      <c r="K162" s="218"/>
      <c r="L162" s="124"/>
      <c r="M162" s="125"/>
      <c r="N162" s="4486"/>
      <c r="O162" s="4545"/>
      <c r="P162" s="78"/>
      <c r="Q162" s="692" t="s">
        <v>3</v>
      </c>
      <c r="R162" s="973" t="b">
        <f t="shared" si="25"/>
        <v>0</v>
      </c>
      <c r="S162" s="79"/>
      <c r="T162" s="79"/>
      <c r="U162" s="127"/>
      <c r="V162" s="4485"/>
      <c r="W162" s="4543"/>
      <c r="X162" s="78"/>
      <c r="Y162" s="79"/>
      <c r="Z162" s="127"/>
      <c r="AU162" s="67"/>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68"/>
    </row>
    <row r="163" spans="1:84" s="28" customFormat="1" ht="88" thickTop="1" thickBot="1" x14ac:dyDescent="0.35">
      <c r="A163" s="28">
        <v>11.2</v>
      </c>
      <c r="B163" s="1495" t="s">
        <v>1764</v>
      </c>
      <c r="C163" s="1809" t="s">
        <v>786</v>
      </c>
      <c r="D163" s="1499" t="s">
        <v>565</v>
      </c>
      <c r="E163" s="659" t="b">
        <f>IF(AND(E164=TRUE,E165=TRUE,E166=TRUE,E167=TRUE,E168=TRUE,E169=TRUE,E170=TRUE,E171=TRUE,E172=TRUE,E173=TRUE,E174=TRUE,E175=TRUE,E176=TRUE,E177=TRUE,E178=TRUE,E179=TRUE,E180=TRUE,E181=TRUE,E182=TRUE,E183=TRUE,E184=TRUE,E185=TRUE),TRUE,FALSE)</f>
        <v>0</v>
      </c>
      <c r="F163" s="207">
        <f>COUNTIF(E164:E185,TRUE)</f>
        <v>0</v>
      </c>
      <c r="G163" s="207">
        <f>COUNTIFS(E164:E185,TRUE,G164:G185,"Not Blank")</f>
        <v>0</v>
      </c>
      <c r="H163" s="207">
        <f>COUNTIFS(E164:E185,FALSE,G164:G185,"Not Blank")</f>
        <v>0</v>
      </c>
      <c r="I163" s="1497" t="str">
        <f xml:space="preserve">
IF(F163&gt;22,"Too Many Entries - Check Red Lines",
IF(AND(E163=FALSE,G163=0,H163=0,E163=TRUE),"Nothing Required Below",
IF(G163&lt;F163,"Valid Entry required below - Check Amber Line/s",
IF(AND(E163=FALSE,G163=0,H163=0),"Nothing Entered below Yet",
IF(G163&lt;F163,"Valid Entry required below - Check Amber Line/s",
IF(AND(G163=0,H163&gt;0),"**Non-Valid Entry/ies below - Check Yellow Line/s",
IF(AND(G163&gt;0,H163&gt;0),"**Valid and Non-Valid Entries made below - Check Yellow Line/s",
IF(AND(E163=FALSE,F163&lt;22),"Not all requirements addressed below - Check Pink Line/s",
IF(AND(E163=FALSE,G163&lt;22,G163&gt;0,H163=0),"More entries to come",
IF(AND(E163,TRUE,G163=22,H163=0),"Valid Entries made below"
))))))))))</f>
        <v>Nothing Entered below Yet</v>
      </c>
      <c r="J163" s="1497">
        <f>COUNTIFS(E164:E185,TRUE,J164:J185,"Not Blank")</f>
        <v>0</v>
      </c>
      <c r="K163" s="1497">
        <f>COUNTIFS(E164:E185,FALSE,J164:J185,"Not Blank")</f>
        <v>0</v>
      </c>
      <c r="L163" s="1497" t="str">
        <f xml:space="preserve">
IF(J163&gt;22,"Too Many Entries - Check Red Lines",
IF(AND(E163=FALSE,J163=0,K163=0,E162=TRUE),"Nothing Required Below",
IF(J163&lt;F163,"Valid Entry required below - Check Amber Line/s",
IF(AND(E163=FALSE,J163=0,K163=0),"Nothing Entered below Yet",
IF(AND(J163=0,K163&gt;0),"**Non-Valid Entry/ies below - Check Yellow Line/s",
IF(AND(J163&gt;0,K163&gt;0),"**Valid and Non-Valid Entries made below - Check Yellow Line/s",
IF(AND(E163=FALSE,J163&lt;22),"Not all requirements addressed below - Check Pink Line/s",
IF(AND(E163=FALSE,J163&lt;22,J163&gt;0,K163=0),"More entries to come",
IF(AND(E163,TRUE,J163=22,K163=0),"Valid Entries made below"
)))))))))</f>
        <v>Nothing Entered below Yet</v>
      </c>
      <c r="M163" s="134"/>
      <c r="N163" s="4484" t="s">
        <v>3</v>
      </c>
      <c r="O163" s="4542" t="b">
        <f>IF(OR(N163="Compliant",N163="FE with work-a-round",N163="Functionally Equivalent"),TRUE,FALSE)</f>
        <v>0</v>
      </c>
      <c r="P163" s="579"/>
      <c r="Q163" s="1640" t="s">
        <v>565</v>
      </c>
      <c r="R163" s="735" t="b">
        <f>IF(AND(R164=TRUE,R165=TRUE,R166=TRUE,R167=TRUE,R168=TRUE,R169=TRUE,R170=TRUE,R171=TRUE,R172=TRUE,R173=TRUE,R174=TRUE,R175=TRUE,R176=TRUE,R177=TRUE,R178=TRUE,R179=TRUE,R180=TRUE,R181=TRUE,R182=TRUE,R183=TRUE,R184=TRUE,R185=TRUE),TRUE,FALSE)</f>
        <v>0</v>
      </c>
      <c r="S163" s="111"/>
      <c r="T163" s="111"/>
      <c r="U163" s="120"/>
      <c r="V163" s="4484" t="s">
        <v>3</v>
      </c>
      <c r="W163" s="4543" t="b">
        <f>IF(OR(V163="Compliant",V163="FE with work-a-round",V163="Functionally Equivalent",V163="Not Required/Applicable"),TRUE,FALSE)</f>
        <v>0</v>
      </c>
      <c r="X163" s="138"/>
      <c r="Y163" s="111"/>
      <c r="Z163" s="120"/>
      <c r="AU163" s="67"/>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68"/>
    </row>
    <row r="164" spans="1:84" s="28" customFormat="1" ht="30" thickTop="1" thickBot="1" x14ac:dyDescent="0.35">
      <c r="B164" s="1504"/>
      <c r="C164" s="1806" t="s">
        <v>807</v>
      </c>
      <c r="D164" s="1013" t="s">
        <v>3</v>
      </c>
      <c r="E164" s="67" t="b">
        <f t="shared" ref="E164:E185" si="26">IF(D164="Compliant",TRUE,FALSE)</f>
        <v>0</v>
      </c>
      <c r="F164" s="44"/>
      <c r="G164" s="44" t="str">
        <f t="shared" ref="G164:G185" si="27">IF(I164&lt;&gt;"", "Not Blank", "")</f>
        <v/>
      </c>
      <c r="H164" s="44"/>
      <c r="I164" s="42"/>
      <c r="J164" s="391" t="str">
        <f t="shared" si="21"/>
        <v/>
      </c>
      <c r="K164" s="391"/>
      <c r="L164" s="42"/>
      <c r="M164" s="128"/>
      <c r="N164" s="4485"/>
      <c r="O164" s="4542"/>
      <c r="P164" s="41"/>
      <c r="Q164" s="1826" t="s">
        <v>3</v>
      </c>
      <c r="R164" s="197" t="b">
        <f>IF(OR(Q164="Compliant",Q164="FE with work-a-round",Q164="Functionally Equivalent"),TRUE,FALSE)</f>
        <v>0</v>
      </c>
      <c r="S164" s="44"/>
      <c r="T164" s="44"/>
      <c r="U164" s="122"/>
      <c r="V164" s="4485"/>
      <c r="W164" s="4543"/>
      <c r="X164" s="67"/>
      <c r="Y164" s="44"/>
      <c r="Z164" s="122"/>
      <c r="AU164" s="67"/>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68"/>
    </row>
    <row r="165" spans="1:84" s="28" customFormat="1" ht="44.5" thickTop="1" thickBot="1" x14ac:dyDescent="0.35">
      <c r="B165" s="1504"/>
      <c r="C165" s="1717" t="s">
        <v>806</v>
      </c>
      <c r="D165" s="319" t="s">
        <v>3</v>
      </c>
      <c r="E165" s="67" t="b">
        <f t="shared" si="26"/>
        <v>0</v>
      </c>
      <c r="F165" s="44"/>
      <c r="G165" s="44" t="str">
        <f t="shared" si="27"/>
        <v/>
      </c>
      <c r="H165" s="44"/>
      <c r="I165" s="44"/>
      <c r="J165" s="216" t="str">
        <f t="shared" si="21"/>
        <v/>
      </c>
      <c r="K165" s="216"/>
      <c r="L165" s="44"/>
      <c r="M165" s="122"/>
      <c r="N165" s="4485"/>
      <c r="O165" s="4542"/>
      <c r="P165" s="67"/>
      <c r="Q165" s="690" t="s">
        <v>3</v>
      </c>
      <c r="R165" s="197" t="b">
        <f t="shared" ref="R165:R185" si="28">IF(OR(Q165="Compliant",Q165="FE with work-a-round",Q165="Functionally Equivalent"),TRUE,FALSE)</f>
        <v>0</v>
      </c>
      <c r="S165" s="44"/>
      <c r="T165" s="44"/>
      <c r="U165" s="122"/>
      <c r="V165" s="4485"/>
      <c r="W165" s="4543"/>
      <c r="X165" s="67"/>
      <c r="Y165" s="44"/>
      <c r="Z165" s="122"/>
      <c r="AU165" s="67"/>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68"/>
    </row>
    <row r="166" spans="1:84" s="28" customFormat="1" ht="30" thickTop="1" thickBot="1" x14ac:dyDescent="0.35">
      <c r="B166" s="1504"/>
      <c r="C166" s="1717" t="s">
        <v>805</v>
      </c>
      <c r="D166" s="319" t="s">
        <v>3</v>
      </c>
      <c r="E166" s="67" t="b">
        <f t="shared" si="26"/>
        <v>0</v>
      </c>
      <c r="F166" s="44"/>
      <c r="G166" s="44" t="str">
        <f t="shared" si="27"/>
        <v/>
      </c>
      <c r="H166" s="44"/>
      <c r="I166" s="44"/>
      <c r="J166" s="216" t="str">
        <f t="shared" si="21"/>
        <v/>
      </c>
      <c r="K166" s="216"/>
      <c r="L166" s="44"/>
      <c r="M166" s="122"/>
      <c r="N166" s="4485"/>
      <c r="O166" s="4542"/>
      <c r="P166" s="67"/>
      <c r="Q166" s="690" t="s">
        <v>3</v>
      </c>
      <c r="R166" s="197" t="b">
        <f t="shared" si="28"/>
        <v>0</v>
      </c>
      <c r="S166" s="44"/>
      <c r="T166" s="44"/>
      <c r="U166" s="122"/>
      <c r="V166" s="4485"/>
      <c r="W166" s="4543"/>
      <c r="X166" s="67"/>
      <c r="Y166" s="44"/>
      <c r="Z166" s="122"/>
      <c r="AU166" s="67"/>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68"/>
    </row>
    <row r="167" spans="1:84" s="28" customFormat="1" ht="44.5" thickTop="1" thickBot="1" x14ac:dyDescent="0.35">
      <c r="B167" s="1504"/>
      <c r="C167" s="1717" t="s">
        <v>804</v>
      </c>
      <c r="D167" s="319" t="s">
        <v>3</v>
      </c>
      <c r="E167" s="67" t="b">
        <f t="shared" si="26"/>
        <v>0</v>
      </c>
      <c r="F167" s="44"/>
      <c r="G167" s="44" t="str">
        <f t="shared" si="27"/>
        <v/>
      </c>
      <c r="H167" s="44"/>
      <c r="I167" s="44"/>
      <c r="J167" s="216" t="str">
        <f t="shared" si="21"/>
        <v/>
      </c>
      <c r="K167" s="216"/>
      <c r="L167" s="44"/>
      <c r="M167" s="122"/>
      <c r="N167" s="4485"/>
      <c r="O167" s="4542"/>
      <c r="P167" s="67"/>
      <c r="Q167" s="690" t="s">
        <v>3</v>
      </c>
      <c r="R167" s="197" t="b">
        <f t="shared" si="28"/>
        <v>0</v>
      </c>
      <c r="S167" s="44"/>
      <c r="T167" s="44"/>
      <c r="U167" s="122"/>
      <c r="V167" s="4485"/>
      <c r="W167" s="4543"/>
      <c r="X167" s="67"/>
      <c r="Y167" s="44"/>
      <c r="Z167" s="122"/>
      <c r="AU167" s="67"/>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68"/>
    </row>
    <row r="168" spans="1:84" s="28" customFormat="1" ht="30" thickTop="1" thickBot="1" x14ac:dyDescent="0.35">
      <c r="B168" s="1504"/>
      <c r="C168" s="1717" t="s">
        <v>803</v>
      </c>
      <c r="D168" s="319" t="s">
        <v>3</v>
      </c>
      <c r="E168" s="67" t="b">
        <f t="shared" si="26"/>
        <v>0</v>
      </c>
      <c r="F168" s="44"/>
      <c r="G168" s="44" t="str">
        <f t="shared" si="27"/>
        <v/>
      </c>
      <c r="H168" s="44"/>
      <c r="I168" s="44"/>
      <c r="J168" s="216" t="str">
        <f t="shared" si="21"/>
        <v/>
      </c>
      <c r="K168" s="216"/>
      <c r="L168" s="44"/>
      <c r="M168" s="122"/>
      <c r="N168" s="4485"/>
      <c r="O168" s="4542"/>
      <c r="P168" s="67"/>
      <c r="Q168" s="690" t="s">
        <v>3</v>
      </c>
      <c r="R168" s="197" t="b">
        <f t="shared" si="28"/>
        <v>0</v>
      </c>
      <c r="S168" s="44"/>
      <c r="T168" s="44"/>
      <c r="U168" s="122"/>
      <c r="V168" s="4485"/>
      <c r="W168" s="4543"/>
      <c r="X168" s="67"/>
      <c r="Y168" s="44"/>
      <c r="Z168" s="122"/>
      <c r="AU168" s="67"/>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68"/>
    </row>
    <row r="169" spans="1:84" s="28" customFormat="1" ht="44.5" thickTop="1" thickBot="1" x14ac:dyDescent="0.35">
      <c r="B169" s="1504"/>
      <c r="C169" s="1717" t="s">
        <v>802</v>
      </c>
      <c r="D169" s="319" t="s">
        <v>3</v>
      </c>
      <c r="E169" s="67" t="b">
        <f t="shared" si="26"/>
        <v>0</v>
      </c>
      <c r="F169" s="44"/>
      <c r="G169" s="44" t="str">
        <f t="shared" si="27"/>
        <v/>
      </c>
      <c r="H169" s="44"/>
      <c r="I169" s="44"/>
      <c r="J169" s="216" t="str">
        <f t="shared" si="21"/>
        <v/>
      </c>
      <c r="K169" s="216"/>
      <c r="L169" s="44"/>
      <c r="M169" s="122"/>
      <c r="N169" s="4485"/>
      <c r="O169" s="4542"/>
      <c r="P169" s="67"/>
      <c r="Q169" s="690" t="s">
        <v>3</v>
      </c>
      <c r="R169" s="197" t="b">
        <f t="shared" si="28"/>
        <v>0</v>
      </c>
      <c r="S169" s="44"/>
      <c r="T169" s="44"/>
      <c r="U169" s="122"/>
      <c r="V169" s="4485"/>
      <c r="W169" s="4543"/>
      <c r="X169" s="67"/>
      <c r="Y169" s="44"/>
      <c r="Z169" s="122"/>
      <c r="AU169" s="67"/>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68"/>
    </row>
    <row r="170" spans="1:84" s="28" customFormat="1" ht="30" thickTop="1" thickBot="1" x14ac:dyDescent="0.35">
      <c r="B170" s="1504"/>
      <c r="C170" s="1717" t="s">
        <v>801</v>
      </c>
      <c r="D170" s="319" t="s">
        <v>3</v>
      </c>
      <c r="E170" s="67" t="b">
        <f t="shared" si="26"/>
        <v>0</v>
      </c>
      <c r="F170" s="44"/>
      <c r="G170" s="44" t="str">
        <f t="shared" si="27"/>
        <v/>
      </c>
      <c r="H170" s="44"/>
      <c r="I170" s="44"/>
      <c r="J170" s="216" t="str">
        <f t="shared" si="21"/>
        <v/>
      </c>
      <c r="K170" s="216"/>
      <c r="L170" s="44"/>
      <c r="M170" s="122"/>
      <c r="N170" s="4485"/>
      <c r="O170" s="4542"/>
      <c r="P170" s="67"/>
      <c r="Q170" s="690" t="s">
        <v>3</v>
      </c>
      <c r="R170" s="197" t="b">
        <f t="shared" si="28"/>
        <v>0</v>
      </c>
      <c r="S170" s="44"/>
      <c r="T170" s="44"/>
      <c r="U170" s="122"/>
      <c r="V170" s="4485"/>
      <c r="W170" s="4543"/>
      <c r="X170" s="67"/>
      <c r="Y170" s="44"/>
      <c r="Z170" s="122"/>
      <c r="AU170" s="67"/>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68"/>
    </row>
    <row r="171" spans="1:84" s="28" customFormat="1" ht="44.5" thickTop="1" thickBot="1" x14ac:dyDescent="0.35">
      <c r="B171" s="1504"/>
      <c r="C171" s="1717" t="s">
        <v>800</v>
      </c>
      <c r="D171" s="319" t="s">
        <v>3</v>
      </c>
      <c r="E171" s="67" t="b">
        <f t="shared" si="26"/>
        <v>0</v>
      </c>
      <c r="F171" s="44"/>
      <c r="G171" s="44" t="str">
        <f t="shared" si="27"/>
        <v/>
      </c>
      <c r="H171" s="44"/>
      <c r="I171" s="44"/>
      <c r="J171" s="216" t="str">
        <f t="shared" si="21"/>
        <v/>
      </c>
      <c r="K171" s="216"/>
      <c r="L171" s="44"/>
      <c r="M171" s="122"/>
      <c r="N171" s="4485"/>
      <c r="O171" s="4542"/>
      <c r="P171" s="67"/>
      <c r="Q171" s="690" t="s">
        <v>3</v>
      </c>
      <c r="R171" s="197" t="b">
        <f t="shared" si="28"/>
        <v>0</v>
      </c>
      <c r="S171" s="44"/>
      <c r="T171" s="44"/>
      <c r="U171" s="122"/>
      <c r="V171" s="4485"/>
      <c r="W171" s="4543"/>
      <c r="X171" s="67"/>
      <c r="Y171" s="44"/>
      <c r="Z171" s="122"/>
      <c r="AU171" s="67"/>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68"/>
    </row>
    <row r="172" spans="1:84" s="28" customFormat="1" ht="30" thickTop="1" thickBot="1" x14ac:dyDescent="0.35">
      <c r="B172" s="1504"/>
      <c r="C172" s="1717" t="s">
        <v>799</v>
      </c>
      <c r="D172" s="319" t="s">
        <v>3</v>
      </c>
      <c r="E172" s="67" t="b">
        <f t="shared" si="26"/>
        <v>0</v>
      </c>
      <c r="F172" s="44"/>
      <c r="G172" s="44" t="str">
        <f t="shared" si="27"/>
        <v/>
      </c>
      <c r="H172" s="44"/>
      <c r="I172" s="44"/>
      <c r="J172" s="216" t="str">
        <f t="shared" si="21"/>
        <v/>
      </c>
      <c r="K172" s="216"/>
      <c r="L172" s="44"/>
      <c r="M172" s="122"/>
      <c r="N172" s="4485"/>
      <c r="O172" s="4542"/>
      <c r="P172" s="67"/>
      <c r="Q172" s="690" t="s">
        <v>3</v>
      </c>
      <c r="R172" s="197" t="b">
        <f t="shared" si="28"/>
        <v>0</v>
      </c>
      <c r="S172" s="44"/>
      <c r="T172" s="44"/>
      <c r="U172" s="122"/>
      <c r="V172" s="4485"/>
      <c r="W172" s="4543"/>
      <c r="X172" s="67"/>
      <c r="Y172" s="44"/>
      <c r="Z172" s="122"/>
      <c r="AU172" s="67"/>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68"/>
    </row>
    <row r="173" spans="1:84" s="28" customFormat="1" ht="30" thickTop="1" thickBot="1" x14ac:dyDescent="0.35">
      <c r="B173" s="1504"/>
      <c r="C173" s="1717" t="s">
        <v>798</v>
      </c>
      <c r="D173" s="319" t="s">
        <v>3</v>
      </c>
      <c r="E173" s="67" t="b">
        <f t="shared" si="26"/>
        <v>0</v>
      </c>
      <c r="F173" s="44"/>
      <c r="G173" s="44" t="str">
        <f t="shared" si="27"/>
        <v/>
      </c>
      <c r="H173" s="44"/>
      <c r="I173" s="44"/>
      <c r="J173" s="216" t="str">
        <f t="shared" si="21"/>
        <v/>
      </c>
      <c r="K173" s="216"/>
      <c r="L173" s="44"/>
      <c r="M173" s="122"/>
      <c r="N173" s="4485"/>
      <c r="O173" s="4542"/>
      <c r="P173" s="67"/>
      <c r="Q173" s="690" t="s">
        <v>3</v>
      </c>
      <c r="R173" s="197" t="b">
        <f t="shared" si="28"/>
        <v>0</v>
      </c>
      <c r="S173" s="44"/>
      <c r="T173" s="44"/>
      <c r="U173" s="122"/>
      <c r="V173" s="4485"/>
      <c r="W173" s="4543"/>
      <c r="X173" s="67"/>
      <c r="Y173" s="44"/>
      <c r="Z173" s="122"/>
      <c r="AU173" s="67"/>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68"/>
    </row>
    <row r="174" spans="1:84" s="28" customFormat="1" ht="30" thickTop="1" thickBot="1" x14ac:dyDescent="0.35">
      <c r="B174" s="1504"/>
      <c r="C174" s="1717" t="s">
        <v>797</v>
      </c>
      <c r="D174" s="319" t="s">
        <v>3</v>
      </c>
      <c r="E174" s="67" t="b">
        <f t="shared" si="26"/>
        <v>0</v>
      </c>
      <c r="F174" s="44"/>
      <c r="G174" s="44" t="str">
        <f t="shared" si="27"/>
        <v/>
      </c>
      <c r="H174" s="44"/>
      <c r="I174" s="44"/>
      <c r="J174" s="216" t="str">
        <f t="shared" si="21"/>
        <v/>
      </c>
      <c r="K174" s="216"/>
      <c r="L174" s="44"/>
      <c r="M174" s="122"/>
      <c r="N174" s="4485"/>
      <c r="O174" s="4542"/>
      <c r="P174" s="67"/>
      <c r="Q174" s="690" t="s">
        <v>3</v>
      </c>
      <c r="R174" s="197" t="b">
        <f t="shared" si="28"/>
        <v>0</v>
      </c>
      <c r="S174" s="44"/>
      <c r="T174" s="44"/>
      <c r="U174" s="122"/>
      <c r="V174" s="4485"/>
      <c r="W174" s="4543"/>
      <c r="X174" s="67"/>
      <c r="Y174" s="44"/>
      <c r="Z174" s="122"/>
      <c r="AU174" s="67"/>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68"/>
    </row>
    <row r="175" spans="1:84" s="28" customFormat="1" ht="30" thickTop="1" thickBot="1" x14ac:dyDescent="0.35">
      <c r="B175" s="1504"/>
      <c r="C175" s="1717" t="s">
        <v>796</v>
      </c>
      <c r="D175" s="319" t="s">
        <v>3</v>
      </c>
      <c r="E175" s="67" t="b">
        <f t="shared" si="26"/>
        <v>0</v>
      </c>
      <c r="F175" s="44"/>
      <c r="G175" s="44" t="str">
        <f t="shared" si="27"/>
        <v/>
      </c>
      <c r="H175" s="44"/>
      <c r="I175" s="44"/>
      <c r="J175" s="216" t="str">
        <f t="shared" si="21"/>
        <v/>
      </c>
      <c r="K175" s="216"/>
      <c r="L175" s="44"/>
      <c r="M175" s="122"/>
      <c r="N175" s="4485"/>
      <c r="O175" s="4542"/>
      <c r="P175" s="67"/>
      <c r="Q175" s="690" t="s">
        <v>3</v>
      </c>
      <c r="R175" s="197" t="b">
        <f t="shared" si="28"/>
        <v>0</v>
      </c>
      <c r="S175" s="44"/>
      <c r="T175" s="44"/>
      <c r="U175" s="122"/>
      <c r="V175" s="4485"/>
      <c r="W175" s="4543"/>
      <c r="X175" s="67"/>
      <c r="Y175" s="44"/>
      <c r="Z175" s="122"/>
      <c r="AU175" s="67"/>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68"/>
    </row>
    <row r="176" spans="1:84" s="28" customFormat="1" ht="44.5" thickTop="1" thickBot="1" x14ac:dyDescent="0.35">
      <c r="B176" s="1504"/>
      <c r="C176" s="1717" t="s">
        <v>795</v>
      </c>
      <c r="D176" s="319" t="s">
        <v>3</v>
      </c>
      <c r="E176" s="67" t="b">
        <f t="shared" si="26"/>
        <v>0</v>
      </c>
      <c r="F176" s="44"/>
      <c r="G176" s="44" t="str">
        <f t="shared" si="27"/>
        <v/>
      </c>
      <c r="H176" s="44"/>
      <c r="I176" s="44"/>
      <c r="J176" s="216" t="str">
        <f t="shared" si="21"/>
        <v/>
      </c>
      <c r="K176" s="216"/>
      <c r="L176" s="44"/>
      <c r="M176" s="122"/>
      <c r="N176" s="4485"/>
      <c r="O176" s="4542"/>
      <c r="P176" s="67"/>
      <c r="Q176" s="690" t="s">
        <v>3</v>
      </c>
      <c r="R176" s="197" t="b">
        <f t="shared" si="28"/>
        <v>0</v>
      </c>
      <c r="S176" s="44"/>
      <c r="T176" s="44"/>
      <c r="U176" s="122"/>
      <c r="V176" s="4485"/>
      <c r="W176" s="4543"/>
      <c r="X176" s="67"/>
      <c r="Y176" s="44"/>
      <c r="Z176" s="122"/>
      <c r="AU176" s="67"/>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68"/>
    </row>
    <row r="177" spans="1:84" s="28" customFormat="1" ht="30" thickTop="1" thickBot="1" x14ac:dyDescent="0.35">
      <c r="B177" s="1504"/>
      <c r="C177" s="1717" t="s">
        <v>794</v>
      </c>
      <c r="D177" s="319" t="s">
        <v>3</v>
      </c>
      <c r="E177" s="67" t="b">
        <f t="shared" si="26"/>
        <v>0</v>
      </c>
      <c r="F177" s="44"/>
      <c r="G177" s="44" t="str">
        <f t="shared" si="27"/>
        <v/>
      </c>
      <c r="H177" s="44"/>
      <c r="I177" s="44"/>
      <c r="J177" s="216" t="str">
        <f t="shared" si="21"/>
        <v/>
      </c>
      <c r="K177" s="216"/>
      <c r="L177" s="44"/>
      <c r="M177" s="122"/>
      <c r="N177" s="4485"/>
      <c r="O177" s="4542"/>
      <c r="P177" s="67"/>
      <c r="Q177" s="690" t="s">
        <v>3</v>
      </c>
      <c r="R177" s="197" t="b">
        <f t="shared" si="28"/>
        <v>0</v>
      </c>
      <c r="S177" s="44"/>
      <c r="T177" s="44"/>
      <c r="U177" s="122"/>
      <c r="V177" s="4485"/>
      <c r="W177" s="4543"/>
      <c r="X177" s="67"/>
      <c r="Y177" s="44"/>
      <c r="Z177" s="122"/>
      <c r="AU177" s="67"/>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68"/>
    </row>
    <row r="178" spans="1:84" s="28" customFormat="1" ht="44.5" thickTop="1" thickBot="1" x14ac:dyDescent="0.35">
      <c r="B178" s="1504"/>
      <c r="C178" s="1717" t="s">
        <v>793</v>
      </c>
      <c r="D178" s="319" t="s">
        <v>3</v>
      </c>
      <c r="E178" s="67" t="b">
        <f t="shared" si="26"/>
        <v>0</v>
      </c>
      <c r="F178" s="44"/>
      <c r="G178" s="44" t="str">
        <f t="shared" si="27"/>
        <v/>
      </c>
      <c r="H178" s="44"/>
      <c r="I178" s="44"/>
      <c r="J178" s="216" t="str">
        <f t="shared" si="21"/>
        <v/>
      </c>
      <c r="K178" s="216"/>
      <c r="L178" s="44"/>
      <c r="M178" s="122"/>
      <c r="N178" s="4485"/>
      <c r="O178" s="4542"/>
      <c r="P178" s="67"/>
      <c r="Q178" s="690" t="s">
        <v>3</v>
      </c>
      <c r="R178" s="197" t="b">
        <f t="shared" si="28"/>
        <v>0</v>
      </c>
      <c r="S178" s="44"/>
      <c r="T178" s="44"/>
      <c r="U178" s="122"/>
      <c r="V178" s="4485"/>
      <c r="W178" s="4543"/>
      <c r="X178" s="67"/>
      <c r="Y178" s="44"/>
      <c r="Z178" s="122"/>
      <c r="AU178" s="67"/>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68"/>
    </row>
    <row r="179" spans="1:84" s="28" customFormat="1" ht="30" thickTop="1" thickBot="1" x14ac:dyDescent="0.35">
      <c r="B179" s="1504"/>
      <c r="C179" s="1717" t="s">
        <v>792</v>
      </c>
      <c r="D179" s="319" t="s">
        <v>3</v>
      </c>
      <c r="E179" s="67" t="b">
        <f t="shared" si="26"/>
        <v>0</v>
      </c>
      <c r="F179" s="44"/>
      <c r="G179" s="44" t="str">
        <f t="shared" si="27"/>
        <v/>
      </c>
      <c r="H179" s="44"/>
      <c r="I179" s="44"/>
      <c r="J179" s="216" t="str">
        <f t="shared" si="21"/>
        <v/>
      </c>
      <c r="K179" s="216"/>
      <c r="L179" s="44"/>
      <c r="M179" s="122"/>
      <c r="N179" s="4485"/>
      <c r="O179" s="4542"/>
      <c r="P179" s="67"/>
      <c r="Q179" s="690" t="s">
        <v>3</v>
      </c>
      <c r="R179" s="197" t="b">
        <f t="shared" si="28"/>
        <v>0</v>
      </c>
      <c r="S179" s="44"/>
      <c r="T179" s="44"/>
      <c r="U179" s="122"/>
      <c r="V179" s="4485"/>
      <c r="W179" s="4543"/>
      <c r="X179" s="67"/>
      <c r="Y179" s="44"/>
      <c r="Z179" s="122"/>
      <c r="AU179" s="67"/>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68"/>
    </row>
    <row r="180" spans="1:84" s="28" customFormat="1" ht="30" thickTop="1" thickBot="1" x14ac:dyDescent="0.35">
      <c r="B180" s="1504"/>
      <c r="C180" s="1717" t="s">
        <v>791</v>
      </c>
      <c r="D180" s="319" t="s">
        <v>3</v>
      </c>
      <c r="E180" s="67" t="b">
        <f t="shared" si="26"/>
        <v>0</v>
      </c>
      <c r="F180" s="44"/>
      <c r="G180" s="44" t="str">
        <f t="shared" si="27"/>
        <v/>
      </c>
      <c r="H180" s="44"/>
      <c r="I180" s="44"/>
      <c r="J180" s="216" t="str">
        <f t="shared" si="21"/>
        <v/>
      </c>
      <c r="K180" s="216"/>
      <c r="L180" s="44"/>
      <c r="M180" s="122"/>
      <c r="N180" s="4485"/>
      <c r="O180" s="4542"/>
      <c r="P180" s="67"/>
      <c r="Q180" s="690" t="s">
        <v>3</v>
      </c>
      <c r="R180" s="197" t="b">
        <f t="shared" si="28"/>
        <v>0</v>
      </c>
      <c r="S180" s="44"/>
      <c r="T180" s="44"/>
      <c r="U180" s="122"/>
      <c r="V180" s="4485"/>
      <c r="W180" s="4543"/>
      <c r="X180" s="67"/>
      <c r="Y180" s="44"/>
      <c r="Z180" s="122"/>
      <c r="AU180" s="67"/>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68"/>
    </row>
    <row r="181" spans="1:84" s="28" customFormat="1" ht="44.5" thickTop="1" thickBot="1" x14ac:dyDescent="0.35">
      <c r="B181" s="1504"/>
      <c r="C181" s="1717" t="s">
        <v>790</v>
      </c>
      <c r="D181" s="319" t="s">
        <v>3</v>
      </c>
      <c r="E181" s="67" t="b">
        <f t="shared" si="26"/>
        <v>0</v>
      </c>
      <c r="F181" s="44"/>
      <c r="G181" s="44" t="str">
        <f t="shared" si="27"/>
        <v/>
      </c>
      <c r="H181" s="44"/>
      <c r="I181" s="44"/>
      <c r="J181" s="216" t="str">
        <f t="shared" si="21"/>
        <v/>
      </c>
      <c r="K181" s="216"/>
      <c r="L181" s="44"/>
      <c r="M181" s="122"/>
      <c r="N181" s="4485"/>
      <c r="O181" s="4542"/>
      <c r="P181" s="67"/>
      <c r="Q181" s="690" t="s">
        <v>3</v>
      </c>
      <c r="R181" s="197" t="b">
        <f t="shared" si="28"/>
        <v>0</v>
      </c>
      <c r="S181" s="44"/>
      <c r="T181" s="44"/>
      <c r="U181" s="122"/>
      <c r="V181" s="4485"/>
      <c r="W181" s="4543"/>
      <c r="X181" s="67"/>
      <c r="Y181" s="44"/>
      <c r="Z181" s="122"/>
      <c r="AU181" s="67"/>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68"/>
    </row>
    <row r="182" spans="1:84" s="28" customFormat="1" ht="30" thickTop="1" thickBot="1" x14ac:dyDescent="0.35">
      <c r="B182" s="1504"/>
      <c r="C182" s="1717" t="s">
        <v>789</v>
      </c>
      <c r="D182" s="319" t="s">
        <v>3</v>
      </c>
      <c r="E182" s="67" t="b">
        <f t="shared" si="26"/>
        <v>0</v>
      </c>
      <c r="F182" s="44"/>
      <c r="G182" s="44" t="str">
        <f t="shared" si="27"/>
        <v/>
      </c>
      <c r="H182" s="44"/>
      <c r="I182" s="44"/>
      <c r="J182" s="216" t="str">
        <f t="shared" si="21"/>
        <v/>
      </c>
      <c r="K182" s="216"/>
      <c r="L182" s="44"/>
      <c r="M182" s="122"/>
      <c r="N182" s="4485"/>
      <c r="O182" s="4542"/>
      <c r="P182" s="67"/>
      <c r="Q182" s="690" t="s">
        <v>3</v>
      </c>
      <c r="R182" s="197" t="b">
        <f t="shared" si="28"/>
        <v>0</v>
      </c>
      <c r="S182" s="44"/>
      <c r="T182" s="44"/>
      <c r="U182" s="122"/>
      <c r="V182" s="4485"/>
      <c r="W182" s="4543"/>
      <c r="X182" s="67"/>
      <c r="Y182" s="44"/>
      <c r="Z182" s="122"/>
      <c r="AU182" s="67"/>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68"/>
    </row>
    <row r="183" spans="1:84" s="28" customFormat="1" ht="44.5" thickTop="1" thickBot="1" x14ac:dyDescent="0.35">
      <c r="B183" s="1504"/>
      <c r="C183" s="1717" t="s">
        <v>788</v>
      </c>
      <c r="D183" s="319" t="s">
        <v>3</v>
      </c>
      <c r="E183" s="67" t="b">
        <f t="shared" si="26"/>
        <v>0</v>
      </c>
      <c r="F183" s="44"/>
      <c r="G183" s="44" t="str">
        <f t="shared" si="27"/>
        <v/>
      </c>
      <c r="H183" s="44"/>
      <c r="I183" s="44"/>
      <c r="J183" s="216" t="str">
        <f t="shared" si="21"/>
        <v/>
      </c>
      <c r="K183" s="216"/>
      <c r="L183" s="44"/>
      <c r="M183" s="122"/>
      <c r="N183" s="4485"/>
      <c r="O183" s="4542"/>
      <c r="P183" s="67"/>
      <c r="Q183" s="690" t="s">
        <v>3</v>
      </c>
      <c r="R183" s="197" t="b">
        <f t="shared" si="28"/>
        <v>0</v>
      </c>
      <c r="S183" s="44"/>
      <c r="T183" s="44"/>
      <c r="U183" s="122"/>
      <c r="V183" s="4485"/>
      <c r="W183" s="4543"/>
      <c r="X183" s="67"/>
      <c r="Y183" s="44"/>
      <c r="Z183" s="122"/>
      <c r="AU183" s="67"/>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68"/>
    </row>
    <row r="184" spans="1:84" s="28" customFormat="1" ht="30" thickTop="1" thickBot="1" x14ac:dyDescent="0.35">
      <c r="B184" s="1504"/>
      <c r="C184" s="1717" t="s">
        <v>787</v>
      </c>
      <c r="D184" s="319" t="s">
        <v>3</v>
      </c>
      <c r="E184" s="67" t="b">
        <f t="shared" si="26"/>
        <v>0</v>
      </c>
      <c r="F184" s="44"/>
      <c r="G184" s="44" t="str">
        <f t="shared" si="27"/>
        <v/>
      </c>
      <c r="H184" s="44"/>
      <c r="I184" s="44"/>
      <c r="J184" s="216" t="str">
        <f t="shared" si="21"/>
        <v/>
      </c>
      <c r="K184" s="216"/>
      <c r="L184" s="44"/>
      <c r="M184" s="122"/>
      <c r="N184" s="4485"/>
      <c r="O184" s="4542"/>
      <c r="P184" s="67"/>
      <c r="Q184" s="690" t="s">
        <v>3</v>
      </c>
      <c r="R184" s="197" t="b">
        <f t="shared" si="28"/>
        <v>0</v>
      </c>
      <c r="S184" s="44"/>
      <c r="T184" s="44"/>
      <c r="U184" s="122"/>
      <c r="V184" s="4485"/>
      <c r="W184" s="4543"/>
      <c r="X184" s="67"/>
      <c r="Y184" s="44"/>
      <c r="Z184" s="122"/>
      <c r="AU184" s="67"/>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68"/>
    </row>
    <row r="185" spans="1:84" s="28" customFormat="1" ht="31" customHeight="1" thickTop="1" thickBot="1" x14ac:dyDescent="0.35">
      <c r="B185" s="1505"/>
      <c r="C185" s="1800" t="s">
        <v>853</v>
      </c>
      <c r="D185" s="230" t="s">
        <v>3</v>
      </c>
      <c r="E185" s="161" t="b">
        <f t="shared" si="26"/>
        <v>0</v>
      </c>
      <c r="F185" s="124"/>
      <c r="G185" s="124" t="str">
        <f t="shared" si="27"/>
        <v/>
      </c>
      <c r="H185" s="124"/>
      <c r="I185" s="124"/>
      <c r="J185" s="218" t="str">
        <f t="shared" si="21"/>
        <v/>
      </c>
      <c r="K185" s="218"/>
      <c r="L185" s="124"/>
      <c r="M185" s="125"/>
      <c r="N185" s="4486"/>
      <c r="O185" s="4542"/>
      <c r="P185" s="161"/>
      <c r="Q185" s="691" t="s">
        <v>3</v>
      </c>
      <c r="R185" s="694" t="b">
        <f t="shared" si="28"/>
        <v>0</v>
      </c>
      <c r="S185" s="124"/>
      <c r="T185" s="124"/>
      <c r="U185" s="125"/>
      <c r="V185" s="4486"/>
      <c r="W185" s="4543"/>
      <c r="X185" s="161"/>
      <c r="Y185" s="124"/>
      <c r="Z185" s="125"/>
      <c r="AU185" s="67"/>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68"/>
    </row>
    <row r="186" spans="1:84" s="3634" customFormat="1" ht="15" thickTop="1" x14ac:dyDescent="0.3">
      <c r="A186" s="3679"/>
      <c r="N186" s="3636"/>
      <c r="O186" s="3636"/>
      <c r="V186" s="3700"/>
      <c r="W186" s="3735"/>
      <c r="X186" s="3729"/>
      <c r="Y186" s="3729"/>
      <c r="AS186" s="3680"/>
      <c r="AT186" s="3681"/>
      <c r="AU186" s="3681"/>
      <c r="AV186" s="3681"/>
      <c r="AW186" s="3681"/>
      <c r="AX186" s="3681"/>
      <c r="AY186" s="3681"/>
      <c r="AZ186" s="3681"/>
      <c r="BA186" s="3681"/>
      <c r="BB186" s="3681"/>
      <c r="BC186" s="3681"/>
      <c r="BD186" s="3681"/>
      <c r="BE186" s="3681"/>
      <c r="BF186" s="3681"/>
      <c r="BG186" s="3681"/>
      <c r="BH186" s="3681"/>
      <c r="BI186" s="3681"/>
      <c r="BJ186" s="3681"/>
      <c r="BK186" s="3681"/>
      <c r="BL186" s="3681"/>
      <c r="BM186" s="3681"/>
      <c r="BN186" s="3681"/>
      <c r="BO186" s="3681"/>
      <c r="BP186" s="3681"/>
      <c r="BQ186" s="3681"/>
      <c r="BR186" s="3681"/>
      <c r="BS186" s="3681"/>
      <c r="BT186" s="3681"/>
      <c r="BU186" s="3681"/>
      <c r="BV186" s="3681"/>
      <c r="BW186" s="3681"/>
      <c r="BX186" s="3681"/>
      <c r="BY186" s="3681"/>
      <c r="BZ186" s="3681"/>
      <c r="CA186" s="3681"/>
      <c r="CB186" s="3681"/>
      <c r="CC186" s="3681"/>
      <c r="CD186" s="3681"/>
      <c r="CE186" s="3681"/>
      <c r="CF186" s="3682"/>
    </row>
    <row r="187" spans="1:84" s="3650" customFormat="1" ht="18.649999999999999" customHeight="1" x14ac:dyDescent="0.3">
      <c r="A187" s="4482" t="s">
        <v>1245</v>
      </c>
      <c r="B187" s="4483"/>
      <c r="C187" s="4483"/>
      <c r="D187" s="4483"/>
      <c r="E187" s="4483"/>
      <c r="F187" s="4483"/>
      <c r="G187" s="4483"/>
      <c r="H187" s="4483"/>
      <c r="I187" s="4483"/>
      <c r="J187" s="4483"/>
      <c r="K187" s="4483"/>
      <c r="L187" s="4483"/>
      <c r="M187" s="4483"/>
      <c r="N187" s="4483"/>
      <c r="O187" s="3669"/>
      <c r="P187" s="3683"/>
      <c r="Q187" s="3683"/>
      <c r="R187" s="4070"/>
      <c r="S187" s="3684"/>
      <c r="T187" s="3685"/>
      <c r="U187" s="3685"/>
      <c r="V187" s="3669"/>
      <c r="W187" s="4051"/>
      <c r="X187" s="3683"/>
      <c r="Y187" s="3684"/>
      <c r="Z187" s="3685"/>
    </row>
    <row r="188" spans="1:84" s="3634" customFormat="1" ht="15" thickBot="1" x14ac:dyDescent="0.35">
      <c r="A188" s="3638"/>
      <c r="B188" s="3638"/>
      <c r="C188" s="3638"/>
      <c r="D188" s="3638"/>
      <c r="E188" s="3638"/>
      <c r="F188" s="3638"/>
      <c r="G188" s="3638"/>
      <c r="H188" s="3638"/>
      <c r="I188" s="3638"/>
      <c r="J188" s="3638"/>
      <c r="K188" s="3638"/>
      <c r="L188" s="3740"/>
      <c r="M188" s="3638"/>
      <c r="N188" s="3637"/>
      <c r="O188" s="3636"/>
      <c r="V188" s="3639"/>
      <c r="W188" s="3641"/>
      <c r="AS188" s="3687"/>
      <c r="AT188" s="3688"/>
      <c r="AU188" s="3688"/>
      <c r="AV188" s="3688"/>
      <c r="AW188" s="3688"/>
      <c r="AX188" s="3688"/>
      <c r="AY188" s="3688"/>
      <c r="AZ188" s="3688"/>
      <c r="BA188" s="3688"/>
      <c r="BB188" s="3688"/>
      <c r="BC188" s="3688"/>
      <c r="BD188" s="3688"/>
      <c r="BE188" s="3688"/>
      <c r="BF188" s="3688"/>
      <c r="BG188" s="3688"/>
      <c r="BH188" s="3688"/>
      <c r="BI188" s="3688"/>
      <c r="BJ188" s="3688"/>
      <c r="BK188" s="3688"/>
      <c r="BL188" s="3688"/>
      <c r="BM188" s="3688"/>
      <c r="BN188" s="3688"/>
      <c r="BO188" s="3688"/>
      <c r="BP188" s="3688"/>
      <c r="BQ188" s="3688"/>
      <c r="BR188" s="3688"/>
      <c r="BS188" s="3688"/>
      <c r="BT188" s="3688"/>
      <c r="BU188" s="3688"/>
      <c r="BV188" s="3688"/>
      <c r="BW188" s="3688"/>
      <c r="BX188" s="3688"/>
      <c r="BY188" s="3688"/>
      <c r="BZ188" s="3688"/>
      <c r="CA188" s="3688"/>
      <c r="CB188" s="3688"/>
      <c r="CC188" s="3688"/>
      <c r="CD188" s="3688"/>
      <c r="CE188" s="3688"/>
      <c r="CF188" s="3689"/>
    </row>
    <row r="189" spans="1:84" s="2" customFormat="1" ht="62.15" customHeight="1" thickTop="1" thickBot="1" x14ac:dyDescent="0.35">
      <c r="A189" s="526" t="s">
        <v>855</v>
      </c>
      <c r="B189" s="1510" t="s">
        <v>1763</v>
      </c>
      <c r="C189" s="1734" t="s">
        <v>854</v>
      </c>
      <c r="D189" s="1192" t="s">
        <v>565</v>
      </c>
      <c r="E189" s="1050" t="b">
        <f>IF(AND(E190=TRUE,E202=TRUE),TRUE,FALSE)</f>
        <v>0</v>
      </c>
      <c r="F189" s="1726">
        <f>SUM(F190,F202)</f>
        <v>0</v>
      </c>
      <c r="G189" s="1726">
        <f>SUM(G190,G202)</f>
        <v>0</v>
      </c>
      <c r="H189" s="1726">
        <f>SUM(H190,H202)</f>
        <v>0</v>
      </c>
      <c r="I189" s="1727" t="str">
        <f xml:space="preserve">
IF(F189&gt;25,"Too Many Entries - Check Red Lines",
IF(AND(E189=FALSE,G189=0,H189=0,E189=TRUE),"Nothing Required Below",
IF(G189&lt;F189,"Valid Entry required below - Check Amber Line/s",
IF(AND(E189=FALSE,G189=0,H189=0),"Nothing Entered below Yet",
IF(G189&lt;F189,"Valid Entry required below - Check Amber Line/s",
IF(AND(G189=0,H189&gt;0),"**Non-Valid Entry/ies below - Check Yellow Line/s",
IF(AND(G189&gt;0,H189&gt;0),"**Valid and Non-Valid Entries made below - Check Yellow Line/s",
IF(AND(E189=FALSE,F189&lt;25),"Not all requirements addressed below - Check Pink Line/s",
IF(AND(E189=FALSE,G189&lt;25,G189&gt;0,H189=0),"More entries to come",
IF(AND(E189,TRUE,G189=25,H189=0),"Valid Entries made below"
))))))))))</f>
        <v>Nothing Entered below Yet</v>
      </c>
      <c r="J189" s="1727">
        <f>SUM(J190,J202)</f>
        <v>0</v>
      </c>
      <c r="K189" s="1727">
        <f>SUM(K190,K202)</f>
        <v>0</v>
      </c>
      <c r="L189" s="1727" t="str">
        <f xml:space="preserve">
IF(J189&gt;25,"Too Many Entries - Check Red Lines",
IF(AND(E189=FALSE,J189=0,K189=0,E188=TRUE),"Nothing Required Below",
IF(J189&lt;F189,"Valid Entry required below - Check Amber Line/s",
IF(AND(E189=FALSE,J189=0,K189=0),"Nothing Entered below Yet",
IF(AND(J189=0,K189&gt;0),"**Non-Valid Entry/ies below - Check Yellow Line/s",
IF(AND(J189&gt;0,K189&gt;0),"**Valid and Non-Valid Entries made below - Check Yellow Line/s",
IF(AND(E189=FALSE,J189&lt;25),"Not all requirements addressed below - Check Pink Line/s",
IF(AND(E189=FALSE,J189&lt;25,J189&gt;0,K189=0),"More entries to come",
IF(AND(E189,TRUE,J189=25,K189=0),"Valid Entries made below"
)))))))))</f>
        <v>Nothing Entered below Yet</v>
      </c>
      <c r="M189" s="807"/>
      <c r="N189" s="1846" t="s">
        <v>565</v>
      </c>
      <c r="O189" s="132" t="b">
        <f>IF(AND(O190=TRUE,O202=TRUE),TRUE,FALSE)</f>
        <v>0</v>
      </c>
      <c r="P189" s="337"/>
      <c r="Q189" s="1846" t="s">
        <v>565</v>
      </c>
      <c r="R189" s="735" t="b">
        <f>IF(AND(R190=TRUE,R202=TRUE),TRUE,FALSE)</f>
        <v>0</v>
      </c>
      <c r="S189" s="186"/>
      <c r="T189" s="186"/>
      <c r="U189" s="459"/>
      <c r="V189" s="1846" t="s">
        <v>565</v>
      </c>
      <c r="W189" s="1092" t="b">
        <f>IF(AND(W190=TRUE,W202=TRUE),TRUE,FALSE)</f>
        <v>0</v>
      </c>
      <c r="X189" s="4078"/>
      <c r="Y189" s="2960"/>
      <c r="Z189" s="4079"/>
      <c r="AA189"/>
      <c r="AB189"/>
      <c r="AL189" s="46"/>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8"/>
    </row>
    <row r="190" spans="1:84" s="2" customFormat="1" ht="108" customHeight="1" thickTop="1" thickBot="1" x14ac:dyDescent="0.35">
      <c r="A190" s="321"/>
      <c r="B190" s="1808" t="s">
        <v>1386</v>
      </c>
      <c r="C190" s="1709" t="s">
        <v>1156</v>
      </c>
      <c r="D190" s="1858" t="s">
        <v>565</v>
      </c>
      <c r="E190" s="1859" t="b">
        <f>IF(AND(E191=TRUE,E194=TRUE),TRUE,FALSE)</f>
        <v>0</v>
      </c>
      <c r="F190" s="817">
        <f>SUM(F191,F194)</f>
        <v>0</v>
      </c>
      <c r="G190" s="817">
        <f>SUM(G191,G194)</f>
        <v>0</v>
      </c>
      <c r="H190" s="817">
        <f>SUM(H191,H194)</f>
        <v>0</v>
      </c>
      <c r="I190" s="1497" t="str">
        <f xml:space="preserve">
IF(F190&gt;7,"Too Many Entries - Check Red Lines",
IF(AND(E190=FALSE,G190=0,H190=0,E190=TRUE),"Nothing Required Below",
IF(G190&lt;F190,"Valid Entry required below - Check Amber Line/s",
IF(AND(E190=FALSE,G190=0,H190=0),"Nothing Entered below Yet",
IF(G190&lt;F190,"Valid Entry required below - Check Amber Line/s",
IF(AND(G190=0,H190&gt;0),"**Non-Valid Entry/ies below - Check Yellow Line/s",
IF(AND(G190&gt;0,H190&gt;0),"**Valid and Non-Valid Entries made below - Check Yellow Line/s",
IF(AND(E190=FALSE,F190&lt;7),"Not all requirements addressed below - Check Pink Line/s",
IF(AND(E190=FALSE,G190&lt;7,G190&gt;0,H190=0),"More entries to come",
IF(AND(E190,TRUE,G190=7,H190=0),"Valid Entries made below"
))))))))))</f>
        <v>Nothing Entered below Yet</v>
      </c>
      <c r="J190" s="1497">
        <f>SUM(J191,J194)</f>
        <v>0</v>
      </c>
      <c r="K190" s="1497">
        <f>SUM(K191,K194)</f>
        <v>0</v>
      </c>
      <c r="L190" s="1497" t="str">
        <f xml:space="preserve">
IF(J190&gt;7,"Too Many Entries - Check Red Lines",
IF(AND(E190=FALSE,J190=0,K190=0,E189=TRUE),"Nothing Required Below",
IF(J190&lt;F190,"Valid Entry required below - Check Amber Line/s",
IF(AND(E190=FALSE,J190=0,K190=0),"Nothing Entered below Yet",
IF(AND(J190=0,K190&gt;0),"**Non-Valid Entry/ies below - Check Yellow Line/s",
IF(AND(J190&gt;0,K190&gt;0),"**Valid and Non-Valid Entries made below - Check Yellow Line/s",
IF(AND(E190=FALSE,J190&lt;7),"Not all requirements addressed below - Check Pink Line/s",
IF(AND(E190=FALSE,J190&lt;7,J190&gt;0,K190=0),"More entries to come",
IF(AND(E190,TRUE,J190=7,K190=0),"Valid Entries made below"
)))))))))</f>
        <v>Nothing Entered below Yet</v>
      </c>
      <c r="M190" s="134"/>
      <c r="N190" s="940" t="s">
        <v>3</v>
      </c>
      <c r="O190" s="939" t="b">
        <f>IF(OR(N190="Compliant",N190="FE with work-a-round",N190="Functionally Equivalent"),TRUE,FALSE)</f>
        <v>0</v>
      </c>
      <c r="P190" s="337"/>
      <c r="Q190" s="1846" t="s">
        <v>565</v>
      </c>
      <c r="R190" s="749" t="b">
        <f>IF(AND(R191=TRUE,R194=TRUE),TRUE,FALSE)</f>
        <v>0</v>
      </c>
      <c r="S190" s="3600"/>
      <c r="T190" s="3600"/>
      <c r="U190" s="3598"/>
      <c r="V190" s="1846" t="s">
        <v>565</v>
      </c>
      <c r="W190" s="1092" t="b">
        <f>IF(AND(W191=TRUE,W194=TRUE),TRUE,FALSE)</f>
        <v>0</v>
      </c>
      <c r="X190" s="3875"/>
      <c r="Y190" s="3875"/>
      <c r="Z190" s="2962"/>
      <c r="AA190"/>
      <c r="AB190"/>
      <c r="AL190" s="46"/>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8"/>
    </row>
    <row r="191" spans="1:84" s="2" customFormat="1" ht="53.5" customHeight="1" thickTop="1" thickBot="1" x14ac:dyDescent="0.35">
      <c r="A191" s="321"/>
      <c r="B191" s="1810" t="s">
        <v>1387</v>
      </c>
      <c r="C191" s="2384" t="s">
        <v>1130</v>
      </c>
      <c r="D191" s="2326" t="s">
        <v>565</v>
      </c>
      <c r="E191" s="1691" t="b">
        <f>IF(OR(E192=TRUE,E193=TRUE),TRUE,FALSE)</f>
        <v>0</v>
      </c>
      <c r="F191" s="398">
        <f>COUNTIF(E192:E193,TRUE)</f>
        <v>0</v>
      </c>
      <c r="G191" s="1714">
        <f>COUNTIFS(E192:E193,TRUE,G192:G193,"Not Blank")</f>
        <v>0</v>
      </c>
      <c r="H191" s="398">
        <f>COUNTIFS(E192:E193,FALSE,G192:G193,"Not Blank")</f>
        <v>0</v>
      </c>
      <c r="I191" s="2155" t="str">
        <f xml:space="preserve">
IF(F191&gt;1,"Too Many Entries - Check Red Lines",
IF(AND(E191=FALSE,G191=0,H191=0,E191=TRUE),"Nothing Required Below",
IF(G191&lt;F191,"Valid Entry required below - Check Amber Line/s",
IF(AND(E191=FALSE,G191=0,H191=0),"Nothing Entered below Yet",
IF(G191&lt;F191,"Valid Entry required below - Check Amber Line/s",
IF(AND(G191=0,H191&gt;0),"**Non-Valid Entry/ies below - Check Yellow Line/s",
IF(AND(G191&gt;0,H191&gt;0),"**Valid and Non-Valid Entries made below - Check Yellow Line/s",
IF(AND(E191=FALSE,F191&lt;1),"Not all requirements addressed below - Check Pink Line/s",
IF(AND(E191=FALSE,G191&lt;1,G191&gt;0,H191=0),"More entries to come",
IF(AND(E191,TRUE,G191=1,H191=0),"Valid Entries made below"
))))))))))</f>
        <v>Nothing Entered below Yet</v>
      </c>
      <c r="J191" s="2248">
        <f>COUNTIFS(E192:E193,TRUE,J192:J193,"Not Blank")</f>
        <v>0</v>
      </c>
      <c r="K191" s="2248">
        <f>COUNTIFS(E192:E193,FALSE,J192:J193,"Not Blank")</f>
        <v>0</v>
      </c>
      <c r="L191" s="2155" t="str">
        <f xml:space="preserve">
IF(J191&gt;1,"Too Many Entries - Check Red Lines",
IF(AND(E191=FALSE,J191=0,K191=0,E190=TRUE),"Nothing Required Below",
IF(J191&lt;F191,"Valid Entry required below - Check Amber Line/s",
IF(AND(E191=FALSE,J191=0,K191=0),"Nothing Entered below Yet",
IF(AND(J191=0,K191&gt;0),"**Non-Valid Entry/ies below - Check Yellow Line/s",
IF(AND(J191&gt;0,K191&gt;0),"**Valid and Non-Valid Entries made below - Check Yellow Line/s",
IF(AND(E191=FALSE,J191&lt;1),"Not all requirements addressed below - Check Pink Line/s",
IF(AND(E191=FALSE,J191&lt;1,J191&gt;0,K191=0),"More entries to come",
IF(AND(E191,TRUE,J191=1,K191=0),"Valid Entries made below"
)))))))))</f>
        <v>Nothing Entered below Yet</v>
      </c>
      <c r="M191" s="2176"/>
      <c r="N191" s="4557" t="s">
        <v>3</v>
      </c>
      <c r="O191" s="4548" t="b">
        <f>IF(OR(N191="Compliant",N191="FE with work-a-round",N191="Functionally Equivalent"),TRUE,FALSE)</f>
        <v>0</v>
      </c>
      <c r="P191" s="2176"/>
      <c r="Q191" s="2376" t="s">
        <v>565</v>
      </c>
      <c r="R191" s="840" t="b">
        <f>IF(OR(R192=TRUE,R193=TRUE),TRUE,FALSE)</f>
        <v>0</v>
      </c>
      <c r="S191" s="111"/>
      <c r="T191" s="111"/>
      <c r="U191" s="120"/>
      <c r="V191" s="4484" t="s">
        <v>3</v>
      </c>
      <c r="W191" s="4543" t="b">
        <f>IF(OR(V191="Compliant",V191="FE with work-a-round",V191="Functionally Equivalent",V191="Not Required/Applicable"),TRUE,FALSE)</f>
        <v>0</v>
      </c>
      <c r="X191" s="3873"/>
      <c r="Y191" s="2701"/>
      <c r="Z191" s="2702"/>
      <c r="AA191"/>
      <c r="AB191"/>
      <c r="AL191" s="46"/>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8"/>
    </row>
    <row r="192" spans="1:84" s="2" customFormat="1" ht="115.5" customHeight="1" thickTop="1" thickBot="1" x14ac:dyDescent="0.35">
      <c r="A192" s="321"/>
      <c r="B192" s="1504"/>
      <c r="C192" s="1806" t="s">
        <v>1833</v>
      </c>
      <c r="D192" s="1013" t="s">
        <v>3</v>
      </c>
      <c r="E192" s="594" t="b">
        <f>IF(D192="Compliant",TRUE,FALSE)</f>
        <v>0</v>
      </c>
      <c r="F192" s="361"/>
      <c r="G192" s="382" t="str">
        <f>IF(I192&lt;&gt;"", "Not Blank", "")</f>
        <v/>
      </c>
      <c r="H192" s="361"/>
      <c r="I192" s="42"/>
      <c r="J192" s="391" t="str">
        <f>IF(L192&lt;&gt;"", "Not Blank", "")</f>
        <v/>
      </c>
      <c r="K192" s="391"/>
      <c r="L192" s="42"/>
      <c r="M192" s="128"/>
      <c r="N192" s="4485"/>
      <c r="O192" s="4549"/>
      <c r="P192" s="1081"/>
      <c r="Q192" s="2096" t="s">
        <v>3</v>
      </c>
      <c r="R192" s="263" t="b">
        <f>IF(OR(Q192="Compliant",Q192="FE with work-a-round",Q192="Functionally Equivalent"),TRUE,FALSE)</f>
        <v>0</v>
      </c>
      <c r="S192" s="261"/>
      <c r="T192" s="261"/>
      <c r="U192" s="575"/>
      <c r="V192" s="4485"/>
      <c r="W192" s="4543"/>
      <c r="X192" s="2709"/>
      <c r="Y192" s="1443"/>
      <c r="Z192" s="2698"/>
      <c r="AA192"/>
      <c r="AB192"/>
      <c r="AL192" s="46"/>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8"/>
    </row>
    <row r="193" spans="1:84" s="2" customFormat="1" ht="76" customHeight="1" thickTop="1" thickBot="1" x14ac:dyDescent="0.35">
      <c r="A193" s="321"/>
      <c r="B193" s="1505"/>
      <c r="C193" s="1800" t="s">
        <v>1069</v>
      </c>
      <c r="D193" s="230" t="s">
        <v>3</v>
      </c>
      <c r="E193" s="595" t="b">
        <f>IF(D193="Compliant",TRUE,FALSE)</f>
        <v>0</v>
      </c>
      <c r="F193" s="258"/>
      <c r="G193" s="383" t="str">
        <f>IF(I193&lt;&gt;"", "Not Blank", "")</f>
        <v/>
      </c>
      <c r="H193" s="258"/>
      <c r="I193" s="124"/>
      <c r="J193" s="218" t="str">
        <f>IF(L193&lt;&gt;"", "Not Blank", "")</f>
        <v/>
      </c>
      <c r="K193" s="218"/>
      <c r="L193" s="124"/>
      <c r="M193" s="125"/>
      <c r="N193" s="4485"/>
      <c r="O193" s="4550"/>
      <c r="P193" s="4071"/>
      <c r="Q193" s="1038" t="s">
        <v>3</v>
      </c>
      <c r="R193" s="694" t="b">
        <f>IF(OR(Q193="Compliant",Q193="FE with work-a-round",Q193="Functionally Equivalent"),TRUE,FALSE)</f>
        <v>0</v>
      </c>
      <c r="S193" s="258"/>
      <c r="T193" s="258"/>
      <c r="U193" s="2682"/>
      <c r="V193" s="4486"/>
      <c r="W193" s="4543"/>
      <c r="X193" s="2713"/>
      <c r="Y193" s="1423"/>
      <c r="Z193" s="2682"/>
      <c r="AA193"/>
      <c r="AB193"/>
      <c r="AL193" s="46"/>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8"/>
    </row>
    <row r="194" spans="1:84" s="20" customFormat="1" ht="48.65" customHeight="1" thickTop="1" thickBot="1" x14ac:dyDescent="0.35">
      <c r="A194" s="514"/>
      <c r="B194" s="1495" t="s">
        <v>1388</v>
      </c>
      <c r="C194" s="1734" t="s">
        <v>1131</v>
      </c>
      <c r="D194" s="1192" t="s">
        <v>565</v>
      </c>
      <c r="E194" s="659" t="b">
        <f>IF(AND(E195=TRUE,E196=TRUE,E197=TRUE,E198=TRUE,E199=TRUE,E200=TRUE),TRUE,FALSE)</f>
        <v>0</v>
      </c>
      <c r="F194" s="207">
        <f>COUNTIF(E195:E200,TRUE)</f>
        <v>0</v>
      </c>
      <c r="G194" s="207">
        <f>COUNTIFS(E195:E200,TRUE,G195:G200,"Not Blank")</f>
        <v>0</v>
      </c>
      <c r="H194" s="207">
        <f>COUNTIFS(E195:E200,FALSE,G195:G200,"Not Blank")</f>
        <v>0</v>
      </c>
      <c r="I194" s="1497" t="str">
        <f xml:space="preserve">
IF(F194&gt;6,"Too Many Entries - Check Red Lines",
IF(AND(E194=FALSE,G194=0,H194=0,E194=TRUE),"Nothing Required Below",
IF(G194&lt;F194,"Valid Entry required below - Check Amber Line/s",
IF(AND(E194=FALSE,G194=0,H194=0),"Nothing Entered below Yet",
IF(G194&lt;F194,"Valid Entry required below - Check Amber Line/s",
IF(AND(G194=0,H194&gt;0),"**Non-Valid Entry/ies below - Check Yellow Line/s",
IF(AND(G194&gt;0,H194&gt;0),"**Valid and Non-Valid Entries made below - Check Yellow Line/s",
IF(AND(E194=FALSE,F194&lt;6),"Not all requirements addressed below - Check Pink Line/s",
IF(AND(E194=FALSE,G194&lt;6,G194&gt;0,H194=0),"More entries to come",
IF(AND(E194,TRUE,G194=6,H194=0),"Valid Entries made below"
))))))))))</f>
        <v>Nothing Entered below Yet</v>
      </c>
      <c r="J194" s="1497">
        <f>COUNTIFS(E195:E200,TRUE,J195:J200,"Not Blank")</f>
        <v>0</v>
      </c>
      <c r="K194" s="1497">
        <f>COUNTIFS(E195:E200,FALSE,J195:J200,"Not Blank")</f>
        <v>0</v>
      </c>
      <c r="L194" s="1497" t="str">
        <f xml:space="preserve">
IF(J194&gt;6,"Too Many Entries - Check Red Lines",
IF(AND(E194=FALSE,J194=0,K194=0,E193=TRUE),"Nothing Required Below",
IF(J194&lt;F194,"Valid Entry required below - Check Amber Line/s",
IF(AND(E194=FALSE,J194=0,K194=0),"Nothing Entered below Yet",
IF(AND(J194=0,K194&gt;0),"**Non-Valid Entry/ies below - Check Yellow Line/s",
IF(AND(J194&gt;0,K194&gt;0),"**Valid and Non-Valid Entries made below - Check Yellow Line/s",
IF(AND(E194=FALSE,J194&lt;6),"Not all requirements addressed below - Check Pink Line/s",
IF(AND(E194=FALSE,J194&lt;6,J194&gt;0,K194=0),"More entries to come",
IF(AND(E194,TRUE,J194=6,K194=0),"Valid Entries made below"
)))))))))</f>
        <v>Nothing Entered below Yet</v>
      </c>
      <c r="M194" s="134"/>
      <c r="N194" s="4484" t="s">
        <v>3</v>
      </c>
      <c r="O194" s="4576" t="b">
        <f>IF(OR(N194="Compliant",N194="FE with work-a-round",N194="Functionally Equivalent"),TRUE,FALSE)</f>
        <v>0</v>
      </c>
      <c r="P194" s="88"/>
      <c r="Q194" s="1640" t="s">
        <v>565</v>
      </c>
      <c r="R194" s="735" t="b">
        <f>IF(AND(R195=TRUE,R196=TRUE,R197=TRUE,R198=TRUE,R199=TRUE,R200=TRUE),TRUE,FALSE)</f>
        <v>0</v>
      </c>
      <c r="S194" s="111"/>
      <c r="T194" s="111"/>
      <c r="U194" s="120"/>
      <c r="V194" s="4484" t="s">
        <v>3</v>
      </c>
      <c r="W194" s="4543" t="b">
        <f>IF(OR(V194="Compliant",V194="FE with work-a-round",V194="Functionally Equivalent",V194="Not Required/Applicable"),TRUE,FALSE)</f>
        <v>0</v>
      </c>
      <c r="X194" s="4077"/>
      <c r="Y194" s="1753"/>
      <c r="Z194" s="2666"/>
      <c r="AL194" s="267"/>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c r="BJ194" s="224"/>
      <c r="BK194" s="224"/>
      <c r="BL194" s="224"/>
      <c r="BM194" s="224"/>
      <c r="BN194" s="224"/>
      <c r="BO194" s="224"/>
      <c r="BP194" s="224"/>
      <c r="BQ194" s="224"/>
      <c r="BR194" s="224"/>
      <c r="BS194" s="224"/>
      <c r="BT194" s="224"/>
      <c r="BU194" s="224"/>
      <c r="BV194" s="224"/>
      <c r="BW194" s="224"/>
      <c r="BX194" s="224"/>
      <c r="BY194" s="224"/>
      <c r="BZ194" s="224"/>
      <c r="CA194" s="224"/>
      <c r="CB194" s="224"/>
      <c r="CC194" s="224"/>
      <c r="CD194" s="224"/>
      <c r="CE194" s="224"/>
      <c r="CF194" s="268"/>
    </row>
    <row r="195" spans="1:84" s="2" customFormat="1" ht="119.15" customHeight="1" thickTop="1" thickBot="1" x14ac:dyDescent="0.35">
      <c r="A195" s="25" t="s">
        <v>856</v>
      </c>
      <c r="B195" s="1504"/>
      <c r="C195" s="1685" t="s">
        <v>862</v>
      </c>
      <c r="D195" s="229" t="s">
        <v>3</v>
      </c>
      <c r="E195" s="67" t="b">
        <f t="shared" ref="E195:E200" si="29">IF(D195="Compliant",TRUE,FALSE)</f>
        <v>0</v>
      </c>
      <c r="F195" s="44"/>
      <c r="G195" s="44" t="str">
        <f t="shared" ref="G195:G200" si="30">IF(I195&lt;&gt;"", "Not Blank", "")</f>
        <v/>
      </c>
      <c r="H195" s="44"/>
      <c r="I195" s="42"/>
      <c r="J195" s="42" t="str">
        <f t="shared" ref="J195:J200" si="31">IF(L195&lt;&gt;"", "Not Blank", "")</f>
        <v/>
      </c>
      <c r="K195" s="42"/>
      <c r="L195" s="42"/>
      <c r="M195" s="128"/>
      <c r="N195" s="4485"/>
      <c r="O195" s="4574"/>
      <c r="P195" s="4072"/>
      <c r="Q195" s="1826" t="s">
        <v>3</v>
      </c>
      <c r="R195" s="934" t="b">
        <f t="shared" ref="R195:R200" si="32">IF(OR(Q195="Compliant",Q195="FE with work-a-round",Q195="Functionally Equivalent"),TRUE,FALSE)</f>
        <v>0</v>
      </c>
      <c r="S195" s="361"/>
      <c r="T195" s="361"/>
      <c r="U195" s="2698"/>
      <c r="V195" s="4485"/>
      <c r="W195" s="4543"/>
      <c r="X195" s="2709"/>
      <c r="Y195" s="1443"/>
      <c r="Z195" s="2698"/>
      <c r="AA195"/>
      <c r="AB195"/>
      <c r="AL195" s="46"/>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8"/>
    </row>
    <row r="196" spans="1:84" s="2" customFormat="1" ht="64" customHeight="1" thickTop="1" thickBot="1" x14ac:dyDescent="0.35">
      <c r="A196" s="25" t="s">
        <v>857</v>
      </c>
      <c r="B196" s="1504"/>
      <c r="C196" s="1717" t="s">
        <v>212</v>
      </c>
      <c r="D196" s="319" t="s">
        <v>3</v>
      </c>
      <c r="E196" s="67" t="b">
        <f t="shared" si="29"/>
        <v>0</v>
      </c>
      <c r="F196" s="44"/>
      <c r="G196" s="44" t="str">
        <f>IF(I196&lt;&gt;"", "Not Blank", "")</f>
        <v/>
      </c>
      <c r="H196" s="44"/>
      <c r="I196" s="44"/>
      <c r="J196" s="44" t="str">
        <f t="shared" si="31"/>
        <v/>
      </c>
      <c r="K196" s="44"/>
      <c r="L196" s="44"/>
      <c r="M196" s="122"/>
      <c r="N196" s="4485"/>
      <c r="O196" s="4574"/>
      <c r="P196" s="4073"/>
      <c r="Q196" s="690" t="s">
        <v>3</v>
      </c>
      <c r="R196" s="934" t="b">
        <f t="shared" si="32"/>
        <v>0</v>
      </c>
      <c r="S196" s="361"/>
      <c r="T196" s="361"/>
      <c r="U196" s="2698"/>
      <c r="V196" s="4485"/>
      <c r="W196" s="4543"/>
      <c r="X196" s="2709"/>
      <c r="Y196" s="1443"/>
      <c r="Z196" s="2698"/>
      <c r="AA196"/>
      <c r="AB196"/>
      <c r="AL196" s="46"/>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8"/>
    </row>
    <row r="197" spans="1:84" s="2" customFormat="1" ht="38.15" customHeight="1" thickTop="1" thickBot="1" x14ac:dyDescent="0.35">
      <c r="A197" s="25" t="s">
        <v>858</v>
      </c>
      <c r="B197" s="1504"/>
      <c r="C197" s="1717" t="s">
        <v>214</v>
      </c>
      <c r="D197" s="319" t="s">
        <v>3</v>
      </c>
      <c r="E197" s="67" t="b">
        <f t="shared" si="29"/>
        <v>0</v>
      </c>
      <c r="F197" s="44"/>
      <c r="G197" s="44" t="str">
        <f t="shared" si="30"/>
        <v/>
      </c>
      <c r="H197" s="44"/>
      <c r="I197" s="44"/>
      <c r="J197" s="44" t="str">
        <f t="shared" si="31"/>
        <v/>
      </c>
      <c r="K197" s="44"/>
      <c r="L197" s="44"/>
      <c r="M197" s="122"/>
      <c r="N197" s="4485"/>
      <c r="O197" s="4574"/>
      <c r="P197" s="4073"/>
      <c r="Q197" s="690" t="s">
        <v>3</v>
      </c>
      <c r="R197" s="934" t="b">
        <f t="shared" si="32"/>
        <v>0</v>
      </c>
      <c r="S197" s="361"/>
      <c r="T197" s="361"/>
      <c r="U197" s="2698"/>
      <c r="V197" s="4485"/>
      <c r="W197" s="4543"/>
      <c r="X197" s="2709"/>
      <c r="Y197" s="1443"/>
      <c r="Z197" s="2698"/>
      <c r="AA197"/>
      <c r="AB197"/>
      <c r="AL197" s="46"/>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8"/>
    </row>
    <row r="198" spans="1:84" s="2" customFormat="1" ht="50.15" customHeight="1" thickTop="1" thickBot="1" x14ac:dyDescent="0.35">
      <c r="A198" s="25" t="s">
        <v>859</v>
      </c>
      <c r="B198" s="1504"/>
      <c r="C198" s="1717" t="s">
        <v>292</v>
      </c>
      <c r="D198" s="319" t="s">
        <v>3</v>
      </c>
      <c r="E198" s="67" t="b">
        <f t="shared" si="29"/>
        <v>0</v>
      </c>
      <c r="F198" s="44"/>
      <c r="G198" s="44" t="str">
        <f t="shared" si="30"/>
        <v/>
      </c>
      <c r="H198" s="44"/>
      <c r="I198" s="44"/>
      <c r="J198" s="44" t="str">
        <f t="shared" si="31"/>
        <v/>
      </c>
      <c r="K198" s="44"/>
      <c r="L198" s="44"/>
      <c r="M198" s="122"/>
      <c r="N198" s="4485"/>
      <c r="O198" s="4574"/>
      <c r="P198" s="4073"/>
      <c r="Q198" s="690" t="s">
        <v>3</v>
      </c>
      <c r="R198" s="934" t="b">
        <f t="shared" si="32"/>
        <v>0</v>
      </c>
      <c r="S198" s="361"/>
      <c r="T198" s="361"/>
      <c r="U198" s="2698"/>
      <c r="V198" s="4485"/>
      <c r="W198" s="4543"/>
      <c r="X198" s="2709"/>
      <c r="Y198" s="1443"/>
      <c r="Z198" s="2698"/>
      <c r="AA198"/>
      <c r="AB198"/>
      <c r="AL198" s="46"/>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8"/>
    </row>
    <row r="199" spans="1:84" s="2" customFormat="1" ht="121" customHeight="1" thickTop="1" thickBot="1" x14ac:dyDescent="0.35">
      <c r="A199" s="25" t="s">
        <v>860</v>
      </c>
      <c r="B199" s="1504"/>
      <c r="C199" s="1717" t="s">
        <v>863</v>
      </c>
      <c r="D199" s="319" t="s">
        <v>3</v>
      </c>
      <c r="E199" s="67" t="b">
        <f t="shared" si="29"/>
        <v>0</v>
      </c>
      <c r="F199" s="44"/>
      <c r="G199" s="44" t="str">
        <f t="shared" si="30"/>
        <v/>
      </c>
      <c r="H199" s="44"/>
      <c r="I199" s="44"/>
      <c r="J199" s="44" t="str">
        <f t="shared" si="31"/>
        <v/>
      </c>
      <c r="K199" s="44"/>
      <c r="L199" s="44"/>
      <c r="M199" s="122"/>
      <c r="N199" s="4485"/>
      <c r="O199" s="4574"/>
      <c r="P199" s="4073"/>
      <c r="Q199" s="690" t="s">
        <v>3</v>
      </c>
      <c r="R199" s="934" t="b">
        <f t="shared" si="32"/>
        <v>0</v>
      </c>
      <c r="S199" s="361"/>
      <c r="T199" s="361"/>
      <c r="U199" s="2698"/>
      <c r="V199" s="4485"/>
      <c r="W199" s="4543"/>
      <c r="X199" s="2709"/>
      <c r="Y199" s="1443"/>
      <c r="Z199" s="2698"/>
      <c r="AA199"/>
      <c r="AB199"/>
      <c r="AL199" s="46"/>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8"/>
    </row>
    <row r="200" spans="1:84" s="2" customFormat="1" ht="80.150000000000006" customHeight="1" thickTop="1" thickBot="1" x14ac:dyDescent="0.35">
      <c r="A200" s="25" t="s">
        <v>861</v>
      </c>
      <c r="B200" s="1505"/>
      <c r="C200" s="1800" t="s">
        <v>864</v>
      </c>
      <c r="D200" s="230" t="s">
        <v>3</v>
      </c>
      <c r="E200" s="161" t="b">
        <f t="shared" si="29"/>
        <v>0</v>
      </c>
      <c r="F200" s="124"/>
      <c r="G200" s="124" t="str">
        <f t="shared" si="30"/>
        <v/>
      </c>
      <c r="H200" s="124"/>
      <c r="I200" s="124"/>
      <c r="J200" s="124" t="str">
        <f t="shared" si="31"/>
        <v/>
      </c>
      <c r="K200" s="124"/>
      <c r="L200" s="124"/>
      <c r="M200" s="125"/>
      <c r="N200" s="4486"/>
      <c r="O200" s="4575"/>
      <c r="P200" s="4074"/>
      <c r="Q200" s="691" t="s">
        <v>3</v>
      </c>
      <c r="R200" s="935" t="b">
        <f t="shared" si="32"/>
        <v>0</v>
      </c>
      <c r="S200" s="258"/>
      <c r="T200" s="258"/>
      <c r="U200" s="2682"/>
      <c r="V200" s="4486"/>
      <c r="W200" s="4543"/>
      <c r="X200" s="2713"/>
      <c r="Y200" s="1423"/>
      <c r="Z200" s="2682"/>
      <c r="AA200"/>
      <c r="AB200"/>
      <c r="AL200" s="46"/>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8"/>
    </row>
    <row r="201" spans="1:84" ht="13.5" customHeight="1" thickTop="1" thickBot="1" x14ac:dyDescent="0.35">
      <c r="A201" s="243"/>
      <c r="B201" s="278"/>
      <c r="C201" s="31"/>
      <c r="D201" s="29"/>
      <c r="E201" s="29"/>
      <c r="F201" s="29"/>
      <c r="G201" s="29"/>
      <c r="H201" s="29"/>
      <c r="I201" s="244"/>
      <c r="J201" s="30"/>
      <c r="K201" s="30"/>
      <c r="L201" s="30"/>
      <c r="P201" s="516"/>
      <c r="Q201" s="516"/>
      <c r="R201" s="516"/>
      <c r="S201" s="89"/>
      <c r="T201" s="90"/>
      <c r="AL201" s="49"/>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1"/>
    </row>
    <row r="202" spans="1:84" s="2" customFormat="1" ht="37.5" customHeight="1" thickTop="1" thickBot="1" x14ac:dyDescent="0.35">
      <c r="A202" s="25" t="s">
        <v>866</v>
      </c>
      <c r="B202" s="1495" t="s">
        <v>461</v>
      </c>
      <c r="C202" s="1809" t="s">
        <v>865</v>
      </c>
      <c r="D202" s="1499" t="s">
        <v>1362</v>
      </c>
      <c r="E202" s="659" t="b">
        <f>IF(AND(E203=TRUE,E204=TRUE,E205=TRUE,E206=TRUE,E207=TRUE,E209=TRUE,E210=TRUE,E211=TRUE,E212=TRUE,E213=TRUE,E214=TRUE,E215=TRUE,E216=TRUE,E217=TRUE,E218=TRUE,E219=TRUE,E220=TRUE,E221=TRUE),TRUE,FALSE)</f>
        <v>0</v>
      </c>
      <c r="F202" s="207">
        <f>COUNTIF(E203:E207,TRUE)+COUNTIF(E209:E221,TRUE)</f>
        <v>0</v>
      </c>
      <c r="G202" s="207">
        <f>COUNTIFS(E203:E207,TRUE,G203:G207,"Not Blank")+COUNTIFS(E209:E221,TRUE,G209:G221,"Not Blank")</f>
        <v>0</v>
      </c>
      <c r="H202" s="207">
        <f>COUNTIFS(E203:E207,FALSE,G203:G207,"Not Blank")+COUNTIFS(E209:E221,FALSE,G209:G221,"Not Blank")</f>
        <v>0</v>
      </c>
      <c r="I202" s="1497" t="str">
        <f xml:space="preserve">
IF(F202&gt;18,"Too Many Entries - Check Red Lines",
IF(AND(E202=FALSE,G202=0,H202=0,E202=TRUE),"Nothing Required Below",
IF(G202&lt;F202,"Valid Entry required below - Check Amber Line/s",
IF(AND(E202=FALSE,G202=0,H202=0),"Nothing Entered below Yet",
IF(G202&lt;F202,"Valid Entry required below - Check Amber Line/s",
IF(AND(G202=0,H202&gt;0),"**Non-Valid Entry/ies below - Check Yellow Line/s",
IF(AND(G202&gt;0,H202&gt;0),"**Valid and Non-Valid Entries made below - Check Yellow Line/s",
IF(AND(E202=FALSE,F202&lt;18),"Not all requirements addressed below - Check Pink Line/s",
IF(AND(E202=FALSE,G202&lt;18,G202&gt;0,H202=0),"More entries to come",
IF(AND(E202,TRUE,G202=18,H202=0),"Valid Entries made below"
))))))))))</f>
        <v>Nothing Entered below Yet</v>
      </c>
      <c r="J202" s="1497">
        <f>COUNTIFS(E203:E207,TRUE,J203:J207,"Not Blank")+COUNTIFS(E209:E221,TRUE,J209:J221,"Not Blank")</f>
        <v>0</v>
      </c>
      <c r="K202" s="1497">
        <f>COUNTIFS(E203:E207,FALSE,J203:J207,"Not Blank")+COUNTIFS(E209:E221,FALSE,J209:J221,"Not Blank")</f>
        <v>0</v>
      </c>
      <c r="L202" s="1497" t="str">
        <f xml:space="preserve">
IF(J202&gt;18,"Too Many Entries - Check Red Lines",
IF(AND(E202=FALSE,J202=0,K202=0,E201=TRUE),"Nothing Required Below",
IF(J202&lt;F202,"Valid Entry required below - Check Amber Line/s",
IF(AND(E202=FALSE,J202=0,K202=0),"Nothing Entered below Yet",
IF(AND(J202=0,K202&gt;0),"**Non-Valid Entry/ies below - Check Yellow Line/s",
IF(AND(J202&gt;0,K202&gt;0),"**Valid and Non-Valid Entries made below - Check Yellow Line/s",
IF(AND(E202=FALSE,J202&lt;18),"Not all requirements addressed below - Check Pink Line/s",
IF(AND(E202=FALSE,J202&lt;18,J202&gt;0,K202=0),"More entries to come",
IF(AND(E202,TRUE,J202=18,K202=0),"Valid Entries made below"
)))))))))</f>
        <v>Nothing Entered below Yet</v>
      </c>
      <c r="M202" s="134"/>
      <c r="N202" s="4484" t="s">
        <v>3</v>
      </c>
      <c r="O202" s="4573" t="b">
        <f>IF(OR(N202="Compliant",N202="FE with work-a-round",N202="Functionally Equivalent"),TRUE,FALSE)</f>
        <v>0</v>
      </c>
      <c r="P202" s="134"/>
      <c r="Q202" s="1640" t="s">
        <v>565</v>
      </c>
      <c r="R202" s="735" t="b">
        <f>IF(AND(R203=TRUE,R204=TRUE,R205=TRUE,R206=TRUE,R207=TRUE,R209=TRUE,R210=TRUE,R211=TRUE,R212=TRUE,R213=TRUE,R214=TRUE,R215=TRUE,R216=TRUE,R217=TRUE,R218=TRUE,R219=TRUE,R220=TRUE,R221=TRUE),TRUE,FALSE)</f>
        <v>0</v>
      </c>
      <c r="S202" s="111"/>
      <c r="T202" s="111"/>
      <c r="U202" s="120"/>
      <c r="V202" s="4484" t="s">
        <v>3</v>
      </c>
      <c r="W202" s="4570" t="b">
        <f>IF(OR(V202="Compliant",V202="FE with work-a-round",V202="Functionally Equivalent",V202="Not Required/Applicable"),TRUE,FALSE)</f>
        <v>0</v>
      </c>
      <c r="X202" s="2701"/>
      <c r="Y202" s="2701"/>
      <c r="Z202" s="2702"/>
      <c r="AA202"/>
      <c r="AB202"/>
      <c r="AL202" s="46"/>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8"/>
    </row>
    <row r="203" spans="1:84" s="2" customFormat="1" ht="122.5" customHeight="1" thickTop="1" x14ac:dyDescent="0.3">
      <c r="A203" s="25" t="s">
        <v>314</v>
      </c>
      <c r="B203" s="1504"/>
      <c r="C203" s="1806" t="s">
        <v>867</v>
      </c>
      <c r="D203" s="1013" t="s">
        <v>3</v>
      </c>
      <c r="E203" s="67" t="b">
        <f>IF(D203="Compliant",TRUE,FALSE)</f>
        <v>0</v>
      </c>
      <c r="F203" s="44"/>
      <c r="G203" s="44" t="str">
        <f>IF(I203&lt;&gt;"", "Not Blank", "")</f>
        <v/>
      </c>
      <c r="H203" s="44"/>
      <c r="I203" s="42"/>
      <c r="J203" s="42" t="str">
        <f t="shared" ref="J203:J221" si="33">IF(L203&lt;&gt;"", "Not Blank", "")</f>
        <v/>
      </c>
      <c r="K203" s="42"/>
      <c r="L203" s="42"/>
      <c r="M203" s="128"/>
      <c r="N203" s="4485"/>
      <c r="O203" s="4574"/>
      <c r="P203" s="4075"/>
      <c r="Q203" s="2132" t="s">
        <v>3</v>
      </c>
      <c r="R203" s="934" t="b">
        <f>IF(OR(Q203="Compliant",Q203="FE with work-a-round",Q203="Functionally Equivalent"),TRUE,FALSE)</f>
        <v>0</v>
      </c>
      <c r="S203" s="361"/>
      <c r="T203" s="361"/>
      <c r="U203" s="2698"/>
      <c r="V203" s="4485"/>
      <c r="W203" s="4571"/>
      <c r="X203" s="1443"/>
      <c r="Y203" s="1443"/>
      <c r="Z203" s="2698"/>
      <c r="AA203"/>
      <c r="AB203"/>
      <c r="AL203" s="46"/>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8"/>
    </row>
    <row r="204" spans="1:84" s="2" customFormat="1" ht="163.5" customHeight="1" x14ac:dyDescent="0.3">
      <c r="A204" s="25" t="s">
        <v>315</v>
      </c>
      <c r="B204" s="1504"/>
      <c r="C204" s="1717" t="s">
        <v>868</v>
      </c>
      <c r="D204" s="319" t="s">
        <v>3</v>
      </c>
      <c r="E204" s="67" t="b">
        <f>IF(D204="Compliant",TRUE,FALSE)</f>
        <v>0</v>
      </c>
      <c r="F204" s="44"/>
      <c r="G204" s="44" t="str">
        <f t="shared" ref="G204:G221" si="34">IF(I204&lt;&gt;"", "Not Blank", "")</f>
        <v/>
      </c>
      <c r="H204" s="44"/>
      <c r="I204" s="44"/>
      <c r="J204" s="44" t="str">
        <f t="shared" si="33"/>
        <v/>
      </c>
      <c r="K204" s="44"/>
      <c r="L204" s="44"/>
      <c r="M204" s="122"/>
      <c r="N204" s="4485"/>
      <c r="O204" s="4574"/>
      <c r="P204" s="2681"/>
      <c r="Q204" s="690" t="s">
        <v>3</v>
      </c>
      <c r="R204" s="934" t="b">
        <f>IF(OR(Q204="Compliant",Q204="FE with work-a-round",Q204="Functionally Equivalent"),TRUE,FALSE)</f>
        <v>0</v>
      </c>
      <c r="S204" s="361"/>
      <c r="T204" s="361"/>
      <c r="U204" s="2698"/>
      <c r="V204" s="4485"/>
      <c r="W204" s="4571"/>
      <c r="X204" s="1443"/>
      <c r="Y204" s="1443"/>
      <c r="Z204" s="2698"/>
      <c r="AA204"/>
      <c r="AB204"/>
      <c r="AL204" s="46"/>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8"/>
    </row>
    <row r="205" spans="1:84" s="2" customFormat="1" ht="34.5" customHeight="1" x14ac:dyDescent="0.3">
      <c r="A205" s="25" t="s">
        <v>316</v>
      </c>
      <c r="B205" s="1504"/>
      <c r="C205" s="1717" t="s">
        <v>227</v>
      </c>
      <c r="D205" s="319" t="s">
        <v>3</v>
      </c>
      <c r="E205" s="67" t="b">
        <f>IF(D205="Compliant",TRUE,FALSE)</f>
        <v>0</v>
      </c>
      <c r="F205" s="44"/>
      <c r="G205" s="44" t="str">
        <f t="shared" si="34"/>
        <v/>
      </c>
      <c r="H205" s="44"/>
      <c r="I205" s="44"/>
      <c r="J205" s="44" t="str">
        <f t="shared" si="33"/>
        <v/>
      </c>
      <c r="K205" s="44"/>
      <c r="L205" s="44"/>
      <c r="M205" s="122"/>
      <c r="N205" s="4485"/>
      <c r="O205" s="4574"/>
      <c r="P205" s="2681"/>
      <c r="Q205" s="1826" t="s">
        <v>3</v>
      </c>
      <c r="R205" s="934" t="b">
        <f>IF(OR(Q205="Compliant",Q205="FE with work-a-round",Q205="Functionally Equivalent"),TRUE,FALSE)</f>
        <v>0</v>
      </c>
      <c r="S205" s="361"/>
      <c r="T205" s="361"/>
      <c r="U205" s="2698"/>
      <c r="V205" s="4485"/>
      <c r="W205" s="4571"/>
      <c r="X205" s="1443"/>
      <c r="Y205" s="1443"/>
      <c r="Z205" s="2698"/>
      <c r="AA205"/>
      <c r="AB205"/>
      <c r="AL205" s="46"/>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8"/>
    </row>
    <row r="206" spans="1:84" s="2" customFormat="1" ht="62.15" customHeight="1" x14ac:dyDescent="0.3">
      <c r="A206" s="25" t="s">
        <v>317</v>
      </c>
      <c r="B206" s="1504"/>
      <c r="C206" s="1717" t="s">
        <v>319</v>
      </c>
      <c r="D206" s="319" t="s">
        <v>3</v>
      </c>
      <c r="E206" s="67" t="b">
        <f>IF(D206="Compliant",TRUE,FALSE)</f>
        <v>0</v>
      </c>
      <c r="F206" s="44"/>
      <c r="G206" s="44" t="str">
        <f t="shared" si="34"/>
        <v/>
      </c>
      <c r="H206" s="44"/>
      <c r="I206" s="44"/>
      <c r="J206" s="44" t="str">
        <f t="shared" si="33"/>
        <v/>
      </c>
      <c r="K206" s="44"/>
      <c r="L206" s="44"/>
      <c r="M206" s="122"/>
      <c r="N206" s="4485"/>
      <c r="O206" s="4574"/>
      <c r="P206" s="2681"/>
      <c r="Q206" s="690" t="s">
        <v>3</v>
      </c>
      <c r="R206" s="934" t="b">
        <f>IF(OR(Q206="Compliant",Q206="FE with work-a-round",Q206="Functionally Equivalent"),TRUE,FALSE)</f>
        <v>0</v>
      </c>
      <c r="S206" s="361"/>
      <c r="T206" s="361"/>
      <c r="U206" s="2698"/>
      <c r="V206" s="4485"/>
      <c r="W206" s="4571"/>
      <c r="X206" s="1443"/>
      <c r="Y206" s="1443"/>
      <c r="Z206" s="2698"/>
      <c r="AA206"/>
      <c r="AB206"/>
      <c r="AL206" s="46"/>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8"/>
    </row>
    <row r="207" spans="1:84" s="2" customFormat="1" ht="47.5" customHeight="1" thickBot="1" x14ac:dyDescent="0.35">
      <c r="A207" s="25" t="s">
        <v>318</v>
      </c>
      <c r="B207" s="1505"/>
      <c r="C207" s="1800" t="s">
        <v>320</v>
      </c>
      <c r="D207" s="230" t="s">
        <v>3</v>
      </c>
      <c r="E207" s="161" t="b">
        <f>IF(D207="Compliant",TRUE,FALSE)</f>
        <v>0</v>
      </c>
      <c r="F207" s="124"/>
      <c r="G207" s="124" t="str">
        <f t="shared" si="34"/>
        <v/>
      </c>
      <c r="H207" s="124"/>
      <c r="I207" s="124"/>
      <c r="J207" s="124" t="str">
        <f t="shared" si="33"/>
        <v/>
      </c>
      <c r="K207" s="124"/>
      <c r="L207" s="124"/>
      <c r="M207" s="125"/>
      <c r="N207" s="4486"/>
      <c r="O207" s="4575"/>
      <c r="P207" s="4071"/>
      <c r="Q207" s="691" t="s">
        <v>3</v>
      </c>
      <c r="R207" s="935" t="b">
        <f>IF(OR(Q207="Compliant",Q207="FE with work-a-round",Q207="Functionally Equivalent"),TRUE,FALSE)</f>
        <v>0</v>
      </c>
      <c r="S207" s="258"/>
      <c r="T207" s="258"/>
      <c r="U207" s="2682"/>
      <c r="V207" s="4486"/>
      <c r="W207" s="4572"/>
      <c r="X207" s="1423"/>
      <c r="Y207" s="1423"/>
      <c r="Z207" s="2682"/>
      <c r="AA207"/>
      <c r="AB207"/>
      <c r="AL207" s="46"/>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8"/>
    </row>
    <row r="208" spans="1:84" s="2" customFormat="1" ht="50.5" customHeight="1" thickTop="1" thickBot="1" x14ac:dyDescent="0.35">
      <c r="A208" s="25" t="s">
        <v>321</v>
      </c>
      <c r="B208" s="1495" t="s">
        <v>1389</v>
      </c>
      <c r="C208" s="1809" t="s">
        <v>322</v>
      </c>
      <c r="D208" s="1499" t="s">
        <v>1361</v>
      </c>
      <c r="E208" s="995" t="b">
        <f>IF(AND(E209=TRUE,E210=TRUE,E211=TRUE,E212=TRUE,E213=TRUE,E214=TRUE,E215=TRUE,E216=TRUE,E217=TRUE,E218=TRUE,E219=TRUE,E220=TRUE,E221=TRUE),TRUE,FALSE)</f>
        <v>0</v>
      </c>
      <c r="F208" s="689">
        <f>COUNTIF(E209:E221,TRUE)</f>
        <v>0</v>
      </c>
      <c r="G208" s="689">
        <f>COUNTIFS(E209:E221,TRUE,G209:G221,"Not Blank")</f>
        <v>0</v>
      </c>
      <c r="H208" s="689">
        <f>COUNTIFS(E209:E221,FALSE,G209:G221,"Not Blank")</f>
        <v>0</v>
      </c>
      <c r="I208" s="1497" t="str">
        <f xml:space="preserve">
IF(F208&gt;13,"Too Many Entries - Check Red Lines",
IF(AND(E208=FALSE,G208=0,H208=0,E208=TRUE),"Nothing Required Below",
IF(G208&lt;F208,"Valid Entry required below - Check Amber Line/s",
IF(AND(E208=FALSE,G208=0,H208=0),"Nothing Entered below Yet",
IF(G208&lt;F208,"Valid Entry required below - Check Amber Line/s",
IF(AND(G208=0,H208&gt;0),"**Non-Valid Entry/ies below - Check Yellow Line/s",
IF(AND(G208&gt;0,H208&gt;0),"**Valid and Non-Valid Entries made below - Check Yellow Line/s",
IF(AND(E208=FALSE,F208&lt;13),"Not all requirements addressed below - Check Pink Line/s",
IF(AND(E208=FALSE,G208&lt;13,G208&gt;0,H208=0),"More entries to come",
IF(AND(E208,TRUE,G208=13,H208=0),"Valid Entries made below"
))))))))))</f>
        <v>Nothing Entered below Yet</v>
      </c>
      <c r="J208" s="1514">
        <f>COUNTIFS(E209:E221,TRUE,J209:J221,"Not Blank")</f>
        <v>0</v>
      </c>
      <c r="K208" s="1514">
        <f>COUNTIFS(E209:E221,FALSE,J209:J221,"Not Blank")</f>
        <v>0</v>
      </c>
      <c r="L208" s="1497" t="str">
        <f xml:space="preserve">
IF(J208&gt;13,"Too Many Entries - Check Red Lines",
IF(AND(E208=FALSE,J208=0,K208=0,E207=TRUE),"Nothing Required Below",
IF(J208&lt;F208,"Valid Entry required below - Check Amber Line/s",
IF(AND(E208=FALSE,J208=0,K208=0),"Nothing Entered below Yet",
IF(AND(J208=0,K208&gt;0),"**Non-Valid Entry/ies below - Check Yellow Line/s",
IF(AND(J208&gt;0,K208&gt;0),"**Valid and Non-Valid Entries made below - Check Yellow Line/s",
IF(AND(E208=FALSE,J208&lt;13),"Not all requirements addressed below - Check Pink Line/s",
IF(AND(E208=FALSE,J208&lt;13,J208&gt;0,K208=0),"More entries to come",
IF(AND(E208,TRUE,J208=13,K208=0),"Valid Entries made below"
)))))))))</f>
        <v>Nothing Entered below Yet</v>
      </c>
      <c r="M208" s="134"/>
      <c r="N208" s="4484" t="s">
        <v>3</v>
      </c>
      <c r="O208" s="4573" t="b">
        <f>IF(OR(N208="Compliant",N208="FE with work-a-round",N208="Functionally Equivalent"),TRUE,FALSE)</f>
        <v>0</v>
      </c>
      <c r="P208" s="134"/>
      <c r="Q208" s="1846" t="s">
        <v>565</v>
      </c>
      <c r="R208" s="840" t="b">
        <f>IF(AND(R209=TRUE,R210=TRUE,R211=TRUE,R212=TRUE,R213=TRUE,R214=TRUE,R215=TRUE,R216=TRUE,R217=TRUE,R218=TRUE,R219=TRUE,R220=TRUE,R221=TRUE),TRUE,FALSE)</f>
        <v>0</v>
      </c>
      <c r="S208" s="111"/>
      <c r="T208" s="111"/>
      <c r="U208" s="120"/>
      <c r="V208" s="4484" t="s">
        <v>3</v>
      </c>
      <c r="W208" s="4570" t="b">
        <f>IF(OR(V208="Compliant",V208="FE with work-a-round",V208="Functionally Equivalent",V208="Not Required/Applicable"),TRUE,FALSE)</f>
        <v>0</v>
      </c>
      <c r="X208" s="2701"/>
      <c r="Y208" s="2701"/>
      <c r="Z208" s="2702"/>
      <c r="AA208"/>
      <c r="AB208"/>
      <c r="AL208" s="46"/>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8"/>
    </row>
    <row r="209" spans="1:84" s="2" customFormat="1" ht="62.15" customHeight="1" thickTop="1" x14ac:dyDescent="0.3">
      <c r="A209" s="25" t="s">
        <v>323</v>
      </c>
      <c r="B209" s="1504"/>
      <c r="C209" s="1806" t="s">
        <v>869</v>
      </c>
      <c r="D209" s="1013" t="s">
        <v>3</v>
      </c>
      <c r="E209" s="41" t="b">
        <f t="shared" ref="E209:E221" si="35">IF(D209="Compliant",TRUE,FALSE)</f>
        <v>0</v>
      </c>
      <c r="F209" s="42"/>
      <c r="G209" s="42" t="str">
        <f t="shared" si="34"/>
        <v/>
      </c>
      <c r="H209" s="42"/>
      <c r="I209" s="42"/>
      <c r="J209" s="44" t="str">
        <f t="shared" si="33"/>
        <v/>
      </c>
      <c r="K209" s="44"/>
      <c r="L209" s="42"/>
      <c r="M209" s="128"/>
      <c r="N209" s="4485"/>
      <c r="O209" s="4574"/>
      <c r="P209" s="4075"/>
      <c r="Q209" s="863" t="s">
        <v>3</v>
      </c>
      <c r="R209" s="263" t="b">
        <f>IF(OR(Q209="Compliant",Q209="FE with work-a-round",Q209="Functionally Equivalent"),TRUE,FALSE)</f>
        <v>0</v>
      </c>
      <c r="S209" s="361"/>
      <c r="T209" s="361"/>
      <c r="U209" s="2698"/>
      <c r="V209" s="4485"/>
      <c r="W209" s="4571"/>
      <c r="X209" s="1443"/>
      <c r="Y209" s="1443"/>
      <c r="Z209" s="2698"/>
      <c r="AA209"/>
      <c r="AB209"/>
      <c r="AL209" s="46"/>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8"/>
    </row>
    <row r="210" spans="1:84" s="2" customFormat="1" ht="62.15" customHeight="1" x14ac:dyDescent="0.3">
      <c r="A210" s="25" t="s">
        <v>324</v>
      </c>
      <c r="B210" s="1504"/>
      <c r="C210" s="1717" t="s">
        <v>870</v>
      </c>
      <c r="D210" s="319" t="s">
        <v>3</v>
      </c>
      <c r="E210" s="67" t="b">
        <f t="shared" si="35"/>
        <v>0</v>
      </c>
      <c r="F210" s="44"/>
      <c r="G210" s="44" t="str">
        <f t="shared" si="34"/>
        <v/>
      </c>
      <c r="H210" s="44"/>
      <c r="I210" s="44"/>
      <c r="J210" s="44" t="str">
        <f t="shared" si="33"/>
        <v/>
      </c>
      <c r="K210" s="44"/>
      <c r="L210" s="44"/>
      <c r="M210" s="122"/>
      <c r="N210" s="4485"/>
      <c r="O210" s="4574"/>
      <c r="P210" s="2681"/>
      <c r="Q210" s="690" t="s">
        <v>3</v>
      </c>
      <c r="R210" s="263" t="b">
        <f t="shared" ref="R210:R221" si="36">IF(OR(Q210="Compliant",Q210="FE with work-a-round",Q210="Functionally Equivalent"),TRUE,FALSE)</f>
        <v>0</v>
      </c>
      <c r="S210" s="361"/>
      <c r="T210" s="361"/>
      <c r="U210" s="2698"/>
      <c r="V210" s="4485"/>
      <c r="W210" s="4571"/>
      <c r="X210" s="1443"/>
      <c r="Y210" s="1443"/>
      <c r="Z210" s="2698"/>
      <c r="AA210"/>
      <c r="AB210"/>
      <c r="AL210" s="46"/>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8"/>
    </row>
    <row r="211" spans="1:84" s="2" customFormat="1" ht="62.15" customHeight="1" x14ac:dyDescent="0.3">
      <c r="A211" s="25" t="s">
        <v>325</v>
      </c>
      <c r="B211" s="1504"/>
      <c r="C211" s="1717" t="s">
        <v>871</v>
      </c>
      <c r="D211" s="319" t="s">
        <v>3</v>
      </c>
      <c r="E211" s="67" t="b">
        <f t="shared" si="35"/>
        <v>0</v>
      </c>
      <c r="F211" s="44"/>
      <c r="G211" s="44" t="str">
        <f t="shared" si="34"/>
        <v/>
      </c>
      <c r="H211" s="44"/>
      <c r="I211" s="44"/>
      <c r="J211" s="44" t="str">
        <f t="shared" si="33"/>
        <v/>
      </c>
      <c r="K211" s="44"/>
      <c r="L211" s="44"/>
      <c r="M211" s="122"/>
      <c r="N211" s="4485"/>
      <c r="O211" s="4574"/>
      <c r="P211" s="2681"/>
      <c r="Q211" s="690" t="s">
        <v>3</v>
      </c>
      <c r="R211" s="263" t="b">
        <f t="shared" si="36"/>
        <v>0</v>
      </c>
      <c r="S211" s="361"/>
      <c r="T211" s="361"/>
      <c r="U211" s="2698"/>
      <c r="V211" s="4485"/>
      <c r="W211" s="4571"/>
      <c r="X211" s="1443"/>
      <c r="Y211" s="1443"/>
      <c r="Z211" s="2698"/>
      <c r="AA211"/>
      <c r="AB211"/>
      <c r="AL211" s="46"/>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8"/>
    </row>
    <row r="212" spans="1:84" s="2" customFormat="1" ht="62.15" customHeight="1" x14ac:dyDescent="0.3">
      <c r="A212" s="25" t="s">
        <v>326</v>
      </c>
      <c r="B212" s="1504"/>
      <c r="C212" s="1717" t="s">
        <v>872</v>
      </c>
      <c r="D212" s="319" t="s">
        <v>3</v>
      </c>
      <c r="E212" s="67" t="b">
        <f t="shared" si="35"/>
        <v>0</v>
      </c>
      <c r="F212" s="44"/>
      <c r="G212" s="44" t="str">
        <f t="shared" si="34"/>
        <v/>
      </c>
      <c r="H212" s="44"/>
      <c r="I212" s="44"/>
      <c r="J212" s="44" t="str">
        <f t="shared" si="33"/>
        <v/>
      </c>
      <c r="K212" s="44"/>
      <c r="L212" s="44"/>
      <c r="M212" s="122"/>
      <c r="N212" s="4485"/>
      <c r="O212" s="4574"/>
      <c r="P212" s="2681"/>
      <c r="Q212" s="690" t="s">
        <v>3</v>
      </c>
      <c r="R212" s="263" t="b">
        <f t="shared" si="36"/>
        <v>0</v>
      </c>
      <c r="S212" s="361"/>
      <c r="T212" s="361"/>
      <c r="U212" s="2698"/>
      <c r="V212" s="4485"/>
      <c r="W212" s="4571"/>
      <c r="X212" s="1443"/>
      <c r="Y212" s="1443"/>
      <c r="Z212" s="2698"/>
      <c r="AA212"/>
      <c r="AB212"/>
      <c r="AL212" s="46"/>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8"/>
    </row>
    <row r="213" spans="1:84" s="2" customFormat="1" ht="62.15" customHeight="1" x14ac:dyDescent="0.3">
      <c r="A213" s="25" t="s">
        <v>327</v>
      </c>
      <c r="B213" s="1504"/>
      <c r="C213" s="1717" t="s">
        <v>873</v>
      </c>
      <c r="D213" s="319" t="s">
        <v>3</v>
      </c>
      <c r="E213" s="67" t="b">
        <f t="shared" si="35"/>
        <v>0</v>
      </c>
      <c r="F213" s="44"/>
      <c r="G213" s="44" t="str">
        <f t="shared" si="34"/>
        <v/>
      </c>
      <c r="H213" s="44"/>
      <c r="I213" s="44"/>
      <c r="J213" s="44" t="str">
        <f t="shared" si="33"/>
        <v/>
      </c>
      <c r="K213" s="44"/>
      <c r="L213" s="44"/>
      <c r="M213" s="122"/>
      <c r="N213" s="4485"/>
      <c r="O213" s="4574"/>
      <c r="P213" s="2681"/>
      <c r="Q213" s="690" t="s">
        <v>3</v>
      </c>
      <c r="R213" s="263" t="b">
        <f t="shared" si="36"/>
        <v>0</v>
      </c>
      <c r="S213" s="361"/>
      <c r="T213" s="361"/>
      <c r="U213" s="2698"/>
      <c r="V213" s="4485"/>
      <c r="W213" s="4571"/>
      <c r="X213" s="1443"/>
      <c r="Y213" s="1443"/>
      <c r="Z213" s="2698"/>
      <c r="AA213"/>
      <c r="AB213"/>
      <c r="AL213" s="46"/>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8"/>
    </row>
    <row r="214" spans="1:84" s="2" customFormat="1" ht="40" customHeight="1" x14ac:dyDescent="0.3">
      <c r="A214" s="25" t="s">
        <v>328</v>
      </c>
      <c r="B214" s="1504"/>
      <c r="C214" s="1717" t="s">
        <v>74</v>
      </c>
      <c r="D214" s="319" t="s">
        <v>3</v>
      </c>
      <c r="E214" s="67" t="b">
        <f t="shared" si="35"/>
        <v>0</v>
      </c>
      <c r="F214" s="44"/>
      <c r="G214" s="44" t="str">
        <f t="shared" si="34"/>
        <v/>
      </c>
      <c r="H214" s="44"/>
      <c r="I214" s="44"/>
      <c r="J214" s="44" t="str">
        <f t="shared" si="33"/>
        <v/>
      </c>
      <c r="K214" s="44"/>
      <c r="L214" s="44"/>
      <c r="M214" s="122"/>
      <c r="N214" s="4485"/>
      <c r="O214" s="4574"/>
      <c r="P214" s="2681"/>
      <c r="Q214" s="690" t="s">
        <v>3</v>
      </c>
      <c r="R214" s="263" t="b">
        <f t="shared" si="36"/>
        <v>0</v>
      </c>
      <c r="S214" s="361"/>
      <c r="T214" s="361"/>
      <c r="U214" s="2698"/>
      <c r="V214" s="4485"/>
      <c r="W214" s="4571"/>
      <c r="X214" s="1443"/>
      <c r="Y214" s="1443"/>
      <c r="Z214" s="2698"/>
      <c r="AA214"/>
      <c r="AB214"/>
      <c r="AL214" s="46"/>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8"/>
    </row>
    <row r="215" spans="1:84" ht="47.5" customHeight="1" x14ac:dyDescent="0.3">
      <c r="A215" s="25" t="s">
        <v>329</v>
      </c>
      <c r="B215" s="1504"/>
      <c r="C215" s="1717" t="s">
        <v>330</v>
      </c>
      <c r="D215" s="319" t="s">
        <v>3</v>
      </c>
      <c r="E215" s="67" t="b">
        <f t="shared" si="35"/>
        <v>0</v>
      </c>
      <c r="F215" s="44"/>
      <c r="G215" s="44" t="str">
        <f t="shared" si="34"/>
        <v/>
      </c>
      <c r="H215" s="44"/>
      <c r="I215" s="44"/>
      <c r="J215" s="44" t="str">
        <f t="shared" si="33"/>
        <v/>
      </c>
      <c r="K215" s="44"/>
      <c r="L215" s="44"/>
      <c r="M215" s="122"/>
      <c r="N215" s="4485"/>
      <c r="O215" s="4574"/>
      <c r="P215" s="4076"/>
      <c r="Q215" s="690" t="s">
        <v>3</v>
      </c>
      <c r="R215" s="263" t="b">
        <f t="shared" si="36"/>
        <v>0</v>
      </c>
      <c r="S215" s="1570"/>
      <c r="T215" s="1570"/>
      <c r="U215" s="4076"/>
      <c r="V215" s="4485"/>
      <c r="W215" s="4571"/>
      <c r="X215" s="1443"/>
      <c r="Y215" s="1443"/>
      <c r="Z215" s="2698"/>
      <c r="AL215" s="49"/>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1"/>
    </row>
    <row r="216" spans="1:84" ht="168" customHeight="1" x14ac:dyDescent="0.3">
      <c r="A216" s="25" t="s">
        <v>331</v>
      </c>
      <c r="B216" s="1504"/>
      <c r="C216" s="1717" t="s">
        <v>332</v>
      </c>
      <c r="D216" s="319" t="s">
        <v>3</v>
      </c>
      <c r="E216" s="67" t="b">
        <f t="shared" si="35"/>
        <v>0</v>
      </c>
      <c r="F216" s="44"/>
      <c r="G216" s="44" t="str">
        <f t="shared" si="34"/>
        <v/>
      </c>
      <c r="H216" s="44"/>
      <c r="I216" s="44"/>
      <c r="J216" s="44" t="str">
        <f t="shared" si="33"/>
        <v/>
      </c>
      <c r="K216" s="44"/>
      <c r="L216" s="44"/>
      <c r="M216" s="122"/>
      <c r="N216" s="4485"/>
      <c r="O216" s="4574"/>
      <c r="P216" s="2698"/>
      <c r="Q216" s="690" t="s">
        <v>3</v>
      </c>
      <c r="R216" s="263" t="b">
        <f t="shared" si="36"/>
        <v>0</v>
      </c>
      <c r="S216" s="1443"/>
      <c r="T216" s="1443"/>
      <c r="U216" s="2698"/>
      <c r="V216" s="4485"/>
      <c r="W216" s="4571"/>
      <c r="X216" s="1443"/>
      <c r="Y216" s="1443"/>
      <c r="Z216" s="2698"/>
    </row>
    <row r="217" spans="1:84" ht="86.5" customHeight="1" x14ac:dyDescent="0.3">
      <c r="A217" s="25" t="s">
        <v>333</v>
      </c>
      <c r="B217" s="1504"/>
      <c r="C217" s="1717" t="s">
        <v>334</v>
      </c>
      <c r="D217" s="319" t="s">
        <v>3</v>
      </c>
      <c r="E217" s="67" t="b">
        <f t="shared" si="35"/>
        <v>0</v>
      </c>
      <c r="F217" s="44"/>
      <c r="G217" s="44" t="str">
        <f t="shared" si="34"/>
        <v/>
      </c>
      <c r="H217" s="44"/>
      <c r="I217" s="44"/>
      <c r="J217" s="44" t="str">
        <f t="shared" si="33"/>
        <v/>
      </c>
      <c r="K217" s="44"/>
      <c r="L217" s="44"/>
      <c r="M217" s="122"/>
      <c r="N217" s="4485"/>
      <c r="O217" s="4574"/>
      <c r="P217" s="2698"/>
      <c r="Q217" s="690" t="s">
        <v>3</v>
      </c>
      <c r="R217" s="263" t="b">
        <f t="shared" si="36"/>
        <v>0</v>
      </c>
      <c r="S217" s="1443"/>
      <c r="T217" s="1443"/>
      <c r="U217" s="2698"/>
      <c r="V217" s="4485"/>
      <c r="W217" s="4571"/>
      <c r="X217" s="1443"/>
      <c r="Y217" s="1443"/>
      <c r="Z217" s="2698"/>
    </row>
    <row r="218" spans="1:84" ht="77.5" customHeight="1" x14ac:dyDescent="0.3">
      <c r="A218" s="25" t="s">
        <v>335</v>
      </c>
      <c r="B218" s="1504"/>
      <c r="C218" s="1717" t="s">
        <v>336</v>
      </c>
      <c r="D218" s="319" t="s">
        <v>3</v>
      </c>
      <c r="E218" s="67" t="b">
        <f t="shared" si="35"/>
        <v>0</v>
      </c>
      <c r="F218" s="44"/>
      <c r="G218" s="44" t="str">
        <f t="shared" si="34"/>
        <v/>
      </c>
      <c r="H218" s="44"/>
      <c r="I218" s="44"/>
      <c r="J218" s="44" t="str">
        <f t="shared" si="33"/>
        <v/>
      </c>
      <c r="K218" s="44"/>
      <c r="L218" s="44"/>
      <c r="M218" s="122"/>
      <c r="N218" s="4485"/>
      <c r="O218" s="4574"/>
      <c r="P218" s="2698"/>
      <c r="Q218" s="690" t="s">
        <v>3</v>
      </c>
      <c r="R218" s="263" t="b">
        <f t="shared" si="36"/>
        <v>0</v>
      </c>
      <c r="S218" s="1443"/>
      <c r="T218" s="1443"/>
      <c r="U218" s="2698"/>
      <c r="V218" s="4485"/>
      <c r="W218" s="4571"/>
      <c r="X218" s="1443"/>
      <c r="Y218" s="1443"/>
      <c r="Z218" s="2698"/>
    </row>
    <row r="219" spans="1:84" ht="34" customHeight="1" x14ac:dyDescent="0.3">
      <c r="A219" s="25" t="s">
        <v>337</v>
      </c>
      <c r="B219" s="1504"/>
      <c r="C219" s="1717" t="s">
        <v>338</v>
      </c>
      <c r="D219" s="319" t="s">
        <v>3</v>
      </c>
      <c r="E219" s="67" t="b">
        <f t="shared" si="35"/>
        <v>0</v>
      </c>
      <c r="F219" s="44"/>
      <c r="G219" s="44" t="str">
        <f t="shared" si="34"/>
        <v/>
      </c>
      <c r="H219" s="44"/>
      <c r="I219" s="44"/>
      <c r="J219" s="44" t="str">
        <f t="shared" si="33"/>
        <v/>
      </c>
      <c r="K219" s="44"/>
      <c r="L219" s="44"/>
      <c r="M219" s="122"/>
      <c r="N219" s="4485"/>
      <c r="O219" s="4574"/>
      <c r="P219" s="2698"/>
      <c r="Q219" s="690" t="s">
        <v>3</v>
      </c>
      <c r="R219" s="263" t="b">
        <f t="shared" si="36"/>
        <v>0</v>
      </c>
      <c r="S219" s="1443"/>
      <c r="T219" s="1443"/>
      <c r="U219" s="2698"/>
      <c r="V219" s="4485"/>
      <c r="W219" s="4571"/>
      <c r="X219" s="1443"/>
      <c r="Y219" s="1443"/>
      <c r="Z219" s="2698"/>
    </row>
    <row r="220" spans="1:84" ht="37.5" customHeight="1" x14ac:dyDescent="0.3">
      <c r="A220" s="25" t="s">
        <v>339</v>
      </c>
      <c r="B220" s="1504"/>
      <c r="C220" s="1717" t="s">
        <v>340</v>
      </c>
      <c r="D220" s="319" t="s">
        <v>3</v>
      </c>
      <c r="E220" s="67" t="b">
        <f t="shared" si="35"/>
        <v>0</v>
      </c>
      <c r="F220" s="44"/>
      <c r="G220" s="44" t="str">
        <f t="shared" si="34"/>
        <v/>
      </c>
      <c r="H220" s="44"/>
      <c r="I220" s="44"/>
      <c r="J220" s="44" t="str">
        <f t="shared" si="33"/>
        <v/>
      </c>
      <c r="K220" s="44"/>
      <c r="L220" s="44"/>
      <c r="M220" s="122"/>
      <c r="N220" s="4485"/>
      <c r="O220" s="4574"/>
      <c r="P220" s="2698"/>
      <c r="Q220" s="690" t="s">
        <v>3</v>
      </c>
      <c r="R220" s="263" t="b">
        <f t="shared" si="36"/>
        <v>0</v>
      </c>
      <c r="S220" s="1443"/>
      <c r="T220" s="1443"/>
      <c r="U220" s="2698"/>
      <c r="V220" s="4485"/>
      <c r="W220" s="4571"/>
      <c r="X220" s="1443"/>
      <c r="Y220" s="1443"/>
      <c r="Z220" s="2698"/>
    </row>
    <row r="221" spans="1:84" ht="54.75" customHeight="1" thickBot="1" x14ac:dyDescent="0.35">
      <c r="A221" s="320" t="s">
        <v>341</v>
      </c>
      <c r="B221" s="1505"/>
      <c r="C221" s="1800" t="s">
        <v>1834</v>
      </c>
      <c r="D221" s="230" t="s">
        <v>3</v>
      </c>
      <c r="E221" s="161" t="b">
        <f t="shared" si="35"/>
        <v>0</v>
      </c>
      <c r="F221" s="124"/>
      <c r="G221" s="124" t="str">
        <f t="shared" si="34"/>
        <v/>
      </c>
      <c r="H221" s="124"/>
      <c r="I221" s="124"/>
      <c r="J221" s="124" t="str">
        <f t="shared" si="33"/>
        <v/>
      </c>
      <c r="K221" s="124"/>
      <c r="L221" s="124"/>
      <c r="M221" s="125"/>
      <c r="N221" s="4486"/>
      <c r="O221" s="4575"/>
      <c r="P221" s="2682"/>
      <c r="Q221" s="691" t="s">
        <v>3</v>
      </c>
      <c r="R221" s="694" t="b">
        <f t="shared" si="36"/>
        <v>0</v>
      </c>
      <c r="S221" s="1423"/>
      <c r="T221" s="1423"/>
      <c r="U221" s="2682"/>
      <c r="V221" s="4486"/>
      <c r="W221" s="4572"/>
      <c r="X221" s="1423"/>
      <c r="Y221" s="1423"/>
      <c r="Z221" s="2682"/>
    </row>
    <row r="222" spans="1:84" ht="62.15" customHeight="1" thickTop="1" x14ac:dyDescent="0.3">
      <c r="B222" s="18"/>
    </row>
    <row r="223" spans="1:84" ht="62.15" customHeight="1" x14ac:dyDescent="0.3">
      <c r="B223" s="18"/>
    </row>
    <row r="224" spans="1:84" ht="62.15" customHeight="1" x14ac:dyDescent="0.3">
      <c r="B224" s="18"/>
    </row>
    <row r="225" spans="2:2" ht="62.15" customHeight="1" x14ac:dyDescent="0.3">
      <c r="B225" s="18"/>
    </row>
    <row r="226" spans="2:2" ht="62.15" customHeight="1" x14ac:dyDescent="0.3">
      <c r="B226" s="18"/>
    </row>
    <row r="227" spans="2:2" ht="62.15" customHeight="1" x14ac:dyDescent="0.3">
      <c r="B227" s="18"/>
    </row>
    <row r="228" spans="2:2" ht="62.15" customHeight="1" x14ac:dyDescent="0.3">
      <c r="B228" s="18"/>
    </row>
    <row r="229" spans="2:2" ht="62.15" customHeight="1" x14ac:dyDescent="0.3">
      <c r="B229" s="18"/>
    </row>
    <row r="230" spans="2:2" ht="62.15" customHeight="1" x14ac:dyDescent="0.3">
      <c r="B230" s="18"/>
    </row>
    <row r="231" spans="2:2" ht="62.15" customHeight="1" x14ac:dyDescent="0.3">
      <c r="B231" s="18"/>
    </row>
    <row r="232" spans="2:2" ht="62.15" customHeight="1" x14ac:dyDescent="0.3">
      <c r="B232" s="18"/>
    </row>
    <row r="233" spans="2:2" ht="62.15" customHeight="1" x14ac:dyDescent="0.3">
      <c r="B233" s="18"/>
    </row>
    <row r="234" spans="2:2" ht="62.15" customHeight="1" x14ac:dyDescent="0.3">
      <c r="B234" s="18"/>
    </row>
    <row r="235" spans="2:2" ht="62.15" customHeight="1" x14ac:dyDescent="0.3">
      <c r="B235" s="18"/>
    </row>
    <row r="236" spans="2:2" ht="62.15" customHeight="1" x14ac:dyDescent="0.3">
      <c r="B236" s="18"/>
    </row>
    <row r="237" spans="2:2" ht="62.15" customHeight="1" x14ac:dyDescent="0.3">
      <c r="B237" s="18"/>
    </row>
    <row r="238" spans="2:2" ht="62.15" customHeight="1" x14ac:dyDescent="0.3">
      <c r="B238" s="18"/>
    </row>
    <row r="239" spans="2:2" ht="62.15" customHeight="1" x14ac:dyDescent="0.3">
      <c r="B239" s="18"/>
    </row>
    <row r="240" spans="2:2" ht="62.15" customHeight="1" x14ac:dyDescent="0.3">
      <c r="B240" s="18"/>
    </row>
    <row r="241" spans="2:2" ht="62.15" customHeight="1" x14ac:dyDescent="0.3">
      <c r="B241" s="18"/>
    </row>
    <row r="242" spans="2:2" ht="62.15" customHeight="1" x14ac:dyDescent="0.3">
      <c r="B242" s="18"/>
    </row>
    <row r="243" spans="2:2" ht="62.15" customHeight="1" x14ac:dyDescent="0.3"/>
    <row r="244" spans="2:2" ht="62.15" customHeight="1" x14ac:dyDescent="0.3"/>
    <row r="245" spans="2:2" ht="62.15" customHeight="1" x14ac:dyDescent="0.3"/>
    <row r="246" spans="2:2" ht="62.15" customHeight="1" x14ac:dyDescent="0.3"/>
    <row r="247" spans="2:2" ht="62.15" customHeight="1" x14ac:dyDescent="0.3"/>
    <row r="248" spans="2:2" ht="62.15" customHeight="1" x14ac:dyDescent="0.3"/>
    <row r="249" spans="2:2" ht="62.15" customHeight="1" x14ac:dyDescent="0.3"/>
    <row r="250" spans="2:2" ht="62.15" customHeight="1" x14ac:dyDescent="0.3"/>
    <row r="251" spans="2:2" ht="62.15" customHeight="1" x14ac:dyDescent="0.3"/>
    <row r="252" spans="2:2" ht="62.15" customHeight="1" x14ac:dyDescent="0.3"/>
    <row r="253" spans="2:2" ht="62.15" customHeight="1" x14ac:dyDescent="0.3"/>
  </sheetData>
  <sheetProtection algorithmName="SHA-512" hashValue="DA9JEzKkZ6yNABNRP6jxkCx8AFkXnpxoMaCiZN1MxyuLrgEKknsiLHWsxXe0Xwc7BVAW86NYXwclGfQW0nJ4kw==" saltValue="51JW9zo2tcvGyvcMPnQ8HQ==" spinCount="100000" sheet="1" formatCells="0" formatColumns="0" formatRows="0" insertHyperlinks="0" selectLockedCells="1" autoFilter="0"/>
  <mergeCells count="169">
    <mergeCell ref="B1:D1"/>
    <mergeCell ref="B2:D2"/>
    <mergeCell ref="B3:D3"/>
    <mergeCell ref="O32:O37"/>
    <mergeCell ref="O41:O45"/>
    <mergeCell ref="W32:W37"/>
    <mergeCell ref="V32:V37"/>
    <mergeCell ref="N32:N37"/>
    <mergeCell ref="I23:I26"/>
    <mergeCell ref="J23:J26"/>
    <mergeCell ref="K23:K26"/>
    <mergeCell ref="L23:L26"/>
    <mergeCell ref="L27:L28"/>
    <mergeCell ref="K27:K28"/>
    <mergeCell ref="J27:J28"/>
    <mergeCell ref="I27:I28"/>
    <mergeCell ref="R27:R28"/>
    <mergeCell ref="Q23:Q26"/>
    <mergeCell ref="S23:S26"/>
    <mergeCell ref="U27:U28"/>
    <mergeCell ref="T27:T28"/>
    <mergeCell ref="S27:S28"/>
    <mergeCell ref="W41:W45"/>
    <mergeCell ref="V41:V45"/>
    <mergeCell ref="Z27:Z28"/>
    <mergeCell ref="Y27:Y28"/>
    <mergeCell ref="X27:X28"/>
    <mergeCell ref="B27:B28"/>
    <mergeCell ref="B23:B26"/>
    <mergeCell ref="G27:G28"/>
    <mergeCell ref="F27:F28"/>
    <mergeCell ref="M23:M26"/>
    <mergeCell ref="H23:H26"/>
    <mergeCell ref="G23:G26"/>
    <mergeCell ref="F23:F26"/>
    <mergeCell ref="Q27:Q28"/>
    <mergeCell ref="P23:P26"/>
    <mergeCell ref="P27:P28"/>
    <mergeCell ref="M27:M28"/>
    <mergeCell ref="H27:H28"/>
    <mergeCell ref="O23:O26"/>
    <mergeCell ref="O27:O28"/>
    <mergeCell ref="W27:W28"/>
    <mergeCell ref="V27:V28"/>
    <mergeCell ref="V23:V26"/>
    <mergeCell ref="W23:W26"/>
    <mergeCell ref="U23:U26"/>
    <mergeCell ref="T23:T26"/>
    <mergeCell ref="A47:C47"/>
    <mergeCell ref="D47:N47"/>
    <mergeCell ref="B7:D7"/>
    <mergeCell ref="N191:N193"/>
    <mergeCell ref="N208:N221"/>
    <mergeCell ref="A133:C133"/>
    <mergeCell ref="D133:N133"/>
    <mergeCell ref="A187:N187"/>
    <mergeCell ref="N27:N28"/>
    <mergeCell ref="A39:C39"/>
    <mergeCell ref="D39:N39"/>
    <mergeCell ref="A16:C16"/>
    <mergeCell ref="D16:N16"/>
    <mergeCell ref="A30:C30"/>
    <mergeCell ref="D30:N30"/>
    <mergeCell ref="E23:E26"/>
    <mergeCell ref="E27:E28"/>
    <mergeCell ref="D23:D26"/>
    <mergeCell ref="D27:D28"/>
    <mergeCell ref="N41:N45"/>
    <mergeCell ref="N78:N80"/>
    <mergeCell ref="N74:N77"/>
    <mergeCell ref="N81:N84"/>
    <mergeCell ref="N85:N87"/>
    <mergeCell ref="Y6:Z6"/>
    <mergeCell ref="N10:N12"/>
    <mergeCell ref="N23:N26"/>
    <mergeCell ref="A6:C6"/>
    <mergeCell ref="P6:U6"/>
    <mergeCell ref="X23:X26"/>
    <mergeCell ref="Y23:Y26"/>
    <mergeCell ref="Z23:Z26"/>
    <mergeCell ref="W10:W12"/>
    <mergeCell ref="V10:V12"/>
    <mergeCell ref="R10:R12"/>
    <mergeCell ref="Q10:Q12"/>
    <mergeCell ref="O10:O12"/>
    <mergeCell ref="Z10:Z12"/>
    <mergeCell ref="R23:R26"/>
    <mergeCell ref="Y10:Y12"/>
    <mergeCell ref="X10:X12"/>
    <mergeCell ref="U10:U12"/>
    <mergeCell ref="T10:T12"/>
    <mergeCell ref="S10:S12"/>
    <mergeCell ref="P10:P12"/>
    <mergeCell ref="V208:V221"/>
    <mergeCell ref="W208:W221"/>
    <mergeCell ref="V202:V207"/>
    <mergeCell ref="W202:W207"/>
    <mergeCell ref="V194:V200"/>
    <mergeCell ref="W194:W200"/>
    <mergeCell ref="O208:O221"/>
    <mergeCell ref="O191:O193"/>
    <mergeCell ref="N194:N200"/>
    <mergeCell ref="O194:O200"/>
    <mergeCell ref="N202:N207"/>
    <mergeCell ref="O202:O207"/>
    <mergeCell ref="V191:V193"/>
    <mergeCell ref="W191:W193"/>
    <mergeCell ref="V62:V71"/>
    <mergeCell ref="W91:W99"/>
    <mergeCell ref="V91:V99"/>
    <mergeCell ref="W88:W90"/>
    <mergeCell ref="V88:V90"/>
    <mergeCell ref="N124:N129"/>
    <mergeCell ref="O62:O71"/>
    <mergeCell ref="N62:N71"/>
    <mergeCell ref="O114:O116"/>
    <mergeCell ref="N114:N116"/>
    <mergeCell ref="O101:O111"/>
    <mergeCell ref="N101:N111"/>
    <mergeCell ref="W101:W111"/>
    <mergeCell ref="V101:V111"/>
    <mergeCell ref="W78:W80"/>
    <mergeCell ref="V78:V80"/>
    <mergeCell ref="W74:W77"/>
    <mergeCell ref="V74:V77"/>
    <mergeCell ref="O78:O80"/>
    <mergeCell ref="W124:W129"/>
    <mergeCell ref="V124:V129"/>
    <mergeCell ref="O124:O129"/>
    <mergeCell ref="A4:D4"/>
    <mergeCell ref="O117:O123"/>
    <mergeCell ref="N117:N123"/>
    <mergeCell ref="W117:W123"/>
    <mergeCell ref="V117:V123"/>
    <mergeCell ref="W114:W116"/>
    <mergeCell ref="V114:V116"/>
    <mergeCell ref="O88:O90"/>
    <mergeCell ref="N88:N90"/>
    <mergeCell ref="O91:O99"/>
    <mergeCell ref="N91:N99"/>
    <mergeCell ref="W85:W87"/>
    <mergeCell ref="V85:V87"/>
    <mergeCell ref="W81:W84"/>
    <mergeCell ref="V81:V84"/>
    <mergeCell ref="O74:O77"/>
    <mergeCell ref="O81:O84"/>
    <mergeCell ref="O85:O87"/>
    <mergeCell ref="W50:W60"/>
    <mergeCell ref="V50:V60"/>
    <mergeCell ref="O50:O60"/>
    <mergeCell ref="N50:N60"/>
    <mergeCell ref="V6:X6"/>
    <mergeCell ref="W62:W71"/>
    <mergeCell ref="O163:O185"/>
    <mergeCell ref="N163:N185"/>
    <mergeCell ref="W136:W139"/>
    <mergeCell ref="V136:V139"/>
    <mergeCell ref="W141:W151"/>
    <mergeCell ref="V141:V151"/>
    <mergeCell ref="W152:W162"/>
    <mergeCell ref="V152:V162"/>
    <mergeCell ref="W163:W185"/>
    <mergeCell ref="V163:V185"/>
    <mergeCell ref="O152:O162"/>
    <mergeCell ref="N152:N162"/>
    <mergeCell ref="O141:O151"/>
    <mergeCell ref="N141:N151"/>
    <mergeCell ref="O136:O139"/>
    <mergeCell ref="N136:N139"/>
  </mergeCells>
  <conditionalFormatting sqref="B9:B10">
    <cfRule type="expression" dxfId="7279" priority="3004">
      <formula>IF($E9,TRUE)</formula>
    </cfRule>
  </conditionalFormatting>
  <conditionalFormatting sqref="B10 D10">
    <cfRule type="expression" dxfId="7278" priority="2975">
      <formula>IF(AND($E11,TRUE,$E12,TRUE),TRUE,FALSE)</formula>
    </cfRule>
  </conditionalFormatting>
  <conditionalFormatting sqref="B11:B12">
    <cfRule type="expression" dxfId="7277" priority="1219">
      <formula>IF(AND($E$11=TRUE,$E$12=TRUE),TRUE,FALSE)</formula>
    </cfRule>
    <cfRule type="expression" dxfId="7276" priority="1220">
      <formula>IF(AND($E11=FALSE,OR($I11&lt;&gt;"",$L11&lt;&gt;"")),TRUE,FALSE)</formula>
    </cfRule>
    <cfRule type="expression" dxfId="7275" priority="1221">
      <formula>IF(AND($E11=TRUE,OR($I11="",$J11="")),TRUE,FALSE)</formula>
    </cfRule>
    <cfRule type="expression" dxfId="7274" priority="1222">
      <formula>IF(AND($E11=TRUE,OR($I11&lt;&gt;"",$L11="")),TRUE,FALSE)</formula>
    </cfRule>
    <cfRule type="expression" dxfId="7273" priority="1223">
      <formula>IF(AND($F$10&gt;0,$D11="",$E11=FALSE),TRUE,FALSE)</formula>
    </cfRule>
  </conditionalFormatting>
  <conditionalFormatting sqref="B14">
    <cfRule type="expression" dxfId="7272" priority="1260">
      <formula>IF(AND($E14=FALSE,OR($I14&lt;&gt;"",$L14&lt;&gt;"")),TRUE,FALSE)</formula>
    </cfRule>
    <cfRule type="expression" dxfId="7271" priority="1261">
      <formula>IF(AND($E14=TRUE,$I14&lt;&gt;"",$L14&lt;&gt;""),TRUE,FALSE)</formula>
    </cfRule>
    <cfRule type="expression" dxfId="7270" priority="1262">
      <formula>IF(AND($E14=TRUE,OR($I14="",$L14="")),TRUE,FALSE)</formula>
    </cfRule>
  </conditionalFormatting>
  <conditionalFormatting sqref="B18:B21">
    <cfRule type="expression" dxfId="7269" priority="2945">
      <formula>IF($E18=TRUE,TRUE,FALSE)</formula>
    </cfRule>
  </conditionalFormatting>
  <conditionalFormatting sqref="B23 B27">
    <cfRule type="expression" dxfId="7268" priority="69">
      <formula>IF(AND($E23=FALSE,OR($I23&lt;&gt;"",$L23&lt;&gt;"")),TRUE,FALSE)</formula>
    </cfRule>
    <cfRule type="expression" dxfId="7267" priority="70">
      <formula>IF(AND($E23=TRUE,$I23&lt;&gt;"",$L23&lt;&gt;""),TRUE,FALSE)</formula>
    </cfRule>
    <cfRule type="expression" dxfId="7266" priority="71">
      <formula>IF(AND($E23=TRUE,OR($I23="",$L23="")),TRUE,FALSE)</formula>
    </cfRule>
  </conditionalFormatting>
  <conditionalFormatting sqref="B32:B37">
    <cfRule type="expression" dxfId="7265" priority="1226">
      <formula>IF($E32,TRUE)</formula>
    </cfRule>
  </conditionalFormatting>
  <conditionalFormatting sqref="B33:B36">
    <cfRule type="expression" dxfId="7264" priority="1225">
      <formula>IF(AND($E33=FALSE,OR($I33&lt;&gt;"",$L33&lt;&gt;"")),TRUE,FALSE)</formula>
    </cfRule>
    <cfRule type="expression" dxfId="7263" priority="1227" stopIfTrue="1">
      <formula>IF(AND($E$32,TRUE,$E33=FALSE),TRUE)</formula>
    </cfRule>
  </conditionalFormatting>
  <conditionalFormatting sqref="B37">
    <cfRule type="expression" dxfId="7262" priority="3068">
      <formula>IF(OR(AND($E37=TRUE,$E$33=TRUE),AND($E$37=TRUE,$E$34=TRUE),AND($E$37=TRUE,$E$36=TRUE)),TRUE,FALSE)</formula>
    </cfRule>
    <cfRule type="expression" dxfId="7261" priority="10792" stopIfTrue="1">
      <formula>IF(AND($E$32,TRUE,$E37=FALSE),TRUE)</formula>
    </cfRule>
  </conditionalFormatting>
  <conditionalFormatting sqref="B41 D41">
    <cfRule type="expression" dxfId="7260" priority="2253">
      <formula>IF($E41,TRUE)</formula>
    </cfRule>
  </conditionalFormatting>
  <conditionalFormatting sqref="B42:B45">
    <cfRule type="expression" dxfId="7259" priority="1371">
      <formula>IF(AND($E42=FALSE,OR($I42&lt;&gt;"",$L42&lt;&gt;"")),TRUE,FALSE)</formula>
    </cfRule>
    <cfRule type="expression" dxfId="7258" priority="1372">
      <formula>IF(AND($E42=TRUE,$I42&lt;&gt;"",$L42&lt;&gt;""),TRUE,FALSE)</formula>
    </cfRule>
    <cfRule type="expression" dxfId="7257" priority="1373">
      <formula>IF(AND($E42=TRUE,OR($I42="",$L42="")),TRUE,FALSE)</formula>
    </cfRule>
  </conditionalFormatting>
  <conditionalFormatting sqref="B49:B50 D49:D50">
    <cfRule type="expression" dxfId="7256" priority="1241">
      <formula>IF($E49,TRUE)</formula>
    </cfRule>
  </conditionalFormatting>
  <conditionalFormatting sqref="B51:B60">
    <cfRule type="expression" dxfId="7255" priority="1368">
      <formula>IF(AND($E51=FALSE,OR($I51&lt;&gt;"",$L51&lt;&gt;"")),TRUE,FALSE)</formula>
    </cfRule>
    <cfRule type="expression" dxfId="7254" priority="1369">
      <formula>IF(AND($E51=TRUE,$I51&lt;&gt;"",$L51&lt;&gt;""),TRUE,FALSE)</formula>
    </cfRule>
    <cfRule type="expression" dxfId="7253" priority="1370">
      <formula>IF(AND($E51=TRUE,OR($I51="",$L51="")),TRUE,FALSE)</formula>
    </cfRule>
  </conditionalFormatting>
  <conditionalFormatting sqref="B62:B63 D62:D63">
    <cfRule type="expression" dxfId="7252" priority="3055">
      <formula>IF($E62,TRUE)</formula>
    </cfRule>
  </conditionalFormatting>
  <conditionalFormatting sqref="B64">
    <cfRule type="expression" dxfId="7251" priority="1365">
      <formula>IF(AND($E64=FALSE,OR($I64&lt;&gt;"",$L64&lt;&gt;"")),TRUE,FALSE)</formula>
    </cfRule>
    <cfRule type="expression" dxfId="7250" priority="1366">
      <formula>IF(AND($E64=TRUE,$I64&lt;&gt;"",$L64&lt;&gt;""),TRUE,FALSE)</formula>
    </cfRule>
    <cfRule type="expression" dxfId="7249" priority="1367">
      <formula>IF(AND($E64=TRUE,OR($I64="",$L64="")),TRUE,FALSE)</formula>
    </cfRule>
  </conditionalFormatting>
  <conditionalFormatting sqref="B65 D65">
    <cfRule type="expression" dxfId="7248" priority="3353">
      <formula>IF($E65,TRUE)</formula>
    </cfRule>
  </conditionalFormatting>
  <conditionalFormatting sqref="B66:B71">
    <cfRule type="expression" dxfId="7247" priority="1362">
      <formula>IF(AND($E66=FALSE,OR($I66&lt;&gt;"",$L66&lt;&gt;"")),TRUE,FALSE)</formula>
    </cfRule>
    <cfRule type="expression" dxfId="7246" priority="1363">
      <formula>IF(AND($E66=TRUE,$I66&lt;&gt;"",$L66&lt;&gt;""),TRUE,FALSE)</formula>
    </cfRule>
    <cfRule type="expression" dxfId="7245" priority="1364">
      <formula>IF(AND($E66=TRUE,OR($I66="",$L66="")),TRUE,FALSE)</formula>
    </cfRule>
  </conditionalFormatting>
  <conditionalFormatting sqref="B73:B74">
    <cfRule type="expression" dxfId="7244" priority="1242">
      <formula>IF($E73,TRUE)</formula>
    </cfRule>
  </conditionalFormatting>
  <conditionalFormatting sqref="B75:B77">
    <cfRule type="expression" dxfId="7243" priority="1359">
      <formula>IF(AND($E75=FALSE,OR($I75&lt;&gt;"",$L75&lt;&gt;"")),TRUE,FALSE)</formula>
    </cfRule>
    <cfRule type="expression" dxfId="7242" priority="1360">
      <formula>IF(AND($E75=TRUE,$I75&lt;&gt;"",$L75&lt;&gt;""),TRUE,FALSE)</formula>
    </cfRule>
    <cfRule type="expression" dxfId="7241" priority="1361">
      <formula>IF(AND($E75=TRUE,OR($I75="",$L75="")),TRUE,FALSE)</formula>
    </cfRule>
  </conditionalFormatting>
  <conditionalFormatting sqref="B78">
    <cfRule type="expression" dxfId="7240" priority="1243">
      <formula>IF($E78,TRUE)</formula>
    </cfRule>
  </conditionalFormatting>
  <conditionalFormatting sqref="B79:B80">
    <cfRule type="expression" dxfId="7239" priority="1356">
      <formula>IF(AND($E79=FALSE,OR($I79&lt;&gt;"",$L79&lt;&gt;"")),TRUE,FALSE)</formula>
    </cfRule>
    <cfRule type="expression" dxfId="7238" priority="1357">
      <formula>IF(AND($E79=TRUE,$I79&lt;&gt;"",$L79&lt;&gt;""),TRUE,FALSE)</formula>
    </cfRule>
    <cfRule type="expression" dxfId="7237" priority="1358">
      <formula>IF(AND($E79=TRUE,OR($I79="",$L79="")),TRUE,FALSE)</formula>
    </cfRule>
  </conditionalFormatting>
  <conditionalFormatting sqref="B81">
    <cfRule type="expression" dxfId="7236" priority="1244">
      <formula>IF($E81,TRUE)</formula>
    </cfRule>
  </conditionalFormatting>
  <conditionalFormatting sqref="B82:B84">
    <cfRule type="expression" dxfId="7235" priority="1353">
      <formula>IF(AND($E82=FALSE,OR($I82&lt;&gt;"",$L82&lt;&gt;"")),TRUE,FALSE)</formula>
    </cfRule>
    <cfRule type="expression" dxfId="7234" priority="1354">
      <formula>IF(AND($E82=TRUE,$I82&lt;&gt;"",$L82&lt;&gt;""),TRUE,FALSE)</formula>
    </cfRule>
    <cfRule type="expression" dxfId="7233" priority="1355">
      <formula>IF(AND($E82=TRUE,OR($I82="",$L82="")),TRUE,FALSE)</formula>
    </cfRule>
  </conditionalFormatting>
  <conditionalFormatting sqref="B85">
    <cfRule type="expression" dxfId="7232" priority="1245">
      <formula>IF($E85,TRUE)</formula>
    </cfRule>
  </conditionalFormatting>
  <conditionalFormatting sqref="B86:B87">
    <cfRule type="expression" dxfId="7231" priority="1350">
      <formula>IF(AND($E86=FALSE,OR($I86&lt;&gt;"",$L86&lt;&gt;"")),TRUE,FALSE)</formula>
    </cfRule>
    <cfRule type="expression" dxfId="7230" priority="1351">
      <formula>IF(AND($E86=TRUE,$I86&lt;&gt;"",$L86&lt;&gt;""),TRUE,FALSE)</formula>
    </cfRule>
    <cfRule type="expression" dxfId="7229" priority="1352">
      <formula>IF(AND($E86=TRUE,OR($I86="",$L86="")),TRUE,FALSE)</formula>
    </cfRule>
  </conditionalFormatting>
  <conditionalFormatting sqref="B88">
    <cfRule type="expression" dxfId="7228" priority="1246">
      <formula>IF($E88,TRUE)</formula>
    </cfRule>
  </conditionalFormatting>
  <conditionalFormatting sqref="B89:B90">
    <cfRule type="expression" dxfId="7227" priority="1347">
      <formula>IF(AND($E89=FALSE,OR($I89&lt;&gt;"",$L89&lt;&gt;"")),TRUE,FALSE)</formula>
    </cfRule>
    <cfRule type="expression" dxfId="7226" priority="1348">
      <formula>IF(AND($E89=TRUE,$I89&lt;&gt;"",$L89&lt;&gt;""),TRUE,FALSE)</formula>
    </cfRule>
    <cfRule type="expression" dxfId="7225" priority="1349">
      <formula>IF(AND($E89=TRUE,OR($I89="",$L89="")),TRUE,FALSE)</formula>
    </cfRule>
  </conditionalFormatting>
  <conditionalFormatting sqref="B91">
    <cfRule type="expression" dxfId="7224" priority="1682">
      <formula>IF($E91,TRUE)</formula>
    </cfRule>
  </conditionalFormatting>
  <conditionalFormatting sqref="B92:B99">
    <cfRule type="expression" dxfId="7223" priority="1341">
      <formula>IF(AND($E92=FALSE,OR($I92&lt;&gt;"",$L92&lt;&gt;"")),TRUE,FALSE)</formula>
    </cfRule>
    <cfRule type="expression" dxfId="7222" priority="1342">
      <formula>IF(AND($E92=TRUE,$I92&lt;&gt;"",$L92&lt;&gt;""),TRUE,FALSE)</formula>
    </cfRule>
    <cfRule type="expression" dxfId="7221" priority="1343">
      <formula>IF(AND($E92=TRUE,OR($I92="",$L92="")),TRUE,FALSE)</formula>
    </cfRule>
  </conditionalFormatting>
  <conditionalFormatting sqref="B101:B102">
    <cfRule type="expression" dxfId="7220" priority="1286">
      <formula>IF($E101=TRUE,TRUE,FALSE)</formula>
    </cfRule>
  </conditionalFormatting>
  <conditionalFormatting sqref="B103:B111">
    <cfRule type="expression" dxfId="7219" priority="1338">
      <formula>IF(AND($E103=FALSE,OR($I103&lt;&gt;"",$L103&lt;&gt;"")),TRUE,FALSE)</formula>
    </cfRule>
    <cfRule type="expression" dxfId="7218" priority="1339">
      <formula>IF(AND($E103=TRUE,$I103&lt;&gt;"",$L103&lt;&gt;""),TRUE,FALSE)</formula>
    </cfRule>
    <cfRule type="expression" dxfId="7217" priority="1340">
      <formula>IF(AND($E103=TRUE,OR($I103="",$L103="")),TRUE,FALSE)</formula>
    </cfRule>
  </conditionalFormatting>
  <conditionalFormatting sqref="B113:B114">
    <cfRule type="expression" dxfId="7216" priority="3">
      <formula>IF($E113=TRUE,TRUE,FALSE)</formula>
    </cfRule>
  </conditionalFormatting>
  <conditionalFormatting sqref="B115:B116">
    <cfRule type="expression" dxfId="7215" priority="1335">
      <formula>IF(AND($E115=FALSE,OR($I115&lt;&gt;"",$L115&lt;&gt;"")),TRUE,FALSE)</formula>
    </cfRule>
    <cfRule type="expression" dxfId="7214" priority="1336">
      <formula>IF(AND($E115=TRUE,$I115&lt;&gt;"",$L115&lt;&gt;""),TRUE,FALSE)</formula>
    </cfRule>
    <cfRule type="expression" dxfId="7213" priority="1337">
      <formula>IF(AND($E115=TRUE,OR($I115="",$L115="")),TRUE,FALSE)</formula>
    </cfRule>
  </conditionalFormatting>
  <conditionalFormatting sqref="B117">
    <cfRule type="expression" dxfId="7212" priority="4">
      <formula>IF($E117=TRUE,TRUE,FALSE)</formula>
    </cfRule>
  </conditionalFormatting>
  <conditionalFormatting sqref="B118:B129">
    <cfRule type="expression" dxfId="7211" priority="1332">
      <formula>IF(AND($E118=FALSE,OR($I118&lt;&gt;"",$L118&lt;&gt;"")),TRUE,FALSE)</formula>
    </cfRule>
    <cfRule type="expression" dxfId="7210" priority="1333">
      <formula>IF(AND($E118=TRUE,$I118&lt;&gt;"",$L118&lt;&gt;""),TRUE,FALSE)</formula>
    </cfRule>
    <cfRule type="expression" dxfId="7209" priority="1334">
      <formula>IF(AND($E118=TRUE,OR($I118="",$L118="")),TRUE,FALSE)</formula>
    </cfRule>
  </conditionalFormatting>
  <conditionalFormatting sqref="B131:B132 D132:F132">
    <cfRule type="expression" dxfId="7208" priority="2855">
      <formula>IF($E131,TRUE)</formula>
    </cfRule>
  </conditionalFormatting>
  <conditionalFormatting sqref="B135:B136">
    <cfRule type="expression" dxfId="7207" priority="1256">
      <formula>IF($E135,TRUE)</formula>
    </cfRule>
  </conditionalFormatting>
  <conditionalFormatting sqref="B137:B139">
    <cfRule type="expression" dxfId="7206" priority="1329">
      <formula>IF(AND($E137=FALSE,OR($I137&lt;&gt;"",$L137&lt;&gt;"")),TRUE,FALSE)</formula>
    </cfRule>
    <cfRule type="expression" dxfId="7205" priority="1330">
      <formula>IF(AND($E137=TRUE,$I137&lt;&gt;"",$L137&lt;&gt;""),TRUE,FALSE)</formula>
    </cfRule>
    <cfRule type="expression" dxfId="7204" priority="1331">
      <formula>IF(AND($E137=TRUE,OR($I137="",$L137="")),TRUE,FALSE)</formula>
    </cfRule>
  </conditionalFormatting>
  <conditionalFormatting sqref="B140:B141">
    <cfRule type="expression" dxfId="7203" priority="1255">
      <formula>IF($E140,TRUE)</formula>
    </cfRule>
  </conditionalFormatting>
  <conditionalFormatting sqref="B142:B151">
    <cfRule type="expression" dxfId="7202" priority="1326">
      <formula>IF(AND($E142=FALSE,OR($I142&lt;&gt;"",$L142&lt;&gt;"")),TRUE,FALSE)</formula>
    </cfRule>
    <cfRule type="expression" dxfId="7201" priority="1327">
      <formula>IF(AND($E142=TRUE,$I142&lt;&gt;"",$L142&lt;&gt;""),TRUE,FALSE)</formula>
    </cfRule>
    <cfRule type="expression" dxfId="7200" priority="1328">
      <formula>IF(AND($E142=TRUE,OR($I142="",$L142="")),TRUE,FALSE)</formula>
    </cfRule>
  </conditionalFormatting>
  <conditionalFormatting sqref="B152">
    <cfRule type="expression" dxfId="7199" priority="1254">
      <formula>IF($E152,TRUE)</formula>
    </cfRule>
  </conditionalFormatting>
  <conditionalFormatting sqref="B153:B162">
    <cfRule type="expression" dxfId="7198" priority="1323">
      <formula>IF(AND($E153=FALSE,OR($I153&lt;&gt;"",$L153&lt;&gt;"")),TRUE,FALSE)</formula>
    </cfRule>
    <cfRule type="expression" dxfId="7197" priority="1324">
      <formula>IF(AND($E153=TRUE,$I153&lt;&gt;"",$L153&lt;&gt;""),TRUE,FALSE)</formula>
    </cfRule>
    <cfRule type="expression" dxfId="7196" priority="1325">
      <formula>IF(AND($E153=TRUE,OR($I153="",$L153="")),TRUE,FALSE)</formula>
    </cfRule>
  </conditionalFormatting>
  <conditionalFormatting sqref="B163">
    <cfRule type="expression" dxfId="7195" priority="1253">
      <formula>IF($E163,TRUE)</formula>
    </cfRule>
  </conditionalFormatting>
  <conditionalFormatting sqref="B164:B185">
    <cfRule type="expression" dxfId="7194" priority="1314">
      <formula>IF(AND($E164=FALSE,OR($I164&lt;&gt;"",$L164&lt;&gt;"")),TRUE,FALSE)</formula>
    </cfRule>
    <cfRule type="expression" dxfId="7193" priority="1315">
      <formula>IF(AND($E164=TRUE,$I164&lt;&gt;"",$L164&lt;&gt;""),TRUE,FALSE)</formula>
    </cfRule>
    <cfRule type="expression" dxfId="7192" priority="1316">
      <formula>IF(AND($E164=TRUE,OR($I164="",$L164="")),TRUE,FALSE)</formula>
    </cfRule>
  </conditionalFormatting>
  <conditionalFormatting sqref="B186 D186:F186">
    <cfRule type="expression" dxfId="7191" priority="2169">
      <formula>IF($E186,TRUE)</formula>
    </cfRule>
  </conditionalFormatting>
  <conditionalFormatting sqref="B189 D189">
    <cfRule type="expression" dxfId="7190" priority="2328">
      <formula>ISNUMBER(SEARCH(" Red",$I189))</formula>
    </cfRule>
    <cfRule type="expression" dxfId="7189" priority="2332">
      <formula>IF($E$189=TRUE,TRUE,FALSE)</formula>
    </cfRule>
  </conditionalFormatting>
  <conditionalFormatting sqref="B190:B191">
    <cfRule type="expression" dxfId="7188" priority="1251">
      <formula>IF($E190,TRUE)</formula>
    </cfRule>
  </conditionalFormatting>
  <conditionalFormatting sqref="B192:B193">
    <cfRule type="expression" dxfId="7187" priority="1311">
      <formula>IF(AND($E192=FALSE,OR($I192&lt;&gt;"",$L192&lt;&gt;"")),TRUE,FALSE)</formula>
    </cfRule>
    <cfRule type="expression" dxfId="7186" priority="1312">
      <formula>IF(AND($E192=TRUE,$I192&lt;&gt;"",$L192&lt;&gt;""),TRUE,FALSE)</formula>
    </cfRule>
    <cfRule type="expression" dxfId="7185" priority="1313">
      <formula>IF(AND($E192=TRUE,OR($I192="",$L192="")),TRUE,FALSE)</formula>
    </cfRule>
    <cfRule type="expression" dxfId="7184" priority="1871" stopIfTrue="1">
      <formula>IF(AND($E$191,TRUE,$E192=FALSE),TRUE)</formula>
    </cfRule>
  </conditionalFormatting>
  <conditionalFormatting sqref="B194">
    <cfRule type="expression" dxfId="7183" priority="1250">
      <formula>IF($E194,TRUE)</formula>
    </cfRule>
  </conditionalFormatting>
  <conditionalFormatting sqref="B195:B200">
    <cfRule type="expression" dxfId="7182" priority="1305">
      <formula>IF(AND($E195=FALSE,OR($I195&lt;&gt;"",$L195&lt;&gt;"")),TRUE,FALSE)</formula>
    </cfRule>
    <cfRule type="expression" dxfId="7181" priority="1306">
      <formula>IF(AND($E195=TRUE,$I195&lt;&gt;"",$L195&lt;&gt;""),TRUE,FALSE)</formula>
    </cfRule>
    <cfRule type="expression" dxfId="7180" priority="1307">
      <formula>IF(AND($E195=TRUE,OR($I195="",$L195="")),TRUE,FALSE)</formula>
    </cfRule>
  </conditionalFormatting>
  <conditionalFormatting sqref="B202 D202">
    <cfRule type="expression" dxfId="7179" priority="2848">
      <formula>IF($E202,TRUE)</formula>
    </cfRule>
  </conditionalFormatting>
  <conditionalFormatting sqref="B203:B207">
    <cfRule type="expression" dxfId="7178" priority="1302">
      <formula>IF(AND($E203=FALSE,OR($I203&lt;&gt;"",$L203&lt;&gt;"")),TRUE,FALSE)</formula>
    </cfRule>
    <cfRule type="expression" dxfId="7177" priority="1303">
      <formula>IF(AND($E203=TRUE,$I203&lt;&gt;"",$L203&lt;&gt;""),TRUE,FALSE)</formula>
    </cfRule>
    <cfRule type="expression" dxfId="7176" priority="1304">
      <formula>IF(AND($E203=TRUE,OR($I203="",$L203="")),TRUE,FALSE)</formula>
    </cfRule>
  </conditionalFormatting>
  <conditionalFormatting sqref="B208">
    <cfRule type="expression" dxfId="7175" priority="1249">
      <formula>IF($E208,TRUE)</formula>
    </cfRule>
  </conditionalFormatting>
  <conditionalFormatting sqref="B209:B221">
    <cfRule type="expression" dxfId="7174" priority="1299">
      <formula>IF(AND($E209=FALSE,OR($I209&lt;&gt;"",$L209&lt;&gt;"")),TRUE,FALSE)</formula>
    </cfRule>
    <cfRule type="expression" dxfId="7173" priority="1300">
      <formula>IF(AND($E209=TRUE,$I209&lt;&gt;"",$L209&lt;&gt;""),TRUE,FALSE)</formula>
    </cfRule>
    <cfRule type="expression" dxfId="7172" priority="1301">
      <formula>IF(AND($E209=TRUE,OR($I209="",$L209="")),TRUE,FALSE)</formula>
    </cfRule>
  </conditionalFormatting>
  <conditionalFormatting sqref="D9 D11:D12 D33:D37 D42:D45">
    <cfRule type="expression" dxfId="7171" priority="1490">
      <formula>IF($D9="Compliant",TRUE)</formula>
    </cfRule>
    <cfRule type="expression" dxfId="7170" priority="1491">
      <formula>IF($D9=" ",TRUE)</formula>
    </cfRule>
    <cfRule type="expression" dxfId="7169" priority="1497">
      <formula>IF($D9="Not Compliant",TRUE)</formula>
    </cfRule>
  </conditionalFormatting>
  <conditionalFormatting sqref="D10">
    <cfRule type="expression" dxfId="7168" priority="3005">
      <formula>IF($E10,TRUE)</formula>
    </cfRule>
  </conditionalFormatting>
  <conditionalFormatting sqref="D14 N14 Q14 V14">
    <cfRule type="beginsWith" dxfId="7167" priority="173" operator="beginsWith" text="Likely">
      <formula>LEFT(D14,LEN("Likely"))="Likely"</formula>
    </cfRule>
    <cfRule type="beginsWith" dxfId="7166" priority="174" operator="beginsWith" text="Not Applicable">
      <formula>LEFT(D14,LEN("Not Applicable"))="Not Applicable"</formula>
    </cfRule>
    <cfRule type="beginsWith" dxfId="7165" priority="175" operator="beginsWith" text="Applicable">
      <formula>LEFT(D14,LEN("Applicable"))="Applicable"</formula>
    </cfRule>
    <cfRule type="beginsWith" dxfId="7164" priority="176" operator="beginsWith" text="Partly">
      <formula>LEFT(D14,LEN("Partly"))="Partly"</formula>
    </cfRule>
    <cfRule type="beginsWith" dxfId="7163" priority="177" operator="beginsWith" text="Missing">
      <formula>LEFT(D14,LEN("Missing"))="Missing"</formula>
    </cfRule>
    <cfRule type="beginsWith" dxfId="7162" priority="178" operator="beginsWith" text="Not">
      <formula>LEFT(D14,LEN("Not"))="Not"</formula>
    </cfRule>
    <cfRule type="beginsWith" dxfId="7161" priority="179" operator="beginsWith" text="Compliant">
      <formula>LEFT(D14,LEN("Compliant"))="Compliant"</formula>
    </cfRule>
    <cfRule type="containsText" dxfId="7160" priority="180" operator="containsText" text="Equivalent">
      <formula>NOT(ISERROR(SEARCH("Equivalent",D14)))</formula>
    </cfRule>
  </conditionalFormatting>
  <conditionalFormatting sqref="D18:D21">
    <cfRule type="expression" dxfId="7159" priority="1377">
      <formula>IF($E18,TRUE)</formula>
    </cfRule>
  </conditionalFormatting>
  <conditionalFormatting sqref="D23 D27">
    <cfRule type="expression" dxfId="7158" priority="181">
      <formula>IF($D23="Compliant",TRUE)</formula>
    </cfRule>
    <cfRule type="expression" dxfId="7157" priority="182">
      <formula>IF($D23=" ",TRUE)</formula>
    </cfRule>
    <cfRule type="expression" dxfId="7156" priority="188">
      <formula>IF($D23="Not Compliant",TRUE)</formula>
    </cfRule>
  </conditionalFormatting>
  <conditionalFormatting sqref="D32 B32">
    <cfRule type="expression" dxfId="7155" priority="3384">
      <formula>IF($E32,FALSE)</formula>
    </cfRule>
  </conditionalFormatting>
  <conditionalFormatting sqref="D32">
    <cfRule type="expression" dxfId="7154" priority="3063">
      <formula>IF($E32,TRUE)</formula>
    </cfRule>
  </conditionalFormatting>
  <conditionalFormatting sqref="D51:D60">
    <cfRule type="expression" dxfId="7153" priority="1224">
      <formula>IF($D51="Compliant",TRUE)</formula>
    </cfRule>
    <cfRule type="expression" dxfId="7152" priority="1475">
      <formula>IF($D51=" ",TRUE)</formula>
    </cfRule>
    <cfRule type="expression" dxfId="7151" priority="1481">
      <formula>IF($D51="Not Compliant",TRUE)</formula>
    </cfRule>
  </conditionalFormatting>
  <conditionalFormatting sqref="D64">
    <cfRule type="expression" dxfId="7150" priority="1386">
      <formula>IF($D64="Compliant",TRUE)</formula>
    </cfRule>
    <cfRule type="expression" dxfId="7149" priority="1387">
      <formula>IF($D64=" ",TRUE)</formula>
    </cfRule>
    <cfRule type="expression" dxfId="7148" priority="1393">
      <formula>IF($D64="Not Compliant",TRUE)</formula>
    </cfRule>
  </conditionalFormatting>
  <conditionalFormatting sqref="D66:D71">
    <cfRule type="expression" dxfId="7147" priority="1378">
      <formula>IF($D66="Compliant",TRUE)</formula>
    </cfRule>
    <cfRule type="expression" dxfId="7146" priority="1379">
      <formula>IF($D66=" ",TRUE)</formula>
    </cfRule>
    <cfRule type="expression" dxfId="7145" priority="1385">
      <formula>IF($D66="Not Compliant",TRUE)</formula>
    </cfRule>
  </conditionalFormatting>
  <conditionalFormatting sqref="D73:D74">
    <cfRule type="expression" dxfId="7144" priority="3347">
      <formula>IF($E73,TRUE)</formula>
    </cfRule>
  </conditionalFormatting>
  <conditionalFormatting sqref="D75:D77 D79:D80 D82:D84 D86:D87 D89:D90 D92:D99 D103:D111 D115:D116 D118:D129 D131 D137:D139 D142:D151 D153:D162">
    <cfRule type="expression" dxfId="7143" priority="1442">
      <formula>IF($D75="Compliant",TRUE)</formula>
    </cfRule>
    <cfRule type="expression" dxfId="7142" priority="1443">
      <formula>IF($D75=" ",TRUE)</formula>
    </cfRule>
    <cfRule type="expression" dxfId="7141" priority="1449">
      <formula>IF($D75="Not Compliant",TRUE)</formula>
    </cfRule>
  </conditionalFormatting>
  <conditionalFormatting sqref="D78">
    <cfRule type="expression" dxfId="7140" priority="2861">
      <formula>IF($E78,TRUE)</formula>
    </cfRule>
  </conditionalFormatting>
  <conditionalFormatting sqref="D81 D85 D91">
    <cfRule type="expression" dxfId="7139" priority="2860">
      <formula>IF($E81,TRUE)</formula>
    </cfRule>
  </conditionalFormatting>
  <conditionalFormatting sqref="D88">
    <cfRule type="expression" dxfId="7138" priority="1658">
      <formula>IF($E88,TRUE)</formula>
    </cfRule>
  </conditionalFormatting>
  <conditionalFormatting sqref="D101:D102">
    <cfRule type="expression" dxfId="7137" priority="2858">
      <formula>IF($E101,TRUE)</formula>
    </cfRule>
  </conditionalFormatting>
  <conditionalFormatting sqref="D113:D114 D117">
    <cfRule type="expression" dxfId="7136" priority="2856">
      <formula>IF($E113,TRUE)</formula>
    </cfRule>
  </conditionalFormatting>
  <conditionalFormatting sqref="D135:D136">
    <cfRule type="expression" dxfId="7135" priority="2208">
      <formula>IF($E135,TRUE)</formula>
    </cfRule>
  </conditionalFormatting>
  <conditionalFormatting sqref="D140:D141 D152 D163">
    <cfRule type="expression" dxfId="7134" priority="2853">
      <formula>IF($E140,TRUE)</formula>
    </cfRule>
  </conditionalFormatting>
  <conditionalFormatting sqref="D164:D185">
    <cfRule type="expression" dxfId="7133" priority="1426">
      <formula>IF($D164="Compliant",TRUE)</formula>
    </cfRule>
    <cfRule type="expression" dxfId="7132" priority="1427">
      <formula>IF($D164=" ",TRUE)</formula>
    </cfRule>
    <cfRule type="expression" dxfId="7131" priority="1433">
      <formula>IF($D164="Not Compliant",TRUE)</formula>
    </cfRule>
  </conditionalFormatting>
  <conditionalFormatting sqref="D190">
    <cfRule type="expression" dxfId="7130" priority="1927">
      <formula>IF($E190,TRUE)</formula>
    </cfRule>
  </conditionalFormatting>
  <conditionalFormatting sqref="D191">
    <cfRule type="expression" dxfId="7129" priority="1868">
      <formula>IF($F$191&gt;1,TRUE,FALSE)</formula>
    </cfRule>
    <cfRule type="expression" dxfId="7128" priority="1869">
      <formula>IF(AND($E191,TRUE,$F$191=1),TRUE,FALSE)</formula>
    </cfRule>
  </conditionalFormatting>
  <conditionalFormatting sqref="D192:D193 D195:D200 D203:D207">
    <cfRule type="expression" dxfId="7127" priority="1402">
      <formula>IF($D192="Compliant",TRUE)</formula>
    </cfRule>
    <cfRule type="expression" dxfId="7126" priority="1403">
      <formula>IF($D192=" ",TRUE)</formula>
    </cfRule>
    <cfRule type="expression" dxfId="7125" priority="1409">
      <formula>IF($D192="Not Compliant",TRUE)</formula>
    </cfRule>
  </conditionalFormatting>
  <conditionalFormatting sqref="D194">
    <cfRule type="expression" dxfId="7124" priority="1247">
      <formula>ISNUMBER(SEARCH(" Red",$I194))</formula>
    </cfRule>
    <cfRule type="expression" dxfId="7123" priority="1248">
      <formula>IF($E$194=TRUE,TRUE,FALSE)</formula>
    </cfRule>
  </conditionalFormatting>
  <conditionalFormatting sqref="D208">
    <cfRule type="expression" dxfId="7122" priority="2847">
      <formula>IF($E208,TRUE)</formula>
    </cfRule>
  </conditionalFormatting>
  <conditionalFormatting sqref="D209:D221">
    <cfRule type="expression" dxfId="7121" priority="1394">
      <formula>IF($D209="Compliant",TRUE)</formula>
    </cfRule>
    <cfRule type="expression" dxfId="7120" priority="1395">
      <formula>IF($D209=" ",TRUE)</formula>
    </cfRule>
    <cfRule type="expression" dxfId="7119" priority="1401">
      <formula>IF($D209="Not Compliant",TRUE)</formula>
    </cfRule>
  </conditionalFormatting>
  <conditionalFormatting sqref="D61:F61">
    <cfRule type="expression" dxfId="7118" priority="2092">
      <formula>IF($E61,TRUE)</formula>
    </cfRule>
  </conditionalFormatting>
  <conditionalFormatting sqref="E134:F134">
    <cfRule type="expression" dxfId="7117" priority="3315">
      <formula>IF($E134,TRUE)</formula>
    </cfRule>
  </conditionalFormatting>
  <conditionalFormatting sqref="E188:F188">
    <cfRule type="expression" dxfId="7116" priority="2185">
      <formula>IF($E188,TRUE)</formula>
    </cfRule>
  </conditionalFormatting>
  <conditionalFormatting sqref="G38:I38">
    <cfRule type="expression" dxfId="7115" priority="2741">
      <formula>IF(AND($E38=FALSE,$I38&lt;&gt;""),TRUE,FALSE)</formula>
    </cfRule>
    <cfRule type="expression" dxfId="7114" priority="2742">
      <formula>IF(AND($E38=TRUE,$I38=""),TRUE,FALSE)</formula>
    </cfRule>
    <cfRule type="expression" dxfId="7113" priority="2743">
      <formula>IF(AND($E38=TRUE,$I38&lt;&gt;""),TRUE,FALSE)</formula>
    </cfRule>
    <cfRule type="expression" dxfId="7112" priority="2744">
      <formula>IF(AND($E38=FALSE,$E$31,TRUE),TRUE,FALSE)</formula>
    </cfRule>
  </conditionalFormatting>
  <conditionalFormatting sqref="G61:I61">
    <cfRule type="expression" dxfId="7111" priority="2109">
      <formula>IF(AND($E61=FALSE,$I61&lt;&gt;""),TRUE,FALSE)</formula>
    </cfRule>
    <cfRule type="expression" dxfId="7110" priority="2110">
      <formula>IF(AND($E61=TRUE,$I61=""),TRUE,FALSE)</formula>
    </cfRule>
    <cfRule type="expression" dxfId="7109" priority="2111">
      <formula>IF(AND($E61=TRUE,$I61&lt;&gt;""),TRUE,FALSE)</formula>
    </cfRule>
  </conditionalFormatting>
  <conditionalFormatting sqref="G132:I132">
    <cfRule type="expression" dxfId="7108" priority="2812">
      <formula>IF(AND($E132=FALSE,$I132&lt;&gt;""),TRUE,FALSE)</formula>
    </cfRule>
    <cfRule type="expression" dxfId="7107" priority="2813">
      <formula>IF(AND($E132=TRUE,$I132=""),TRUE,FALSE)</formula>
    </cfRule>
    <cfRule type="expression" dxfId="7106" priority="2814">
      <formula>IF(AND($E132=TRUE,$I132&lt;&gt;""),TRUE,FALSE)</formula>
    </cfRule>
  </conditionalFormatting>
  <conditionalFormatting sqref="G186:I186">
    <cfRule type="expression" dxfId="7105" priority="2166">
      <formula>IF(AND($E186=FALSE,$I186&lt;&gt;""),TRUE,FALSE)</formula>
    </cfRule>
    <cfRule type="expression" dxfId="7104" priority="2167">
      <formula>IF(AND($E186=TRUE,$I186=""),TRUE,FALSE)</formula>
    </cfRule>
    <cfRule type="expression" dxfId="7103" priority="2168">
      <formula>IF(AND($E186=TRUE,$I186&lt;&gt;""),TRUE,FALSE)</formula>
    </cfRule>
  </conditionalFormatting>
  <conditionalFormatting sqref="I15:M15">
    <cfRule type="expression" dxfId="7102" priority="13939">
      <formula>IF(AND($E15=FALSE,#REF!="Not Applicable"),TRUE,FALSE)</formula>
    </cfRule>
    <cfRule type="expression" dxfId="7101" priority="13940">
      <formula>IF(AND($E15=TRUE,$I15=""),TRUE,FALSE)</formula>
    </cfRule>
    <cfRule type="expression" dxfId="7100" priority="13941">
      <formula>IF(AND($E15=TRUE,$I15&lt;&gt;"",#REF!="Applicable"),TRUE,FALSE)</formula>
    </cfRule>
    <cfRule type="expression" dxfId="7099" priority="13942">
      <formula>IF(AND($E15=FALSE,#REF!&lt;&gt;""),TRUE,FALSE)</formula>
    </cfRule>
    <cfRule type="expression" dxfId="7098" priority="13943">
      <formula>IF(AND($I15&lt;&gt;"",#REF!&lt;&gt;""),TRUE,FALSE)</formula>
    </cfRule>
  </conditionalFormatting>
  <conditionalFormatting sqref="J38:M38">
    <cfRule type="expression" dxfId="7097" priority="2653">
      <formula>IF(AND($E38=FALSE,$L38&lt;&gt;""),TRUE,FALSE)</formula>
    </cfRule>
    <cfRule type="expression" dxfId="7096" priority="2654">
      <formula>IF(AND($E38=TRUE,$L38=""),TRUE,FALSE)</formula>
    </cfRule>
    <cfRule type="expression" dxfId="7095" priority="2655">
      <formula>IF(AND($E38=TRUE,$L38&lt;&gt;""),TRUE,FALSE)</formula>
    </cfRule>
    <cfRule type="expression" dxfId="7094" priority="2656">
      <formula>IF(AND($E38=FALSE,$E$31,TRUE),TRUE,FALSE)</formula>
    </cfRule>
  </conditionalFormatting>
  <conditionalFormatting sqref="J132:M132">
    <cfRule type="expression" dxfId="7093" priority="2688">
      <formula>IF(AND($E162=FALSE,$L162&lt;&gt;""),TRUE,FALSE)</formula>
    </cfRule>
  </conditionalFormatting>
  <conditionalFormatting sqref="J186:M186">
    <cfRule type="expression" dxfId="7092" priority="12754">
      <formula>IF(AND($E218=FALSE,$L218&lt;&gt;""),TRUE,FALSE)</formula>
    </cfRule>
  </conditionalFormatting>
  <conditionalFormatting sqref="L61:M61">
    <cfRule type="expression" dxfId="7091" priority="12767">
      <formula>IF(AND($E95=FALSE,$L95&lt;&gt;""),TRUE,FALSE)</formula>
    </cfRule>
  </conditionalFormatting>
  <conditionalFormatting sqref="N9:N10">
    <cfRule type="expression" dxfId="7090" priority="164">
      <formula>IF($N9="Compliant",TRUE)</formula>
    </cfRule>
    <cfRule type="expression" dxfId="7089" priority="165">
      <formula>IF($N9="FE with work-a-round",TRUE)</formula>
    </cfRule>
    <cfRule type="expression" dxfId="7088" priority="166">
      <formula>IF($N9="Functionally Equivalent",TRUE)</formula>
    </cfRule>
    <cfRule type="expression" dxfId="7087" priority="167">
      <formula>IF($N9="Likely to become compliant",TRUE)</formula>
    </cfRule>
    <cfRule type="expression" dxfId="7086" priority="168">
      <formula>IF($N9="Partly Compliant",TRUE)</formula>
    </cfRule>
    <cfRule type="expression" dxfId="7085" priority="169">
      <formula>IF($N9="Unknown/Missing",TRUE)</formula>
    </cfRule>
    <cfRule type="expression" dxfId="7084" priority="170">
      <formula>IF($N9="Not Required/Applicable",TRUE)</formula>
    </cfRule>
    <cfRule type="expression" dxfId="7083" priority="171">
      <formula>IF($N9="Not Compliant",TRUE)</formula>
    </cfRule>
    <cfRule type="expression" dxfId="7082" priority="172">
      <formula>IF($N9=" ",TRUE)</formula>
    </cfRule>
  </conditionalFormatting>
  <conditionalFormatting sqref="N18:N21 Q18:Q21 V18:V21">
    <cfRule type="expression" dxfId="7081" priority="1148">
      <formula>IF(O18=FALSE,TRUE,FALSE)</formula>
    </cfRule>
    <cfRule type="expression" dxfId="7080" priority="1149">
      <formula>IF(O18=TRUE,TRUE,FALSE)</formula>
    </cfRule>
  </conditionalFormatting>
  <conditionalFormatting sqref="N23">
    <cfRule type="expression" dxfId="7079" priority="126">
      <formula>IF($N23="Compliant",TRUE)</formula>
    </cfRule>
    <cfRule type="expression" dxfId="7078" priority="127">
      <formula>IF($N23="FE with work-a-round",TRUE)</formula>
    </cfRule>
    <cfRule type="expression" dxfId="7077" priority="128">
      <formula>IF($N23="Functionally Equivalent",TRUE)</formula>
    </cfRule>
    <cfRule type="expression" dxfId="7076" priority="129">
      <formula>IF($N23="Likely to become compliant",TRUE)</formula>
    </cfRule>
    <cfRule type="expression" dxfId="7075" priority="130">
      <formula>IF($N23="Partly Compliant",TRUE)</formula>
    </cfRule>
    <cfRule type="expression" dxfId="7074" priority="131">
      <formula>IF($N23="Unknown/Missing",TRUE)</formula>
    </cfRule>
    <cfRule type="expression" dxfId="7073" priority="132">
      <formula>IF($N23="Not Required/Applicable",TRUE)</formula>
    </cfRule>
    <cfRule type="expression" dxfId="7072" priority="133">
      <formula>IF($N23="Not Compliant",TRUE)</formula>
    </cfRule>
    <cfRule type="expression" dxfId="7071" priority="134">
      <formula>IF($N23=" ",TRUE)</formula>
    </cfRule>
  </conditionalFormatting>
  <conditionalFormatting sqref="N27">
    <cfRule type="expression" dxfId="7070" priority="117">
      <formula>IF($N27="Compliant",TRUE)</formula>
    </cfRule>
    <cfRule type="expression" dxfId="7069" priority="118">
      <formula>IF($N27="FE with work-a-round",TRUE)</formula>
    </cfRule>
    <cfRule type="expression" dxfId="7068" priority="119">
      <formula>IF($N27="Functionally Equivalent",TRUE)</formula>
    </cfRule>
    <cfRule type="expression" dxfId="7067" priority="120">
      <formula>IF($N27="Likely to become compliant",TRUE)</formula>
    </cfRule>
    <cfRule type="expression" dxfId="7066" priority="121">
      <formula>IF($N27="Partly Compliant",TRUE)</formula>
    </cfRule>
    <cfRule type="expression" dxfId="7065" priority="122">
      <formula>IF($N27="Unknown/Missing",TRUE)</formula>
    </cfRule>
    <cfRule type="expression" dxfId="7064" priority="123">
      <formula>IF($N27="Not Required/Applicable",TRUE)</formula>
    </cfRule>
    <cfRule type="expression" dxfId="7063" priority="124">
      <formula>IF($N27="Not Compliant",TRUE)</formula>
    </cfRule>
    <cfRule type="expression" dxfId="7062" priority="125">
      <formula>IF($N27=" ",TRUE)</formula>
    </cfRule>
  </conditionalFormatting>
  <conditionalFormatting sqref="N32">
    <cfRule type="expression" dxfId="7061" priority="72">
      <formula>IF($N32="Compliant",TRUE)</formula>
    </cfRule>
    <cfRule type="expression" dxfId="7060" priority="73">
      <formula>IF($N32="FE with work-a-round",TRUE)</formula>
    </cfRule>
    <cfRule type="expression" dxfId="7059" priority="74">
      <formula>IF($N32="Functionally Equivalent",TRUE)</formula>
    </cfRule>
    <cfRule type="expression" dxfId="7058" priority="75">
      <formula>IF($N32="Likely to become compliant",TRUE)</formula>
    </cfRule>
    <cfRule type="expression" dxfId="7057" priority="76">
      <formula>IF($N32="Partly Compliant",TRUE)</formula>
    </cfRule>
    <cfRule type="expression" dxfId="7056" priority="77">
      <formula>IF($N32="Unknown/Missing",TRUE)</formula>
    </cfRule>
    <cfRule type="expression" dxfId="7055" priority="78">
      <formula>IF($N32="Not Required/Applicable",TRUE)</formula>
    </cfRule>
    <cfRule type="expression" dxfId="7054" priority="79">
      <formula>IF($N32="Not Compliant",TRUE)</formula>
    </cfRule>
    <cfRule type="expression" dxfId="7053" priority="80">
      <formula>IF($N32=" ",TRUE)</formula>
    </cfRule>
  </conditionalFormatting>
  <conditionalFormatting sqref="N41 N62">
    <cfRule type="expression" dxfId="7052" priority="1180">
      <formula>IF($N41="Compliant",TRUE)</formula>
    </cfRule>
    <cfRule type="expression" dxfId="7051" priority="1181">
      <formula>IF($N41="FE with work-a-round",TRUE)</formula>
    </cfRule>
    <cfRule type="expression" dxfId="7050" priority="1182">
      <formula>IF($N41="Functionally Equivalent",TRUE)</formula>
    </cfRule>
    <cfRule type="expression" dxfId="7049" priority="1183">
      <formula>IF($N41="Likely to become compliant",TRUE)</formula>
    </cfRule>
    <cfRule type="expression" dxfId="7048" priority="1184">
      <formula>IF($N41="Partly Compliant",TRUE)</formula>
    </cfRule>
    <cfRule type="expression" dxfId="7047" priority="1185">
      <formula>IF($N41="Unknown/Missing",TRUE)</formula>
    </cfRule>
    <cfRule type="expression" dxfId="7046" priority="1186">
      <formula>IF($N41="Not Required/Applicable",TRUE)</formula>
    </cfRule>
    <cfRule type="expression" dxfId="7045" priority="1187">
      <formula>IF($N41="Not Compliant",TRUE)</formula>
    </cfRule>
    <cfRule type="expression" dxfId="7044" priority="1188">
      <formula>IF($N41=" ",TRUE)</formula>
    </cfRule>
  </conditionalFormatting>
  <conditionalFormatting sqref="N49">
    <cfRule type="expression" dxfId="7043" priority="1154">
      <formula>IF(O49=FALSE,TRUE,FALSE)</formula>
    </cfRule>
    <cfRule type="expression" dxfId="7042" priority="1155">
      <formula>IF(O49=TRUE,TRUE,FALSE)</formula>
    </cfRule>
  </conditionalFormatting>
  <conditionalFormatting sqref="N50">
    <cfRule type="expression" dxfId="7041" priority="1129">
      <formula>IF($N50="Compliant",TRUE)</formula>
    </cfRule>
    <cfRule type="expression" dxfId="7040" priority="1130">
      <formula>IF($N50="FE with work-a-round",TRUE)</formula>
    </cfRule>
    <cfRule type="expression" dxfId="7039" priority="1131">
      <formula>IF($N50="Functionally Equivalent",TRUE)</formula>
    </cfRule>
    <cfRule type="expression" dxfId="7038" priority="1132">
      <formula>IF($N50="Likely to become compliant",TRUE)</formula>
    </cfRule>
    <cfRule type="expression" dxfId="7037" priority="1133">
      <formula>IF($N50="Partly Compliant",TRUE)</formula>
    </cfRule>
    <cfRule type="expression" dxfId="7036" priority="1134">
      <formula>IF($N50="Unknown/Missing",TRUE)</formula>
    </cfRule>
    <cfRule type="expression" dxfId="7035" priority="1135">
      <formula>IF($N50="Not Required/Applicable",TRUE)</formula>
    </cfRule>
    <cfRule type="expression" dxfId="7034" priority="1136">
      <formula>IF($N50="Not Compliant",TRUE)</formula>
    </cfRule>
    <cfRule type="expression" dxfId="7033" priority="1137">
      <formula>IF($N50=" ",TRUE)</formula>
    </cfRule>
  </conditionalFormatting>
  <conditionalFormatting sqref="N73">
    <cfRule type="expression" dxfId="7032" priority="1020">
      <formula>IF(O73=FALSE,TRUE,FALSE)</formula>
    </cfRule>
    <cfRule type="expression" dxfId="7031" priority="1021">
      <formula>IF(O73=TRUE,TRUE,FALSE)</formula>
    </cfRule>
  </conditionalFormatting>
  <conditionalFormatting sqref="N74">
    <cfRule type="expression" dxfId="7030" priority="1007">
      <formula>IF($N74="Compliant",TRUE)</formula>
    </cfRule>
    <cfRule type="expression" dxfId="7029" priority="1008">
      <formula>IF($N74="FE with work-a-round",TRUE)</formula>
    </cfRule>
    <cfRule type="expression" dxfId="7028" priority="1009">
      <formula>IF($N74="Functionally Equivalent",TRUE)</formula>
    </cfRule>
    <cfRule type="expression" dxfId="7027" priority="1010">
      <formula>IF($N74="Likely to become compliant",TRUE)</formula>
    </cfRule>
    <cfRule type="expression" dxfId="7026" priority="1011">
      <formula>IF($N74="Partly Compliant",TRUE)</formula>
    </cfRule>
    <cfRule type="expression" dxfId="7025" priority="1012">
      <formula>IF($N74="Unknown/Missing",TRUE)</formula>
    </cfRule>
    <cfRule type="expression" dxfId="7024" priority="1013">
      <formula>IF($N74="Not Required/Applicable",TRUE)</formula>
    </cfRule>
    <cfRule type="expression" dxfId="7023" priority="1014">
      <formula>IF($N74="Not Compliant",TRUE)</formula>
    </cfRule>
    <cfRule type="expression" dxfId="7022" priority="1015">
      <formula>IF($N74=" ",TRUE)</formula>
    </cfRule>
  </conditionalFormatting>
  <conditionalFormatting sqref="N78">
    <cfRule type="expression" dxfId="7021" priority="945">
      <formula>IF($N78="Compliant",TRUE)</formula>
    </cfRule>
    <cfRule type="expression" dxfId="7020" priority="946">
      <formula>IF($N78="FE with work-a-round",TRUE)</formula>
    </cfRule>
    <cfRule type="expression" dxfId="7019" priority="947">
      <formula>IF($N78="Functionally Equivalent",TRUE)</formula>
    </cfRule>
    <cfRule type="expression" dxfId="7018" priority="948">
      <formula>IF($N78="Likely to become compliant",TRUE)</formula>
    </cfRule>
    <cfRule type="expression" dxfId="7017" priority="949">
      <formula>IF($N78="Partly Compliant",TRUE)</formula>
    </cfRule>
    <cfRule type="expression" dxfId="7016" priority="950">
      <formula>IF($N78="Unknown/Missing",TRUE)</formula>
    </cfRule>
    <cfRule type="expression" dxfId="7015" priority="951">
      <formula>IF($N78="Not Required/Applicable",TRUE)</formula>
    </cfRule>
    <cfRule type="expression" dxfId="7014" priority="952">
      <formula>IF($N78="Not Compliant",TRUE)</formula>
    </cfRule>
    <cfRule type="expression" dxfId="7013" priority="953">
      <formula>IF($N78=" ",TRUE)</formula>
    </cfRule>
  </conditionalFormatting>
  <conditionalFormatting sqref="N81">
    <cfRule type="expression" dxfId="7012" priority="894">
      <formula>IF($N81="Compliant",TRUE)</formula>
    </cfRule>
    <cfRule type="expression" dxfId="7011" priority="895">
      <formula>IF($N81="FE with work-a-round",TRUE)</formula>
    </cfRule>
    <cfRule type="expression" dxfId="7010" priority="896">
      <formula>IF($N81="Functionally Equivalent",TRUE)</formula>
    </cfRule>
    <cfRule type="expression" dxfId="7009" priority="897">
      <formula>IF($N81="Likely to become compliant",TRUE)</formula>
    </cfRule>
    <cfRule type="expression" dxfId="7008" priority="898">
      <formula>IF($N81="Partly Compliant",TRUE)</formula>
    </cfRule>
    <cfRule type="expression" dxfId="7007" priority="899">
      <formula>IF($N81="Unknown/Missing",TRUE)</formula>
    </cfRule>
    <cfRule type="expression" dxfId="7006" priority="900">
      <formula>IF($N81="Not Required/Applicable",TRUE)</formula>
    </cfRule>
    <cfRule type="expression" dxfId="7005" priority="901">
      <formula>IF($N81="Not Compliant",TRUE)</formula>
    </cfRule>
    <cfRule type="expression" dxfId="7004" priority="902">
      <formula>IF($N81=" ",TRUE)</formula>
    </cfRule>
  </conditionalFormatting>
  <conditionalFormatting sqref="N85">
    <cfRule type="expression" dxfId="7003" priority="843">
      <formula>IF($N85="Compliant",TRUE)</formula>
    </cfRule>
    <cfRule type="expression" dxfId="7002" priority="844">
      <formula>IF($N85="FE with work-a-round",TRUE)</formula>
    </cfRule>
    <cfRule type="expression" dxfId="7001" priority="845">
      <formula>IF($N85="Functionally Equivalent",TRUE)</formula>
    </cfRule>
    <cfRule type="expression" dxfId="7000" priority="846">
      <formula>IF($N85="Likely to become compliant",TRUE)</formula>
    </cfRule>
    <cfRule type="expression" dxfId="6999" priority="847">
      <formula>IF($N85="Partly Compliant",TRUE)</formula>
    </cfRule>
    <cfRule type="expression" dxfId="6998" priority="848">
      <formula>IF($N85="Unknown/Missing",TRUE)</formula>
    </cfRule>
    <cfRule type="expression" dxfId="6997" priority="849">
      <formula>IF($N85="Not Required/Applicable",TRUE)</formula>
    </cfRule>
    <cfRule type="expression" dxfId="6996" priority="850">
      <formula>IF($N85="Not Compliant",TRUE)</formula>
    </cfRule>
    <cfRule type="expression" dxfId="6995" priority="851">
      <formula>IF($N85=" ",TRUE)</formula>
    </cfRule>
  </conditionalFormatting>
  <conditionalFormatting sqref="N88">
    <cfRule type="expression" dxfId="6994" priority="792">
      <formula>IF($N88="Compliant",TRUE)</formula>
    </cfRule>
    <cfRule type="expression" dxfId="6993" priority="793">
      <formula>IF($N88="FE with work-a-round",TRUE)</formula>
    </cfRule>
    <cfRule type="expression" dxfId="6992" priority="794">
      <formula>IF($N88="Functionally Equivalent",TRUE)</formula>
    </cfRule>
    <cfRule type="expression" dxfId="6991" priority="795">
      <formula>IF($N88="Likely to become compliant",TRUE)</formula>
    </cfRule>
    <cfRule type="expression" dxfId="6990" priority="796">
      <formula>IF($N88="Partly Compliant",TRUE)</formula>
    </cfRule>
    <cfRule type="expression" dxfId="6989" priority="797">
      <formula>IF($N88="Unknown/Missing",TRUE)</formula>
    </cfRule>
    <cfRule type="expression" dxfId="6988" priority="798">
      <formula>IF($N88="Not Required/Applicable",TRUE)</formula>
    </cfRule>
    <cfRule type="expression" dxfId="6987" priority="799">
      <formula>IF($N88="Not Compliant",TRUE)</formula>
    </cfRule>
    <cfRule type="expression" dxfId="6986" priority="800">
      <formula>IF($N88=" ",TRUE)</formula>
    </cfRule>
  </conditionalFormatting>
  <conditionalFormatting sqref="N91">
    <cfRule type="expression" dxfId="6985" priority="741">
      <formula>IF($N91="Compliant",TRUE)</formula>
    </cfRule>
    <cfRule type="expression" dxfId="6984" priority="742">
      <formula>IF($N91="FE with work-a-round",TRUE)</formula>
    </cfRule>
    <cfRule type="expression" dxfId="6983" priority="743">
      <formula>IF($N91="Functionally Equivalent",TRUE)</formula>
    </cfRule>
    <cfRule type="expression" dxfId="6982" priority="744">
      <formula>IF($N91="Likely to become compliant",TRUE)</formula>
    </cfRule>
    <cfRule type="expression" dxfId="6981" priority="745">
      <formula>IF($N91="Partly Compliant",TRUE)</formula>
    </cfRule>
    <cfRule type="expression" dxfId="6980" priority="746">
      <formula>IF($N91="Unknown/Missing",TRUE)</formula>
    </cfRule>
    <cfRule type="expression" dxfId="6979" priority="747">
      <formula>IF($N91="Not Required/Applicable",TRUE)</formula>
    </cfRule>
    <cfRule type="expression" dxfId="6978" priority="748">
      <formula>IF($N91="Not Compliant",TRUE)</formula>
    </cfRule>
    <cfRule type="expression" dxfId="6977" priority="749">
      <formula>IF($N91=" ",TRUE)</formula>
    </cfRule>
  </conditionalFormatting>
  <conditionalFormatting sqref="N101">
    <cfRule type="expression" dxfId="6976" priority="14">
      <formula>IF($N101="Compliant",TRUE)</formula>
    </cfRule>
    <cfRule type="expression" dxfId="6975" priority="15">
      <formula>IF($N101="FE with work-a-round",TRUE)</formula>
    </cfRule>
    <cfRule type="expression" dxfId="6974" priority="16">
      <formula>IF($N101="Functionally Equivalent",TRUE)</formula>
    </cfRule>
    <cfRule type="expression" dxfId="6973" priority="17">
      <formula>IF($N101="Likely to become compliant",TRUE)</formula>
    </cfRule>
    <cfRule type="expression" dxfId="6972" priority="18">
      <formula>IF($N101="Partly Compliant",TRUE)</formula>
    </cfRule>
    <cfRule type="expression" dxfId="6971" priority="19">
      <formula>IF($N101="Unknown/Missing",TRUE)</formula>
    </cfRule>
    <cfRule type="expression" dxfId="6970" priority="20">
      <formula>IF($N101="Not Required/Applicable",TRUE)</formula>
    </cfRule>
    <cfRule type="expression" dxfId="6969" priority="21">
      <formula>IF($N101="Not Compliant",TRUE)</formula>
    </cfRule>
    <cfRule type="expression" dxfId="6968" priority="22">
      <formula>IF($N101=" ",TRUE)</formula>
    </cfRule>
  </conditionalFormatting>
  <conditionalFormatting sqref="N113">
    <cfRule type="expression" dxfId="6967" priority="632">
      <formula>IF(O113=FALSE,TRUE,FALSE)</formula>
    </cfRule>
    <cfRule type="expression" dxfId="6966" priority="633">
      <formula>IF(O113=TRUE,TRUE,FALSE)</formula>
    </cfRule>
  </conditionalFormatting>
  <conditionalFormatting sqref="N114">
    <cfRule type="expression" dxfId="6965" priority="619">
      <formula>IF($N114="Compliant",TRUE)</formula>
    </cfRule>
    <cfRule type="expression" dxfId="6964" priority="620">
      <formula>IF($N114="FE with work-a-round",TRUE)</formula>
    </cfRule>
    <cfRule type="expression" dxfId="6963" priority="621">
      <formula>IF($N114="Functionally Equivalent",TRUE)</formula>
    </cfRule>
    <cfRule type="expression" dxfId="6962" priority="622">
      <formula>IF($N114="Likely to become compliant",TRUE)</formula>
    </cfRule>
    <cfRule type="expression" dxfId="6961" priority="623">
      <formula>IF($N114="Partly Compliant",TRUE)</formula>
    </cfRule>
    <cfRule type="expression" dxfId="6960" priority="624">
      <formula>IF($N114="Unknown/Missing",TRUE)</formula>
    </cfRule>
    <cfRule type="expression" dxfId="6959" priority="625">
      <formula>IF($N114="Not Required/Applicable",TRUE)</formula>
    </cfRule>
    <cfRule type="expression" dxfId="6958" priority="626">
      <formula>IF($N114="Not Compliant",TRUE)</formula>
    </cfRule>
    <cfRule type="expression" dxfId="6957" priority="627">
      <formula>IF($N114=" ",TRUE)</formula>
    </cfRule>
  </conditionalFormatting>
  <conditionalFormatting sqref="N117">
    <cfRule type="expression" dxfId="6956" priority="32">
      <formula>IF($N117="Compliant",TRUE)</formula>
    </cfRule>
    <cfRule type="expression" dxfId="6955" priority="33">
      <formula>IF($N117="FE with work-a-round",TRUE)</formula>
    </cfRule>
    <cfRule type="expression" dxfId="6954" priority="34">
      <formula>IF($N117="Functionally Equivalent",TRUE)</formula>
    </cfRule>
    <cfRule type="expression" dxfId="6953" priority="35">
      <formula>IF($N117="Likely to become compliant",TRUE)</formula>
    </cfRule>
    <cfRule type="expression" dxfId="6952" priority="36">
      <formula>IF($N117="Partly Compliant",TRUE)</formula>
    </cfRule>
    <cfRule type="expression" dxfId="6951" priority="37">
      <formula>IF($N117="Unknown/Missing",TRUE)</formula>
    </cfRule>
    <cfRule type="expression" dxfId="6950" priority="38">
      <formula>IF($N117="Not Required/Applicable",TRUE)</formula>
    </cfRule>
    <cfRule type="expression" dxfId="6949" priority="39">
      <formula>IF($N117="Not Compliant",TRUE)</formula>
    </cfRule>
    <cfRule type="expression" dxfId="6948" priority="40">
      <formula>IF($N117=" ",TRUE)</formula>
    </cfRule>
  </conditionalFormatting>
  <conditionalFormatting sqref="N124">
    <cfRule type="expression" dxfId="6947" priority="50">
      <formula>IF($N124="Compliant",TRUE)</formula>
    </cfRule>
    <cfRule type="expression" dxfId="6946" priority="51">
      <formula>IF($N124="FE with work-a-round",TRUE)</formula>
    </cfRule>
    <cfRule type="expression" dxfId="6945" priority="52">
      <formula>IF($N124="Functionally Equivalent",TRUE)</formula>
    </cfRule>
    <cfRule type="expression" dxfId="6944" priority="53">
      <formula>IF($N124="Likely to become compliant",TRUE)</formula>
    </cfRule>
    <cfRule type="expression" dxfId="6943" priority="54">
      <formula>IF($N124="Partly Compliant",TRUE)</formula>
    </cfRule>
    <cfRule type="expression" dxfId="6942" priority="55">
      <formula>IF($N124="Unknown/Missing",TRUE)</formula>
    </cfRule>
    <cfRule type="expression" dxfId="6941" priority="56">
      <formula>IF($N124="Not Required/Applicable",TRUE)</formula>
    </cfRule>
    <cfRule type="expression" dxfId="6940" priority="57">
      <formula>IF($N124="Not Compliant",TRUE)</formula>
    </cfRule>
    <cfRule type="expression" dxfId="6939" priority="58">
      <formula>IF($N124=" ",TRUE)</formula>
    </cfRule>
  </conditionalFormatting>
  <conditionalFormatting sqref="N131">
    <cfRule type="expression" dxfId="6938" priority="529">
      <formula>IF($N131="Compliant",TRUE)</formula>
    </cfRule>
    <cfRule type="expression" dxfId="6937" priority="530">
      <formula>IF($N131="FE with work-a-round",TRUE)</formula>
    </cfRule>
    <cfRule type="expression" dxfId="6936" priority="531">
      <formula>IF($N131="Functionally Equivalent",TRUE)</formula>
    </cfRule>
    <cfRule type="expression" dxfId="6935" priority="532">
      <formula>IF($N131="Likely to become compliant",TRUE)</formula>
    </cfRule>
    <cfRule type="expression" dxfId="6934" priority="533">
      <formula>IF($N131="Partly Compliant",TRUE)</formula>
    </cfRule>
    <cfRule type="expression" dxfId="6933" priority="534">
      <formula>IF($N131="Unknown/Missing",TRUE)</formula>
    </cfRule>
    <cfRule type="expression" dxfId="6932" priority="535">
      <formula>IF($N131="Not Required/Applicable",TRUE)</formula>
    </cfRule>
    <cfRule type="expression" dxfId="6931" priority="536">
      <formula>IF($N131="Not Compliant",TRUE)</formula>
    </cfRule>
    <cfRule type="expression" dxfId="6930" priority="537">
      <formula>IF($N131=" ",TRUE)</formula>
    </cfRule>
  </conditionalFormatting>
  <conditionalFormatting sqref="N135">
    <cfRule type="expression" dxfId="6929" priority="501">
      <formula>IF(O135=FALSE,TRUE,FALSE)</formula>
    </cfRule>
    <cfRule type="expression" dxfId="6928" priority="502">
      <formula>IF(O135=TRUE,TRUE,FALSE)</formula>
    </cfRule>
  </conditionalFormatting>
  <conditionalFormatting sqref="N136">
    <cfRule type="expression" dxfId="6927" priority="488">
      <formula>IF($N136="Compliant",TRUE)</formula>
    </cfRule>
    <cfRule type="expression" dxfId="6926" priority="489">
      <formula>IF($N136="FE with work-a-round",TRUE)</formula>
    </cfRule>
    <cfRule type="expression" dxfId="6925" priority="490">
      <formula>IF($N136="Functionally Equivalent",TRUE)</formula>
    </cfRule>
    <cfRule type="expression" dxfId="6924" priority="491">
      <formula>IF($N136="Likely to become compliant",TRUE)</formula>
    </cfRule>
    <cfRule type="expression" dxfId="6923" priority="492">
      <formula>IF($N136="Partly Compliant",TRUE)</formula>
    </cfRule>
    <cfRule type="expression" dxfId="6922" priority="493">
      <formula>IF($N136="Unknown/Missing",TRUE)</formula>
    </cfRule>
    <cfRule type="expression" dxfId="6921" priority="494">
      <formula>IF($N136="Not Required/Applicable",TRUE)</formula>
    </cfRule>
    <cfRule type="expression" dxfId="6920" priority="495">
      <formula>IF($N136="Not Compliant",TRUE)</formula>
    </cfRule>
    <cfRule type="expression" dxfId="6919" priority="496">
      <formula>IF($N136=" ",TRUE)</formula>
    </cfRule>
  </conditionalFormatting>
  <conditionalFormatting sqref="N140">
    <cfRule type="expression" dxfId="6918" priority="449">
      <formula>IF(O140=FALSE,TRUE,FALSE)</formula>
    </cfRule>
    <cfRule type="expression" dxfId="6917" priority="450">
      <formula>IF(O140=TRUE,TRUE,FALSE)</formula>
    </cfRule>
  </conditionalFormatting>
  <conditionalFormatting sqref="N141">
    <cfRule type="expression" dxfId="6916" priority="436">
      <formula>IF($N141="Compliant",TRUE)</formula>
    </cfRule>
    <cfRule type="expression" dxfId="6915" priority="437">
      <formula>IF($N141="FE with work-a-round",TRUE)</formula>
    </cfRule>
    <cfRule type="expression" dxfId="6914" priority="438">
      <formula>IF($N141="Functionally Equivalent",TRUE)</formula>
    </cfRule>
    <cfRule type="expression" dxfId="6913" priority="439">
      <formula>IF($N141="Likely to become compliant",TRUE)</formula>
    </cfRule>
    <cfRule type="expression" dxfId="6912" priority="440">
      <formula>IF($N141="Partly Compliant",TRUE)</formula>
    </cfRule>
    <cfRule type="expression" dxfId="6911" priority="441">
      <formula>IF($N141="Unknown/Missing",TRUE)</formula>
    </cfRule>
    <cfRule type="expression" dxfId="6910" priority="442">
      <formula>IF($N141="Not Required/Applicable",TRUE)</formula>
    </cfRule>
    <cfRule type="expression" dxfId="6909" priority="443">
      <formula>IF($N141="Not Compliant",TRUE)</formula>
    </cfRule>
    <cfRule type="expression" dxfId="6908" priority="444">
      <formula>IF($N141=" ",TRUE)</formula>
    </cfRule>
  </conditionalFormatting>
  <conditionalFormatting sqref="N152">
    <cfRule type="expression" dxfId="6907" priority="403">
      <formula>IF($N152="Compliant",TRUE)</formula>
    </cfRule>
    <cfRule type="expression" dxfId="6906" priority="404">
      <formula>IF($N152="FE with work-a-round",TRUE)</formula>
    </cfRule>
    <cfRule type="expression" dxfId="6905" priority="405">
      <formula>IF($N152="Functionally Equivalent",TRUE)</formula>
    </cfRule>
    <cfRule type="expression" dxfId="6904" priority="406">
      <formula>IF($N152="Likely to become compliant",TRUE)</formula>
    </cfRule>
    <cfRule type="expression" dxfId="6903" priority="407">
      <formula>IF($N152="Partly Compliant",TRUE)</formula>
    </cfRule>
    <cfRule type="expression" dxfId="6902" priority="408">
      <formula>IF($N152="Unknown/Missing",TRUE)</formula>
    </cfRule>
    <cfRule type="expression" dxfId="6901" priority="409">
      <formula>IF($N152="Not Required/Applicable",TRUE)</formula>
    </cfRule>
    <cfRule type="expression" dxfId="6900" priority="410">
      <formula>IF($N152="Not Compliant",TRUE)</formula>
    </cfRule>
    <cfRule type="expression" dxfId="6899" priority="411">
      <formula>IF($N152=" ",TRUE)</formula>
    </cfRule>
  </conditionalFormatting>
  <conditionalFormatting sqref="N163">
    <cfRule type="expression" dxfId="6898" priority="370">
      <formula>IF($N163="Compliant",TRUE)</formula>
    </cfRule>
    <cfRule type="expression" dxfId="6897" priority="371">
      <formula>IF($N163="FE with work-a-round",TRUE)</formula>
    </cfRule>
    <cfRule type="expression" dxfId="6896" priority="372">
      <formula>IF($N163="Functionally Equivalent",TRUE)</formula>
    </cfRule>
    <cfRule type="expression" dxfId="6895" priority="373">
      <formula>IF($N163="Likely to become compliant",TRUE)</formula>
    </cfRule>
    <cfRule type="expression" dxfId="6894" priority="374">
      <formula>IF($N163="Partly Compliant",TRUE)</formula>
    </cfRule>
    <cfRule type="expression" dxfId="6893" priority="375">
      <formula>IF($N163="Unknown/Missing",TRUE)</formula>
    </cfRule>
    <cfRule type="expression" dxfId="6892" priority="376">
      <formula>IF($N163="Not Required/Applicable",TRUE)</formula>
    </cfRule>
    <cfRule type="expression" dxfId="6891" priority="377">
      <formula>IF($N163="Not Compliant",TRUE)</formula>
    </cfRule>
    <cfRule type="expression" dxfId="6890" priority="378">
      <formula>IF($N163=" ",TRUE)</formula>
    </cfRule>
  </conditionalFormatting>
  <conditionalFormatting sqref="N189">
    <cfRule type="expression" dxfId="6889" priority="331">
      <formula>IF(O189=FALSE,TRUE,FALSE)</formula>
    </cfRule>
    <cfRule type="expression" dxfId="6888" priority="332">
      <formula>IF(O189=TRUE,TRUE,FALSE)</formula>
    </cfRule>
  </conditionalFormatting>
  <conditionalFormatting sqref="N190:N191">
    <cfRule type="expression" dxfId="6887" priority="318">
      <formula>IF($N190="Compliant",TRUE)</formula>
    </cfRule>
    <cfRule type="expression" dxfId="6886" priority="319">
      <formula>IF($N190="FE with work-a-round",TRUE)</formula>
    </cfRule>
    <cfRule type="expression" dxfId="6885" priority="320">
      <formula>IF($N190="Functionally Equivalent",TRUE)</formula>
    </cfRule>
    <cfRule type="expression" dxfId="6884" priority="321">
      <formula>IF($N190="Likely to become compliant",TRUE)</formula>
    </cfRule>
    <cfRule type="expression" dxfId="6883" priority="322">
      <formula>IF($N190="Partly Compliant",TRUE)</formula>
    </cfRule>
    <cfRule type="expression" dxfId="6882" priority="323">
      <formula>IF($N190="Unknown/Missing",TRUE)</formula>
    </cfRule>
    <cfRule type="expression" dxfId="6881" priority="324">
      <formula>IF($N190="Not Required/Applicable",TRUE)</formula>
    </cfRule>
    <cfRule type="expression" dxfId="6880" priority="325">
      <formula>IF($N190="Not Compliant",TRUE)</formula>
    </cfRule>
    <cfRule type="expression" dxfId="6879" priority="326">
      <formula>IF($N190=" ",TRUE)</formula>
    </cfRule>
  </conditionalFormatting>
  <conditionalFormatting sqref="N194">
    <cfRule type="expression" dxfId="6878" priority="285">
      <formula>IF($N194="Compliant",TRUE)</formula>
    </cfRule>
    <cfRule type="expression" dxfId="6877" priority="286">
      <formula>IF($N194="FE with work-a-round",TRUE)</formula>
    </cfRule>
    <cfRule type="expression" dxfId="6876" priority="287">
      <formula>IF($N194="Functionally Equivalent",TRUE)</formula>
    </cfRule>
    <cfRule type="expression" dxfId="6875" priority="288">
      <formula>IF($N194="Likely to become compliant",TRUE)</formula>
    </cfRule>
    <cfRule type="expression" dxfId="6874" priority="289">
      <formula>IF($N194="Partly Compliant",TRUE)</formula>
    </cfRule>
    <cfRule type="expression" dxfId="6873" priority="290">
      <formula>IF($N194="Unknown/Missing",TRUE)</formula>
    </cfRule>
    <cfRule type="expression" dxfId="6872" priority="291">
      <formula>IF($N194="Not Required/Applicable",TRUE)</formula>
    </cfRule>
    <cfRule type="expression" dxfId="6871" priority="292">
      <formula>IF($N194="Not Compliant",TRUE)</formula>
    </cfRule>
    <cfRule type="expression" dxfId="6870" priority="293">
      <formula>IF($N194=" ",TRUE)</formula>
    </cfRule>
  </conditionalFormatting>
  <conditionalFormatting sqref="N202">
    <cfRule type="expression" dxfId="6869" priority="252">
      <formula>IF($N202="Compliant",TRUE)</formula>
    </cfRule>
    <cfRule type="expression" dxfId="6868" priority="253">
      <formula>IF($N202="FE with work-a-round",TRUE)</formula>
    </cfRule>
    <cfRule type="expression" dxfId="6867" priority="254">
      <formula>IF($N202="Functionally Equivalent",TRUE)</formula>
    </cfRule>
    <cfRule type="expression" dxfId="6866" priority="255">
      <formula>IF($N202="Likely to become compliant",TRUE)</formula>
    </cfRule>
    <cfRule type="expression" dxfId="6865" priority="256">
      <formula>IF($N202="Partly Compliant",TRUE)</formula>
    </cfRule>
    <cfRule type="expression" dxfId="6864" priority="257">
      <formula>IF($N202="Unknown/Missing",TRUE)</formula>
    </cfRule>
    <cfRule type="expression" dxfId="6863" priority="258">
      <formula>IF($N202="Not Required/Applicable",TRUE)</formula>
    </cfRule>
    <cfRule type="expression" dxfId="6862" priority="259">
      <formula>IF($N202="Not Compliant",TRUE)</formula>
    </cfRule>
    <cfRule type="expression" dxfId="6861" priority="260">
      <formula>IF($N202=" ",TRUE)</formula>
    </cfRule>
  </conditionalFormatting>
  <conditionalFormatting sqref="N208">
    <cfRule type="expression" dxfId="6860" priority="219">
      <formula>IF($N208="Compliant",TRUE)</formula>
    </cfRule>
    <cfRule type="expression" dxfId="6859" priority="220">
      <formula>IF($N208="FE with work-a-round",TRUE)</formula>
    </cfRule>
    <cfRule type="expression" dxfId="6858" priority="221">
      <formula>IF($N208="Functionally Equivalent",TRUE)</formula>
    </cfRule>
    <cfRule type="expression" dxfId="6857" priority="222">
      <formula>IF($N208="Likely to become compliant",TRUE)</formula>
    </cfRule>
    <cfRule type="expression" dxfId="6856" priority="223">
      <formula>IF($N208="Partly Compliant",TRUE)</formula>
    </cfRule>
    <cfRule type="expression" dxfId="6855" priority="224">
      <formula>IF($N208="Unknown/Missing",TRUE)</formula>
    </cfRule>
    <cfRule type="expression" dxfId="6854" priority="225">
      <formula>IF($N208="Not Required/Applicable",TRUE)</formula>
    </cfRule>
    <cfRule type="expression" dxfId="6853" priority="226">
      <formula>IF($N208="Not Compliant",TRUE)</formula>
    </cfRule>
    <cfRule type="expression" dxfId="6852" priority="227">
      <formula>IF($N208=" ",TRUE)</formula>
    </cfRule>
  </conditionalFormatting>
  <conditionalFormatting sqref="N15:O15 N17:O17">
    <cfRule type="beginsWith" dxfId="6851" priority="3345" operator="beginsWith" text="Likely">
      <formula>LEFT(N15,LEN("Likely"))="Likely"</formula>
    </cfRule>
    <cfRule type="beginsWith" dxfId="6850" priority="3393" operator="beginsWith" text="Not Applicable">
      <formula>LEFT(N15,LEN("Not Applicable"))="Not Applicable"</formula>
    </cfRule>
    <cfRule type="beginsWith" dxfId="6849" priority="3394" operator="beginsWith" text="Applicable">
      <formula>LEFT(N15,LEN("Applicable"))="Applicable"</formula>
    </cfRule>
    <cfRule type="beginsWith" dxfId="6848" priority="3395" operator="beginsWith" text="Partly">
      <formula>LEFT(N15,LEN("Partly"))="Partly"</formula>
    </cfRule>
    <cfRule type="beginsWith" dxfId="6847" priority="3396" operator="beginsWith" text="Missing">
      <formula>LEFT(N15,LEN("Missing"))="Missing"</formula>
    </cfRule>
    <cfRule type="beginsWith" dxfId="6846" priority="3397" operator="beginsWith" text="Not">
      <formula>LEFT(N15,LEN("Not"))="Not"</formula>
    </cfRule>
    <cfRule type="beginsWith" dxfId="6845" priority="3398" operator="beginsWith" text="Compliant">
      <formula>LEFT(N15,LEN("Compliant"))="Compliant"</formula>
    </cfRule>
    <cfRule type="containsText" dxfId="6844" priority="3399" operator="containsText" text="Equivalent">
      <formula>NOT(ISERROR(SEARCH("Equivalent",N15)))</formula>
    </cfRule>
  </conditionalFormatting>
  <conditionalFormatting sqref="N132:O132 N134:O134 N186:O186 N188:O188">
    <cfRule type="containsText" dxfId="6843" priority="13949" operator="containsText" text="Not Compliant">
      <formula>NOT(ISERROR(SEARCH("Not Compliant",N132)))</formula>
    </cfRule>
    <cfRule type="expression" dxfId="6842" priority="13950">
      <formula>IF(AND($E132=TRUE,$I132="",$N132="Compliant"),TRUE,FALSE)</formula>
    </cfRule>
    <cfRule type="expression" dxfId="6841" priority="13951">
      <formula>IF(AND($E132=TRUE,$I132&lt;&gt;"",$N132="Compliant"),TRUE,FALSE)</formula>
    </cfRule>
    <cfRule type="expression" dxfId="6840" priority="13952">
      <formula>IF($N132&lt;&gt;"",TRUE,FALSE)</formula>
    </cfRule>
    <cfRule type="expression" dxfId="6839" priority="13953">
      <formula>IF(AND($E132=FALSE,$N132&lt;&gt;""),TRUE,FALSE)</formula>
    </cfRule>
    <cfRule type="expression" dxfId="6838" priority="13954">
      <formula>IF(AND($I132&lt;&gt;"",$N132&lt;&gt;""),TRUE,FALSE)</formula>
    </cfRule>
  </conditionalFormatting>
  <conditionalFormatting sqref="O20:O21">
    <cfRule type="beginsWith" dxfId="6837" priority="3337" operator="beginsWith" text="Likely">
      <formula>LEFT(O20,LEN("Likely"))="Likely"</formula>
    </cfRule>
    <cfRule type="beginsWith" dxfId="6836" priority="3338" operator="beginsWith" text="Not Applicable">
      <formula>LEFT(O20,LEN("Not Applicable"))="Not Applicable"</formula>
    </cfRule>
    <cfRule type="beginsWith" dxfId="6835" priority="3339" operator="beginsWith" text="Applicable">
      <formula>LEFT(O20,LEN("Applicable"))="Applicable"</formula>
    </cfRule>
    <cfRule type="beginsWith" dxfId="6834" priority="3340" operator="beginsWith" text="Partly">
      <formula>LEFT(O20,LEN("Partly"))="Partly"</formula>
    </cfRule>
    <cfRule type="beginsWith" dxfId="6833" priority="3341" operator="beginsWith" text="Missing">
      <formula>LEFT(O20,LEN("Missing"))="Missing"</formula>
    </cfRule>
    <cfRule type="beginsWith" dxfId="6832" priority="3342" operator="beginsWith" text="Not">
      <formula>LEFT(O20,LEN("Not"))="Not"</formula>
    </cfRule>
    <cfRule type="beginsWith" dxfId="6831" priority="3343" operator="beginsWith" text="Compliant">
      <formula>LEFT(O20,LEN("Compliant"))="Compliant"</formula>
    </cfRule>
    <cfRule type="containsText" dxfId="6830" priority="3344" operator="containsText" text="Equivalent">
      <formula>NOT(ISERROR(SEARCH("Equivalent",O20)))</formula>
    </cfRule>
  </conditionalFormatting>
  <conditionalFormatting sqref="O49">
    <cfRule type="expression" dxfId="6829" priority="1156">
      <formula>IF(AND($E49=TRUE,$I49="Valid Entry required below - Check amber box",#REF!="Compliant"),TRUE,FALSE)</formula>
    </cfRule>
    <cfRule type="expression" dxfId="6828" priority="1157">
      <formula>IF(AND($E49=TRUE,$I49="Valid Entry made below",#REF!="Compliant"),TRUE,FALSE)</formula>
    </cfRule>
    <cfRule type="expression" dxfId="6827" priority="1158">
      <formula>IF(AND($E49=FALSE,#REF!&lt;&gt;""),TRUE,FALSE)</formula>
    </cfRule>
    <cfRule type="expression" dxfId="6826" priority="1159">
      <formula>IF(AND($I49&lt;&gt;"",#REF!&lt;&gt;""),TRUE,FALSE)</formula>
    </cfRule>
  </conditionalFormatting>
  <conditionalFormatting sqref="O73">
    <cfRule type="expression" dxfId="6825" priority="1022">
      <formula>IF(AND($E73=TRUE,$I73="Valid Entry required below - Check amber box",#REF!="Compliant"),TRUE,FALSE)</formula>
    </cfRule>
    <cfRule type="expression" dxfId="6824" priority="1023">
      <formula>IF(AND($E73=TRUE,$I73="Valid Entry made below",#REF!="Compliant"),TRUE,FALSE)</formula>
    </cfRule>
    <cfRule type="expression" dxfId="6823" priority="1024">
      <formula>IF(AND($E73=FALSE,#REF!&lt;&gt;""),TRUE,FALSE)</formula>
    </cfRule>
    <cfRule type="expression" dxfId="6822" priority="1025">
      <formula>IF(AND($I73&lt;&gt;"",#REF!&lt;&gt;""),TRUE,FALSE)</formula>
    </cfRule>
  </conditionalFormatting>
  <conditionalFormatting sqref="O113">
    <cfRule type="expression" dxfId="6821" priority="634">
      <formula>IF(AND($E113=TRUE,$I113="Valid Entry required below - Check amber box",#REF!="Compliant"),TRUE,FALSE)</formula>
    </cfRule>
    <cfRule type="expression" dxfId="6820" priority="635">
      <formula>IF(AND($E113=TRUE,$I113="Valid Entry made below",#REF!="Compliant"),TRUE,FALSE)</formula>
    </cfRule>
    <cfRule type="expression" dxfId="6819" priority="636">
      <formula>IF(AND($E113=FALSE,#REF!&lt;&gt;""),TRUE,FALSE)</formula>
    </cfRule>
    <cfRule type="expression" dxfId="6818" priority="637">
      <formula>IF(AND($I113&lt;&gt;"",#REF!&lt;&gt;""),TRUE,FALSE)</formula>
    </cfRule>
  </conditionalFormatting>
  <conditionalFormatting sqref="O135">
    <cfRule type="expression" dxfId="6817" priority="503">
      <formula>IF(AND($E135=TRUE,$I135="Valid Entry required below - Check amber box",#REF!="Compliant"),TRUE,FALSE)</formula>
    </cfRule>
    <cfRule type="expression" dxfId="6816" priority="504">
      <formula>IF(AND($E135=TRUE,$I135="Valid Entry made below",#REF!="Compliant"),TRUE,FALSE)</formula>
    </cfRule>
    <cfRule type="expression" dxfId="6815" priority="505">
      <formula>IF(AND($E135=FALSE,#REF!&lt;&gt;""),TRUE,FALSE)</formula>
    </cfRule>
    <cfRule type="expression" dxfId="6814" priority="506">
      <formula>IF(AND($I135&lt;&gt;"",#REF!&lt;&gt;""),TRUE,FALSE)</formula>
    </cfRule>
  </conditionalFormatting>
  <conditionalFormatting sqref="O140">
    <cfRule type="expression" dxfId="6813" priority="451">
      <formula>IF(AND($E140=TRUE,$I140="Valid Entry required below - Check amber box",#REF!="Compliant"),TRUE,FALSE)</formula>
    </cfRule>
    <cfRule type="expression" dxfId="6812" priority="452">
      <formula>IF(AND($E140=TRUE,$I140="Valid Entry made below",#REF!="Compliant"),TRUE,FALSE)</formula>
    </cfRule>
    <cfRule type="expression" dxfId="6811" priority="453">
      <formula>IF(AND($E140=FALSE,#REF!&lt;&gt;""),TRUE,FALSE)</formula>
    </cfRule>
    <cfRule type="expression" dxfId="6810" priority="454">
      <formula>IF(AND($I140&lt;&gt;"",#REF!&lt;&gt;""),TRUE,FALSE)</formula>
    </cfRule>
  </conditionalFormatting>
  <conditionalFormatting sqref="O189">
    <cfRule type="expression" dxfId="6809" priority="333">
      <formula>IF(AND($E189=TRUE,$I189="Valid Entry required below - Check amber box",#REF!="Compliant"),TRUE,FALSE)</formula>
    </cfRule>
    <cfRule type="expression" dxfId="6808" priority="334">
      <formula>IF(AND($E189=TRUE,$I189="Valid Entry made below",#REF!="Compliant"),TRUE,FALSE)</formula>
    </cfRule>
    <cfRule type="expression" dxfId="6807" priority="335">
      <formula>IF(AND($E189=FALSE,#REF!&lt;&gt;""),TRUE,FALSE)</formula>
    </cfRule>
    <cfRule type="expression" dxfId="6806" priority="336">
      <formula>IF(AND($I189&lt;&gt;"",#REF!&lt;&gt;""),TRUE,FALSE)</formula>
    </cfRule>
  </conditionalFormatting>
  <conditionalFormatting sqref="Q9:Q10">
    <cfRule type="expression" dxfId="6805" priority="135">
      <formula>IF(Q9="Compliant",TRUE)</formula>
    </cfRule>
    <cfRule type="expression" dxfId="6804" priority="136">
      <formula>IF(Q9="FE with work-a-round",TRUE)</formula>
    </cfRule>
    <cfRule type="expression" dxfId="6803" priority="137">
      <formula>IF(Q9="Functionally Equivalent",TRUE)</formula>
    </cfRule>
    <cfRule type="expression" dxfId="6802" priority="138">
      <formula>IF($Q9="Likely to become compliant",TRUE)</formula>
    </cfRule>
    <cfRule type="expression" dxfId="6801" priority="139">
      <formula>IF($Q9="Partly Compliant",TRUE)</formula>
    </cfRule>
    <cfRule type="expression" dxfId="6800" priority="140">
      <formula>IF($Q9="Unknown/Missing",TRUE)</formula>
    </cfRule>
    <cfRule type="expression" dxfId="6799" priority="141">
      <formula>IF($Q9="Not Required/Applicable",TRUE)</formula>
    </cfRule>
    <cfRule type="expression" dxfId="6798" priority="142">
      <formula>IF(Q9="Not Compliant",TRUE)</formula>
    </cfRule>
    <cfRule type="expression" dxfId="6797" priority="143">
      <formula>IF(Q9=" ",TRUE)</formula>
    </cfRule>
  </conditionalFormatting>
  <conditionalFormatting sqref="Q23">
    <cfRule type="expression" dxfId="6796" priority="108">
      <formula>IF(Q23="Compliant",TRUE)</formula>
    </cfRule>
    <cfRule type="expression" dxfId="6795" priority="109">
      <formula>IF(Q23="FE with work-a-round",TRUE)</formula>
    </cfRule>
    <cfRule type="expression" dxfId="6794" priority="110">
      <formula>IF(Q23="Functionally Equivalent",TRUE)</formula>
    </cfRule>
    <cfRule type="expression" dxfId="6793" priority="111">
      <formula>IF($Q23="Likely to become compliant",TRUE)</formula>
    </cfRule>
    <cfRule type="expression" dxfId="6792" priority="112">
      <formula>IF($Q23="Partly Compliant",TRUE)</formula>
    </cfRule>
    <cfRule type="expression" dxfId="6791" priority="113">
      <formula>IF($Q23="Unknown/Missing",TRUE)</formula>
    </cfRule>
    <cfRule type="expression" dxfId="6790" priority="114">
      <formula>IF($Q23="Not Required/Applicable",TRUE)</formula>
    </cfRule>
    <cfRule type="expression" dxfId="6789" priority="115">
      <formula>IF(Q23="Not Compliant",TRUE)</formula>
    </cfRule>
    <cfRule type="expression" dxfId="6788" priority="116">
      <formula>IF(Q23=" ",TRUE)</formula>
    </cfRule>
  </conditionalFormatting>
  <conditionalFormatting sqref="Q27">
    <cfRule type="expression" dxfId="6787" priority="99">
      <formula>IF(Q27="Compliant",TRUE)</formula>
    </cfRule>
    <cfRule type="expression" dxfId="6786" priority="100">
      <formula>IF(Q27="FE with work-a-round",TRUE)</formula>
    </cfRule>
    <cfRule type="expression" dxfId="6785" priority="101">
      <formula>IF(Q27="Functionally Equivalent",TRUE)</formula>
    </cfRule>
    <cfRule type="expression" dxfId="6784" priority="102">
      <formula>IF($Q27="Likely to become compliant",TRUE)</formula>
    </cfRule>
    <cfRule type="expression" dxfId="6783" priority="103">
      <formula>IF($Q27="Partly Compliant",TRUE)</formula>
    </cfRule>
    <cfRule type="expression" dxfId="6782" priority="104">
      <formula>IF($Q27="Unknown/Missing",TRUE)</formula>
    </cfRule>
    <cfRule type="expression" dxfId="6781" priority="105">
      <formula>IF($Q27="Not Required/Applicable",TRUE)</formula>
    </cfRule>
    <cfRule type="expression" dxfId="6780" priority="106">
      <formula>IF(Q27="Not Compliant",TRUE)</formula>
    </cfRule>
    <cfRule type="expression" dxfId="6779" priority="107">
      <formula>IF(Q27=" ",TRUE)</formula>
    </cfRule>
  </conditionalFormatting>
  <conditionalFormatting sqref="Q32">
    <cfRule type="expression" dxfId="6778" priority="1140">
      <formula>IF(R32=FALSE,TRUE,FALSE)</formula>
    </cfRule>
    <cfRule type="expression" dxfId="6777" priority="1141">
      <formula>IF(R32=TRUE,TRUE,FALSE)</formula>
    </cfRule>
  </conditionalFormatting>
  <conditionalFormatting sqref="Q33:Q37">
    <cfRule type="expression" dxfId="6776" priority="190">
      <formula>IF(Q33="Compliant",TRUE)</formula>
    </cfRule>
    <cfRule type="expression" dxfId="6775" priority="191">
      <formula>IF(Q33="FE with work-a-round",TRUE)</formula>
    </cfRule>
    <cfRule type="expression" dxfId="6774" priority="192">
      <formula>IF(Q33="Functionally Equivalent",TRUE)</formula>
    </cfRule>
    <cfRule type="expression" dxfId="6773" priority="193">
      <formula>IF($Q33="Likely to become compliant",TRUE)</formula>
    </cfRule>
    <cfRule type="expression" dxfId="6772" priority="194">
      <formula>IF($Q33="Partly Compliant",TRUE)</formula>
    </cfRule>
    <cfRule type="expression" dxfId="6771" priority="195">
      <formula>IF($Q33="Unknown/Missing",TRUE)</formula>
    </cfRule>
    <cfRule type="expression" dxfId="6770" priority="196">
      <formula>IF($Q33="Not Required/Applicable",TRUE)</formula>
    </cfRule>
    <cfRule type="expression" dxfId="6769" priority="197">
      <formula>IF(Q33="Not Compliant",TRUE)</formula>
    </cfRule>
    <cfRule type="expression" dxfId="6768" priority="198">
      <formula>IF(Q33=" ",TRUE)</formula>
    </cfRule>
  </conditionalFormatting>
  <conditionalFormatting sqref="Q41">
    <cfRule type="expression" dxfId="6767" priority="1160">
      <formula>IF(R41=FALSE,TRUE,FALSE)</formula>
    </cfRule>
    <cfRule type="expression" dxfId="6766" priority="1161">
      <formula>IF(R41=TRUE,TRUE,FALSE)</formula>
    </cfRule>
  </conditionalFormatting>
  <conditionalFormatting sqref="Q42:Q45">
    <cfRule type="expression" dxfId="6765" priority="1171">
      <formula>IF(Q42="Compliant",TRUE)</formula>
    </cfRule>
    <cfRule type="expression" dxfId="6764" priority="1172">
      <formula>IF(Q42="FE with work-a-round",TRUE)</formula>
    </cfRule>
    <cfRule type="expression" dxfId="6763" priority="1173">
      <formula>IF(Q42="Functionally Equivalent",TRUE)</formula>
    </cfRule>
    <cfRule type="expression" dxfId="6762" priority="1174">
      <formula>IF($Q42="Likely to become compliant",TRUE)</formula>
    </cfRule>
    <cfRule type="expression" dxfId="6761" priority="1175">
      <formula>IF($Q42="Partly Compliant",TRUE)</formula>
    </cfRule>
    <cfRule type="expression" dxfId="6760" priority="1176">
      <formula>IF($Q42="Unknown/Missing",TRUE)</formula>
    </cfRule>
    <cfRule type="expression" dxfId="6759" priority="1177">
      <formula>IF($Q42="Not Required/Applicable",TRUE)</formula>
    </cfRule>
    <cfRule type="expression" dxfId="6758" priority="1178">
      <formula>IF(Q42="Not Compliant",TRUE)</formula>
    </cfRule>
    <cfRule type="expression" dxfId="6757" priority="1179">
      <formula>IF(Q42=" ",TRUE)</formula>
    </cfRule>
  </conditionalFormatting>
  <conditionalFormatting sqref="Q49:Q50">
    <cfRule type="expression" dxfId="6756" priority="1127">
      <formula>IF(R49=FALSE,TRUE,FALSE)</formula>
    </cfRule>
    <cfRule type="expression" dxfId="6755" priority="1128">
      <formula>IF(R49=TRUE,TRUE,FALSE)</formula>
    </cfRule>
  </conditionalFormatting>
  <conditionalFormatting sqref="Q51:Q60">
    <cfRule type="expression" dxfId="6754" priority="1109">
      <formula>IF(Q51="Compliant",TRUE)</formula>
    </cfRule>
    <cfRule type="expression" dxfId="6753" priority="1110">
      <formula>IF(Q51="FE with work-a-round",TRUE)</formula>
    </cfRule>
    <cfRule type="expression" dxfId="6752" priority="1111">
      <formula>IF(Q51="Functionally Equivalent",TRUE)</formula>
    </cfRule>
    <cfRule type="expression" dxfId="6751" priority="1112">
      <formula>IF($Q51="Likely to become compliant",TRUE)</formula>
    </cfRule>
    <cfRule type="expression" dxfId="6750" priority="1113">
      <formula>IF($Q51="Partly Compliant",TRUE)</formula>
    </cfRule>
    <cfRule type="expression" dxfId="6749" priority="1114">
      <formula>IF($Q51="Unknown/Missing",TRUE)</formula>
    </cfRule>
    <cfRule type="expression" dxfId="6748" priority="1115">
      <formula>IF($Q51="Not Required/Applicable",TRUE)</formula>
    </cfRule>
    <cfRule type="expression" dxfId="6747" priority="1116">
      <formula>IF(Q51="Not Compliant",TRUE)</formula>
    </cfRule>
    <cfRule type="expression" dxfId="6746" priority="1117">
      <formula>IF(Q51=" ",TRUE)</formula>
    </cfRule>
  </conditionalFormatting>
  <conditionalFormatting sqref="Q62:Q63">
    <cfRule type="expression" dxfId="6745" priority="1066">
      <formula>IF(R62=FALSE,TRUE,FALSE)</formula>
    </cfRule>
    <cfRule type="expression" dxfId="6744" priority="1067">
      <formula>IF(R62=TRUE,TRUE,FALSE)</formula>
    </cfRule>
  </conditionalFormatting>
  <conditionalFormatting sqref="Q64">
    <cfRule type="expression" dxfId="6743" priority="1048">
      <formula>IF(Q64="Compliant",TRUE)</formula>
    </cfRule>
    <cfRule type="expression" dxfId="6742" priority="1049">
      <formula>IF(Q64="FE with work-a-round",TRUE)</formula>
    </cfRule>
    <cfRule type="expression" dxfId="6741" priority="1050">
      <formula>IF(Q64="Functionally Equivalent",TRUE)</formula>
    </cfRule>
    <cfRule type="expression" dxfId="6740" priority="1051">
      <formula>IF($Q64="Likely to become compliant",TRUE)</formula>
    </cfRule>
    <cfRule type="expression" dxfId="6739" priority="1052">
      <formula>IF($Q64="Partly Compliant",TRUE)</formula>
    </cfRule>
    <cfRule type="expression" dxfId="6738" priority="1053">
      <formula>IF($Q64="Unknown/Missing",TRUE)</formula>
    </cfRule>
    <cfRule type="expression" dxfId="6737" priority="1054">
      <formula>IF($Q64="Not Required/Applicable",TRUE)</formula>
    </cfRule>
    <cfRule type="expression" dxfId="6736" priority="1055">
      <formula>IF(Q64="Not Compliant",TRUE)</formula>
    </cfRule>
    <cfRule type="expression" dxfId="6735" priority="1056">
      <formula>IF(Q64=" ",TRUE)</formula>
    </cfRule>
  </conditionalFormatting>
  <conditionalFormatting sqref="Q65">
    <cfRule type="expression" dxfId="6734" priority="985">
      <formula>IF(R65=FALSE,TRUE,FALSE)</formula>
    </cfRule>
    <cfRule type="expression" dxfId="6733" priority="986">
      <formula>IF(R65=TRUE,TRUE,FALSE)</formula>
    </cfRule>
  </conditionalFormatting>
  <conditionalFormatting sqref="Q66:Q71">
    <cfRule type="expression" dxfId="6732" priority="976">
      <formula>IF(Q66="Compliant",TRUE)</formula>
    </cfRule>
    <cfRule type="expression" dxfId="6731" priority="977">
      <formula>IF(Q66="FE with work-a-round",TRUE)</formula>
    </cfRule>
    <cfRule type="expression" dxfId="6730" priority="978">
      <formula>IF(Q66="Functionally Equivalent",TRUE)</formula>
    </cfRule>
    <cfRule type="expression" dxfId="6729" priority="979">
      <formula>IF($Q66="Likely to become compliant",TRUE)</formula>
    </cfRule>
    <cfRule type="expression" dxfId="6728" priority="980">
      <formula>IF($Q66="Partly Compliant",TRUE)</formula>
    </cfRule>
    <cfRule type="expression" dxfId="6727" priority="981">
      <formula>IF($Q66="Unknown/Missing",TRUE)</formula>
    </cfRule>
    <cfRule type="expression" dxfId="6726" priority="982">
      <formula>IF($Q66="Not Required/Applicable",TRUE)</formula>
    </cfRule>
    <cfRule type="expression" dxfId="6725" priority="983">
      <formula>IF(Q66="Not Compliant",TRUE)</formula>
    </cfRule>
    <cfRule type="expression" dxfId="6724" priority="984">
      <formula>IF(Q66=" ",TRUE)</formula>
    </cfRule>
  </conditionalFormatting>
  <conditionalFormatting sqref="Q73:Q74">
    <cfRule type="expression" dxfId="6723" priority="1005">
      <formula>IF(R73=FALSE,TRUE,FALSE)</formula>
    </cfRule>
    <cfRule type="expression" dxfId="6722" priority="1006">
      <formula>IF(R73=TRUE,TRUE,FALSE)</formula>
    </cfRule>
  </conditionalFormatting>
  <conditionalFormatting sqref="Q75:Q77">
    <cfRule type="expression" dxfId="6721" priority="987">
      <formula>IF(Q75="Compliant",TRUE)</formula>
    </cfRule>
    <cfRule type="expression" dxfId="6720" priority="988">
      <formula>IF(Q75="FE with work-a-round",TRUE)</formula>
    </cfRule>
    <cfRule type="expression" dxfId="6719" priority="989">
      <formula>IF(Q75="Functionally Equivalent",TRUE)</formula>
    </cfRule>
    <cfRule type="expression" dxfId="6718" priority="990">
      <formula>IF($Q75="Likely to become compliant",TRUE)</formula>
    </cfRule>
    <cfRule type="expression" dxfId="6717" priority="991">
      <formula>IF($Q75="Partly Compliant",TRUE)</formula>
    </cfRule>
    <cfRule type="expression" dxfId="6716" priority="992">
      <formula>IF($Q75="Unknown/Missing",TRUE)</formula>
    </cfRule>
    <cfRule type="expression" dxfId="6715" priority="993">
      <formula>IF($Q75="Not Required/Applicable",TRUE)</formula>
    </cfRule>
    <cfRule type="expression" dxfId="6714" priority="994">
      <formula>IF(Q75="Not Compliant",TRUE)</formula>
    </cfRule>
    <cfRule type="expression" dxfId="6713" priority="995">
      <formula>IF(Q75=" ",TRUE)</formula>
    </cfRule>
  </conditionalFormatting>
  <conditionalFormatting sqref="Q78">
    <cfRule type="expression" dxfId="6712" priority="943">
      <formula>IF(R78=FALSE,TRUE,FALSE)</formula>
    </cfRule>
    <cfRule type="expression" dxfId="6711" priority="944">
      <formula>IF(R78=TRUE,TRUE,FALSE)</formula>
    </cfRule>
  </conditionalFormatting>
  <conditionalFormatting sqref="Q79:Q80">
    <cfRule type="expression" dxfId="6710" priority="925">
      <formula>IF(Q79="Compliant",TRUE)</formula>
    </cfRule>
    <cfRule type="expression" dxfId="6709" priority="926">
      <formula>IF(Q79="FE with work-a-round",TRUE)</formula>
    </cfRule>
    <cfRule type="expression" dxfId="6708" priority="927">
      <formula>IF(Q79="Functionally Equivalent",TRUE)</formula>
    </cfRule>
    <cfRule type="expression" dxfId="6707" priority="928">
      <formula>IF($Q79="Likely to become compliant",TRUE)</formula>
    </cfRule>
    <cfRule type="expression" dxfId="6706" priority="929">
      <formula>IF($Q79="Partly Compliant",TRUE)</formula>
    </cfRule>
    <cfRule type="expression" dxfId="6705" priority="930">
      <formula>IF($Q79="Unknown/Missing",TRUE)</formula>
    </cfRule>
    <cfRule type="expression" dxfId="6704" priority="931">
      <formula>IF($Q79="Not Required/Applicable",TRUE)</formula>
    </cfRule>
    <cfRule type="expression" dxfId="6703" priority="932">
      <formula>IF(Q79="Not Compliant",TRUE)</formula>
    </cfRule>
    <cfRule type="expression" dxfId="6702" priority="933">
      <formula>IF(Q79=" ",TRUE)</formula>
    </cfRule>
  </conditionalFormatting>
  <conditionalFormatting sqref="Q81">
    <cfRule type="expression" dxfId="6701" priority="892">
      <formula>IF(R81=FALSE,TRUE,FALSE)</formula>
    </cfRule>
    <cfRule type="expression" dxfId="6700" priority="893">
      <formula>IF(R81=TRUE,TRUE,FALSE)</formula>
    </cfRule>
  </conditionalFormatting>
  <conditionalFormatting sqref="Q82:Q84">
    <cfRule type="expression" dxfId="6699" priority="874">
      <formula>IF(Q82="Compliant",TRUE)</formula>
    </cfRule>
    <cfRule type="expression" dxfId="6698" priority="875">
      <formula>IF(Q82="FE with work-a-round",TRUE)</formula>
    </cfRule>
    <cfRule type="expression" dxfId="6697" priority="876">
      <formula>IF(Q82="Functionally Equivalent",TRUE)</formula>
    </cfRule>
    <cfRule type="expression" dxfId="6696" priority="877">
      <formula>IF($Q82="Likely to become compliant",TRUE)</formula>
    </cfRule>
    <cfRule type="expression" dxfId="6695" priority="878">
      <formula>IF($Q82="Partly Compliant",TRUE)</formula>
    </cfRule>
    <cfRule type="expression" dxfId="6694" priority="879">
      <formula>IF($Q82="Unknown/Missing",TRUE)</formula>
    </cfRule>
    <cfRule type="expression" dxfId="6693" priority="880">
      <formula>IF($Q82="Not Required/Applicable",TRUE)</formula>
    </cfRule>
    <cfRule type="expression" dxfId="6692" priority="881">
      <formula>IF(Q82="Not Compliant",TRUE)</formula>
    </cfRule>
    <cfRule type="expression" dxfId="6691" priority="882">
      <formula>IF(Q82=" ",TRUE)</formula>
    </cfRule>
  </conditionalFormatting>
  <conditionalFormatting sqref="Q85">
    <cfRule type="expression" dxfId="6690" priority="841">
      <formula>IF(R85=FALSE,TRUE,FALSE)</formula>
    </cfRule>
    <cfRule type="expression" dxfId="6689" priority="842">
      <formula>IF(R85=TRUE,TRUE,FALSE)</formula>
    </cfRule>
  </conditionalFormatting>
  <conditionalFormatting sqref="Q86:Q87">
    <cfRule type="expression" dxfId="6688" priority="823">
      <formula>IF(Q86="Compliant",TRUE)</formula>
    </cfRule>
    <cfRule type="expression" dxfId="6687" priority="824">
      <formula>IF(Q86="FE with work-a-round",TRUE)</formula>
    </cfRule>
    <cfRule type="expression" dxfId="6686" priority="825">
      <formula>IF(Q86="Functionally Equivalent",TRUE)</formula>
    </cfRule>
    <cfRule type="expression" dxfId="6685" priority="826">
      <formula>IF($Q86="Likely to become compliant",TRUE)</formula>
    </cfRule>
    <cfRule type="expression" dxfId="6684" priority="827">
      <formula>IF($Q86="Partly Compliant",TRUE)</formula>
    </cfRule>
    <cfRule type="expression" dxfId="6683" priority="828">
      <formula>IF($Q86="Unknown/Missing",TRUE)</formula>
    </cfRule>
    <cfRule type="expression" dxfId="6682" priority="829">
      <formula>IF($Q86="Not Required/Applicable",TRUE)</formula>
    </cfRule>
    <cfRule type="expression" dxfId="6681" priority="830">
      <formula>IF(Q86="Not Compliant",TRUE)</formula>
    </cfRule>
    <cfRule type="expression" dxfId="6680" priority="831">
      <formula>IF(Q86=" ",TRUE)</formula>
    </cfRule>
  </conditionalFormatting>
  <conditionalFormatting sqref="Q88">
    <cfRule type="expression" dxfId="6679" priority="790">
      <formula>IF(R88=FALSE,TRUE,FALSE)</formula>
    </cfRule>
    <cfRule type="expression" dxfId="6678" priority="791">
      <formula>IF(R88=TRUE,TRUE,FALSE)</formula>
    </cfRule>
  </conditionalFormatting>
  <conditionalFormatting sqref="Q89:Q90">
    <cfRule type="expression" dxfId="6677" priority="772">
      <formula>IF(Q89="Compliant",TRUE)</formula>
    </cfRule>
    <cfRule type="expression" dxfId="6676" priority="773">
      <formula>IF(Q89="FE with work-a-round",TRUE)</formula>
    </cfRule>
    <cfRule type="expression" dxfId="6675" priority="774">
      <formula>IF(Q89="Functionally Equivalent",TRUE)</formula>
    </cfRule>
    <cfRule type="expression" dxfId="6674" priority="775">
      <formula>IF($Q89="Likely to become compliant",TRUE)</formula>
    </cfRule>
    <cfRule type="expression" dxfId="6673" priority="776">
      <formula>IF($Q89="Partly Compliant",TRUE)</formula>
    </cfRule>
    <cfRule type="expression" dxfId="6672" priority="777">
      <formula>IF($Q89="Unknown/Missing",TRUE)</formula>
    </cfRule>
    <cfRule type="expression" dxfId="6671" priority="778">
      <formula>IF($Q89="Not Required/Applicable",TRUE)</formula>
    </cfRule>
    <cfRule type="expression" dxfId="6670" priority="779">
      <formula>IF(Q89="Not Compliant",TRUE)</formula>
    </cfRule>
    <cfRule type="expression" dxfId="6669" priority="780">
      <formula>IF(Q89=" ",TRUE)</formula>
    </cfRule>
  </conditionalFormatting>
  <conditionalFormatting sqref="Q91">
    <cfRule type="expression" dxfId="6668" priority="739">
      <formula>IF(R91=FALSE,TRUE,FALSE)</formula>
    </cfRule>
    <cfRule type="expression" dxfId="6667" priority="740">
      <formula>IF(R91=TRUE,TRUE,FALSE)</formula>
    </cfRule>
  </conditionalFormatting>
  <conditionalFormatting sqref="Q92:Q99">
    <cfRule type="expression" dxfId="6666" priority="721">
      <formula>IF(Q92="Compliant",TRUE)</formula>
    </cfRule>
    <cfRule type="expression" dxfId="6665" priority="722">
      <formula>IF(Q92="FE with work-a-round",TRUE)</formula>
    </cfRule>
    <cfRule type="expression" dxfId="6664" priority="723">
      <formula>IF(Q92="Functionally Equivalent",TRUE)</formula>
    </cfRule>
    <cfRule type="expression" dxfId="6663" priority="724">
      <formula>IF($Q92="Likely to become compliant",TRUE)</formula>
    </cfRule>
    <cfRule type="expression" dxfId="6662" priority="725">
      <formula>IF($Q92="Partly Compliant",TRUE)</formula>
    </cfRule>
    <cfRule type="expression" dxfId="6661" priority="726">
      <formula>IF($Q92="Unknown/Missing",TRUE)</formula>
    </cfRule>
    <cfRule type="expression" dxfId="6660" priority="727">
      <formula>IF($Q92="Not Required/Applicable",TRUE)</formula>
    </cfRule>
    <cfRule type="expression" dxfId="6659" priority="728">
      <formula>IF(Q92="Not Compliant",TRUE)</formula>
    </cfRule>
    <cfRule type="expression" dxfId="6658" priority="729">
      <formula>IF(Q92=" ",TRUE)</formula>
    </cfRule>
  </conditionalFormatting>
  <conditionalFormatting sqref="Q101:Q102">
    <cfRule type="expression" dxfId="6657" priority="678">
      <formula>IF(R101=FALSE,TRUE,FALSE)</formula>
    </cfRule>
    <cfRule type="expression" dxfId="6656" priority="679">
      <formula>IF(R101=TRUE,TRUE,FALSE)</formula>
    </cfRule>
  </conditionalFormatting>
  <conditionalFormatting sqref="Q103:Q111">
    <cfRule type="expression" dxfId="6655" priority="660">
      <formula>IF(Q103="Compliant",TRUE)</formula>
    </cfRule>
    <cfRule type="expression" dxfId="6654" priority="661">
      <formula>IF(Q103="FE with work-a-round",TRUE)</formula>
    </cfRule>
    <cfRule type="expression" dxfId="6653" priority="662">
      <formula>IF(Q103="Functionally Equivalent",TRUE)</formula>
    </cfRule>
    <cfRule type="expression" dxfId="6652" priority="663">
      <formula>IF($Q103="Likely to become compliant",TRUE)</formula>
    </cfRule>
    <cfRule type="expression" dxfId="6651" priority="664">
      <formula>IF($Q103="Partly Compliant",TRUE)</formula>
    </cfRule>
    <cfRule type="expression" dxfId="6650" priority="665">
      <formula>IF($Q103="Unknown/Missing",TRUE)</formula>
    </cfRule>
    <cfRule type="expression" dxfId="6649" priority="666">
      <formula>IF($Q103="Not Required/Applicable",TRUE)</formula>
    </cfRule>
    <cfRule type="expression" dxfId="6648" priority="667">
      <formula>IF(Q103="Not Compliant",TRUE)</formula>
    </cfRule>
    <cfRule type="expression" dxfId="6647" priority="668">
      <formula>IF(Q103=" ",TRUE)</formula>
    </cfRule>
  </conditionalFormatting>
  <conditionalFormatting sqref="Q113:Q114">
    <cfRule type="expression" dxfId="6646" priority="617">
      <formula>IF(R113=FALSE,TRUE,FALSE)</formula>
    </cfRule>
    <cfRule type="expression" dxfId="6645" priority="618">
      <formula>IF(R113=TRUE,TRUE,FALSE)</formula>
    </cfRule>
  </conditionalFormatting>
  <conditionalFormatting sqref="Q115:Q116">
    <cfRule type="expression" dxfId="6644" priority="599">
      <formula>IF(Q115="Compliant",TRUE)</formula>
    </cfRule>
    <cfRule type="expression" dxfId="6643" priority="600">
      <formula>IF(Q115="FE with work-a-round",TRUE)</formula>
    </cfRule>
    <cfRule type="expression" dxfId="6642" priority="601">
      <formula>IF(Q115="Functionally Equivalent",TRUE)</formula>
    </cfRule>
    <cfRule type="expression" dxfId="6641" priority="602">
      <formula>IF($Q115="Likely to become compliant",TRUE)</formula>
    </cfRule>
    <cfRule type="expression" dxfId="6640" priority="603">
      <formula>IF($Q115="Partly Compliant",TRUE)</formula>
    </cfRule>
    <cfRule type="expression" dxfId="6639" priority="604">
      <formula>IF($Q115="Unknown/Missing",TRUE)</formula>
    </cfRule>
    <cfRule type="expression" dxfId="6638" priority="605">
      <formula>IF($Q115="Not Required/Applicable",TRUE)</formula>
    </cfRule>
    <cfRule type="expression" dxfId="6637" priority="606">
      <formula>IF(Q115="Not Compliant",TRUE)</formula>
    </cfRule>
    <cfRule type="expression" dxfId="6636" priority="607">
      <formula>IF(Q115=" ",TRUE)</formula>
    </cfRule>
  </conditionalFormatting>
  <conditionalFormatting sqref="Q117">
    <cfRule type="expression" dxfId="6635" priority="569">
      <formula>IF(R117=FALSE,TRUE,FALSE)</formula>
    </cfRule>
    <cfRule type="expression" dxfId="6634" priority="570">
      <formula>IF(R117=TRUE,TRUE,FALSE)</formula>
    </cfRule>
  </conditionalFormatting>
  <conditionalFormatting sqref="Q118:Q129">
    <cfRule type="expression" dxfId="6633" priority="538">
      <formula>IF(Q118="Compliant",TRUE)</formula>
    </cfRule>
    <cfRule type="expression" dxfId="6632" priority="539">
      <formula>IF(Q118="FE with work-a-round",TRUE)</formula>
    </cfRule>
    <cfRule type="expression" dxfId="6631" priority="540">
      <formula>IF(Q118="Functionally Equivalent",TRUE)</formula>
    </cfRule>
    <cfRule type="expression" dxfId="6630" priority="541">
      <formula>IF($Q118="Likely to become compliant",TRUE)</formula>
    </cfRule>
    <cfRule type="expression" dxfId="6629" priority="542">
      <formula>IF($Q118="Partly Compliant",TRUE)</formula>
    </cfRule>
    <cfRule type="expression" dxfId="6628" priority="543">
      <formula>IF($Q118="Unknown/Missing",TRUE)</formula>
    </cfRule>
    <cfRule type="expression" dxfId="6627" priority="544">
      <formula>IF($Q118="Not Required/Applicable",TRUE)</formula>
    </cfRule>
    <cfRule type="expression" dxfId="6626" priority="545">
      <formula>IF(Q118="Not Compliant",TRUE)</formula>
    </cfRule>
    <cfRule type="expression" dxfId="6625" priority="546">
      <formula>IF(Q118=" ",TRUE)</formula>
    </cfRule>
  </conditionalFormatting>
  <conditionalFormatting sqref="Q131">
    <cfRule type="expression" dxfId="6624" priority="511">
      <formula>IF(Q131="Compliant",TRUE)</formula>
    </cfRule>
    <cfRule type="expression" dxfId="6623" priority="512">
      <formula>IF(Q131="FE with work-a-round",TRUE)</formula>
    </cfRule>
    <cfRule type="expression" dxfId="6622" priority="513">
      <formula>IF(Q131="Functionally Equivalent",TRUE)</formula>
    </cfRule>
    <cfRule type="expression" dxfId="6621" priority="514">
      <formula>IF($Q131="Likely to become compliant",TRUE)</formula>
    </cfRule>
    <cfRule type="expression" dxfId="6620" priority="515">
      <formula>IF($Q131="Partly Compliant",TRUE)</formula>
    </cfRule>
    <cfRule type="expression" dxfId="6619" priority="516">
      <formula>IF($Q131="Unknown/Missing",TRUE)</formula>
    </cfRule>
    <cfRule type="expression" dxfId="6618" priority="517">
      <formula>IF($Q131="Not Required/Applicable",TRUE)</formula>
    </cfRule>
    <cfRule type="expression" dxfId="6617" priority="518">
      <formula>IF(Q131="Not Compliant",TRUE)</formula>
    </cfRule>
    <cfRule type="expression" dxfId="6616" priority="519">
      <formula>IF(Q131=" ",TRUE)</formula>
    </cfRule>
  </conditionalFormatting>
  <conditionalFormatting sqref="Q135:Q136">
    <cfRule type="expression" dxfId="6615" priority="486">
      <formula>IF(R135=FALSE,TRUE,FALSE)</formula>
    </cfRule>
    <cfRule type="expression" dxfId="6614" priority="487">
      <formula>IF(R135=TRUE,TRUE,FALSE)</formula>
    </cfRule>
  </conditionalFormatting>
  <conditionalFormatting sqref="Q137:Q139">
    <cfRule type="expression" dxfId="6613" priority="468">
      <formula>IF(Q137="Compliant",TRUE)</formula>
    </cfRule>
    <cfRule type="expression" dxfId="6612" priority="469">
      <formula>IF(Q137="FE with work-a-round",TRUE)</formula>
    </cfRule>
    <cfRule type="expression" dxfId="6611" priority="470">
      <formula>IF(Q137="Functionally Equivalent",TRUE)</formula>
    </cfRule>
    <cfRule type="expression" dxfId="6610" priority="471">
      <formula>IF($Q137="Likely to become compliant",TRUE)</formula>
    </cfRule>
    <cfRule type="expression" dxfId="6609" priority="472">
      <formula>IF($Q137="Partly Compliant",TRUE)</formula>
    </cfRule>
    <cfRule type="expression" dxfId="6608" priority="473">
      <formula>IF($Q137="Unknown/Missing",TRUE)</formula>
    </cfRule>
    <cfRule type="expression" dxfId="6607" priority="474">
      <formula>IF($Q137="Not Required/Applicable",TRUE)</formula>
    </cfRule>
    <cfRule type="expression" dxfId="6606" priority="475">
      <formula>IF(Q137="Not Compliant",TRUE)</formula>
    </cfRule>
    <cfRule type="expression" dxfId="6605" priority="476">
      <formula>IF(Q137=" ",TRUE)</formula>
    </cfRule>
  </conditionalFormatting>
  <conditionalFormatting sqref="Q140:Q141">
    <cfRule type="expression" dxfId="6604" priority="434">
      <formula>IF(R140=FALSE,TRUE,FALSE)</formula>
    </cfRule>
    <cfRule type="expression" dxfId="6603" priority="435">
      <formula>IF(R140=TRUE,TRUE,FALSE)</formula>
    </cfRule>
  </conditionalFormatting>
  <conditionalFormatting sqref="Q142:Q151">
    <cfRule type="expression" dxfId="6602" priority="459">
      <formula>IF(Q142="Compliant",TRUE)</formula>
    </cfRule>
    <cfRule type="expression" dxfId="6601" priority="460">
      <formula>IF(Q142="FE with work-a-round",TRUE)</formula>
    </cfRule>
    <cfRule type="expression" dxfId="6600" priority="461">
      <formula>IF(Q142="Functionally Equivalent",TRUE)</formula>
    </cfRule>
    <cfRule type="expression" dxfId="6599" priority="462">
      <formula>IF($Q142="Likely to become compliant",TRUE)</formula>
    </cfRule>
    <cfRule type="expression" dxfId="6598" priority="463">
      <formula>IF($Q142="Partly Compliant",TRUE)</formula>
    </cfRule>
    <cfRule type="expression" dxfId="6597" priority="464">
      <formula>IF($Q142="Unknown/Missing",TRUE)</formula>
    </cfRule>
    <cfRule type="expression" dxfId="6596" priority="465">
      <formula>IF($Q142="Not Required/Applicable",TRUE)</formula>
    </cfRule>
    <cfRule type="expression" dxfId="6595" priority="466">
      <formula>IF(Q142="Not Compliant",TRUE)</formula>
    </cfRule>
    <cfRule type="expression" dxfId="6594" priority="467">
      <formula>IF(Q142=" ",TRUE)</formula>
    </cfRule>
  </conditionalFormatting>
  <conditionalFormatting sqref="Q152">
    <cfRule type="expression" dxfId="6593" priority="401">
      <formula>IF(R152=FALSE,TRUE,FALSE)</formula>
    </cfRule>
    <cfRule type="expression" dxfId="6592" priority="402">
      <formula>IF(R152=TRUE,TRUE,FALSE)</formula>
    </cfRule>
  </conditionalFormatting>
  <conditionalFormatting sqref="Q153:Q162">
    <cfRule type="expression" dxfId="6591" priority="416">
      <formula>IF(Q153="Compliant",TRUE)</formula>
    </cfRule>
    <cfRule type="expression" dxfId="6590" priority="417">
      <formula>IF(Q153="FE with work-a-round",TRUE)</formula>
    </cfRule>
    <cfRule type="expression" dxfId="6589" priority="418">
      <formula>IF(Q153="Functionally Equivalent",TRUE)</formula>
    </cfRule>
    <cfRule type="expression" dxfId="6588" priority="419">
      <formula>IF($Q153="Likely to become compliant",TRUE)</formula>
    </cfRule>
    <cfRule type="expression" dxfId="6587" priority="420">
      <formula>IF($Q153="Partly Compliant",TRUE)</formula>
    </cfRule>
    <cfRule type="expression" dxfId="6586" priority="421">
      <formula>IF($Q153="Unknown/Missing",TRUE)</formula>
    </cfRule>
    <cfRule type="expression" dxfId="6585" priority="422">
      <formula>IF($Q153="Not Required/Applicable",TRUE)</formula>
    </cfRule>
    <cfRule type="expression" dxfId="6584" priority="423">
      <formula>IF(Q153="Not Compliant",TRUE)</formula>
    </cfRule>
    <cfRule type="expression" dxfId="6583" priority="424">
      <formula>IF(Q153=" ",TRUE)</formula>
    </cfRule>
  </conditionalFormatting>
  <conditionalFormatting sqref="Q163">
    <cfRule type="expression" dxfId="6582" priority="368">
      <formula>IF(R163=FALSE,TRUE,FALSE)</formula>
    </cfRule>
    <cfRule type="expression" dxfId="6581" priority="369">
      <formula>IF(R163=TRUE,TRUE,FALSE)</formula>
    </cfRule>
  </conditionalFormatting>
  <conditionalFormatting sqref="Q164:Q185">
    <cfRule type="expression" dxfId="6580" priority="383">
      <formula>IF(Q164="Compliant",TRUE)</formula>
    </cfRule>
    <cfRule type="expression" dxfId="6579" priority="384">
      <formula>IF(Q164="FE with work-a-round",TRUE)</formula>
    </cfRule>
    <cfRule type="expression" dxfId="6578" priority="385">
      <formula>IF(Q164="Functionally Equivalent",TRUE)</formula>
    </cfRule>
    <cfRule type="expression" dxfId="6577" priority="386">
      <formula>IF($Q164="Likely to become compliant",TRUE)</formula>
    </cfRule>
    <cfRule type="expression" dxfId="6576" priority="387">
      <formula>IF($Q164="Partly Compliant",TRUE)</formula>
    </cfRule>
    <cfRule type="expression" dxfId="6575" priority="388">
      <formula>IF($Q164="Unknown/Missing",TRUE)</formula>
    </cfRule>
    <cfRule type="expression" dxfId="6574" priority="389">
      <formula>IF($Q164="Not Required/Applicable",TRUE)</formula>
    </cfRule>
    <cfRule type="expression" dxfId="6573" priority="390">
      <formula>IF(Q164="Not Compliant",TRUE)</formula>
    </cfRule>
    <cfRule type="expression" dxfId="6572" priority="391">
      <formula>IF(Q164=" ",TRUE)</formula>
    </cfRule>
  </conditionalFormatting>
  <conditionalFormatting sqref="Q189:Q191">
    <cfRule type="expression" dxfId="6571" priority="316">
      <formula>IF(R189=FALSE,TRUE,FALSE)</formula>
    </cfRule>
    <cfRule type="expression" dxfId="6570" priority="317">
      <formula>IF(R189=TRUE,TRUE,FALSE)</formula>
    </cfRule>
  </conditionalFormatting>
  <conditionalFormatting sqref="Q192:Q193">
    <cfRule type="expression" dxfId="6569" priority="189">
      <formula>IF(AND(R$192=TRUE,$R$193=TRUE),TRUE)</formula>
    </cfRule>
    <cfRule type="expression" dxfId="6568" priority="298">
      <formula>IF(AND(Q192=" ",$R$191=TRUE),TRUE)</formula>
    </cfRule>
    <cfRule type="expression" dxfId="6567" priority="299">
      <formula>IF(Q192="Compliant",TRUE)</formula>
    </cfRule>
    <cfRule type="expression" dxfId="6566" priority="300">
      <formula>IF(Q192="FE with work-a-round",TRUE)</formula>
    </cfRule>
    <cfRule type="expression" dxfId="6565" priority="301">
      <formula>IF(Q192="Functionally Equivalent",TRUE)</formula>
    </cfRule>
    <cfRule type="expression" dxfId="6564" priority="302">
      <formula>IF($Q192="Likely to become compliant",TRUE)</formula>
    </cfRule>
    <cfRule type="expression" dxfId="6563" priority="303">
      <formula>IF($Q192="Partly Compliant",TRUE)</formula>
    </cfRule>
    <cfRule type="expression" dxfId="6562" priority="304">
      <formula>IF($Q192="Unknown/Missing",TRUE)</formula>
    </cfRule>
    <cfRule type="expression" dxfId="6561" priority="305">
      <formula>IF($Q192="Not Required/Applicable",TRUE)</formula>
    </cfRule>
    <cfRule type="expression" dxfId="6560" priority="306">
      <formula>IF(Q192="Not Compliant",TRUE)</formula>
    </cfRule>
  </conditionalFormatting>
  <conditionalFormatting sqref="Q194">
    <cfRule type="expression" dxfId="6559" priority="283">
      <formula>IF(R194=FALSE,TRUE,FALSE)</formula>
    </cfRule>
    <cfRule type="expression" dxfId="6558" priority="284">
      <formula>IF(R194=TRUE,TRUE,FALSE)</formula>
    </cfRule>
  </conditionalFormatting>
  <conditionalFormatting sqref="Q195:Q200">
    <cfRule type="expression" dxfId="6557" priority="265">
      <formula>IF(Q195="Compliant",TRUE)</formula>
    </cfRule>
    <cfRule type="expression" dxfId="6556" priority="266">
      <formula>IF(Q195="FE with work-a-round",TRUE)</formula>
    </cfRule>
    <cfRule type="expression" dxfId="6555" priority="267">
      <formula>IF(Q195="Functionally Equivalent",TRUE)</formula>
    </cfRule>
    <cfRule type="expression" dxfId="6554" priority="268">
      <formula>IF($Q195="Likely to become compliant",TRUE)</formula>
    </cfRule>
    <cfRule type="expression" dxfId="6553" priority="269">
      <formula>IF($Q195="Partly Compliant",TRUE)</formula>
    </cfRule>
    <cfRule type="expression" dxfId="6552" priority="270">
      <formula>IF($Q195="Unknown/Missing",TRUE)</formula>
    </cfRule>
    <cfRule type="expression" dxfId="6551" priority="271">
      <formula>IF($Q195="Not Required/Applicable",TRUE)</formula>
    </cfRule>
    <cfRule type="expression" dxfId="6550" priority="272">
      <formula>IF(Q195="Not Compliant",TRUE)</formula>
    </cfRule>
    <cfRule type="expression" dxfId="6549" priority="273">
      <formula>IF(Q195=" ",TRUE)</formula>
    </cfRule>
  </conditionalFormatting>
  <conditionalFormatting sqref="Q202">
    <cfRule type="expression" dxfId="6548" priority="250">
      <formula>IF(R202=FALSE,TRUE,FALSE)</formula>
    </cfRule>
    <cfRule type="expression" dxfId="6547" priority="251">
      <formula>IF(R202=TRUE,TRUE,FALSE)</formula>
    </cfRule>
  </conditionalFormatting>
  <conditionalFormatting sqref="Q203:Q207">
    <cfRule type="expression" dxfId="6546" priority="232">
      <formula>IF(Q203="Compliant",TRUE)</formula>
    </cfRule>
    <cfRule type="expression" dxfId="6545" priority="233">
      <formula>IF(Q203="FE with work-a-round",TRUE)</formula>
    </cfRule>
    <cfRule type="expression" dxfId="6544" priority="234">
      <formula>IF(Q203="Functionally Equivalent",TRUE)</formula>
    </cfRule>
    <cfRule type="expression" dxfId="6543" priority="235">
      <formula>IF($Q203="Likely to become compliant",TRUE)</formula>
    </cfRule>
    <cfRule type="expression" dxfId="6542" priority="236">
      <formula>IF($Q203="Partly Compliant",TRUE)</formula>
    </cfRule>
    <cfRule type="expression" dxfId="6541" priority="237">
      <formula>IF($Q203="Unknown/Missing",TRUE)</formula>
    </cfRule>
    <cfRule type="expression" dxfId="6540" priority="238">
      <formula>IF($Q203="Not Required/Applicable",TRUE)</formula>
    </cfRule>
    <cfRule type="expression" dxfId="6539" priority="239">
      <formula>IF(Q203="Not Compliant",TRUE)</formula>
    </cfRule>
    <cfRule type="expression" dxfId="6538" priority="240">
      <formula>IF(Q203=" ",TRUE)</formula>
    </cfRule>
  </conditionalFormatting>
  <conditionalFormatting sqref="Q208">
    <cfRule type="expression" dxfId="6537" priority="217">
      <formula>IF(R208=FALSE,TRUE,FALSE)</formula>
    </cfRule>
    <cfRule type="expression" dxfId="6536" priority="218">
      <formula>IF(R208=TRUE,TRUE,FALSE)</formula>
    </cfRule>
  </conditionalFormatting>
  <conditionalFormatting sqref="Q209:Q221">
    <cfRule type="expression" dxfId="6535" priority="199">
      <formula>IF(Q209="Compliant",TRUE)</formula>
    </cfRule>
    <cfRule type="expression" dxfId="6534" priority="200">
      <formula>IF(Q209="FE with work-a-round",TRUE)</formula>
    </cfRule>
    <cfRule type="expression" dxfId="6533" priority="201">
      <formula>IF(Q209="Functionally Equivalent",TRUE)</formula>
    </cfRule>
    <cfRule type="expression" dxfId="6532" priority="202">
      <formula>IF($Q209="Likely to become compliant",TRUE)</formula>
    </cfRule>
    <cfRule type="expression" dxfId="6531" priority="203">
      <formula>IF($Q209="Partly Compliant",TRUE)</formula>
    </cfRule>
    <cfRule type="expression" dxfId="6530" priority="204">
      <formula>IF($Q209="Unknown/Missing",TRUE)</formula>
    </cfRule>
    <cfRule type="expression" dxfId="6529" priority="205">
      <formula>IF($Q209="Not Required/Applicable",TRUE)</formula>
    </cfRule>
    <cfRule type="expression" dxfId="6528" priority="206">
      <formula>IF(Q209="Not Compliant",TRUE)</formula>
    </cfRule>
    <cfRule type="expression" dxfId="6527" priority="207">
      <formula>IF(Q209=" ",TRUE)</formula>
    </cfRule>
  </conditionalFormatting>
  <conditionalFormatting sqref="R20 W20">
    <cfRule type="beginsWith" dxfId="6526" priority="6" operator="beginsWith" text="Likely">
      <formula>LEFT(R20,LEN("Likely"))="Likely"</formula>
    </cfRule>
    <cfRule type="beginsWith" dxfId="6525" priority="7" operator="beginsWith" text="Not Applicable">
      <formula>LEFT(R20,LEN("Not Applicable"))="Not Applicable"</formula>
    </cfRule>
    <cfRule type="beginsWith" dxfId="6524" priority="8" operator="beginsWith" text="Applicable">
      <formula>LEFT(R20,LEN("Applicable"))="Applicable"</formula>
    </cfRule>
    <cfRule type="beginsWith" dxfId="6523" priority="9" operator="beginsWith" text="Partly">
      <formula>LEFT(R20,LEN("Partly"))="Partly"</formula>
    </cfRule>
    <cfRule type="beginsWith" dxfId="6522" priority="10" operator="beginsWith" text="Missing">
      <formula>LEFT(R20,LEN("Missing"))="Missing"</formula>
    </cfRule>
    <cfRule type="beginsWith" dxfId="6521" priority="11" operator="beginsWith" text="Not">
      <formula>LEFT(R20,LEN("Not"))="Not"</formula>
    </cfRule>
    <cfRule type="beginsWith" dxfId="6520" priority="12" operator="beginsWith" text="Compliant">
      <formula>LEFT(R20,LEN("Compliant"))="Compliant"</formula>
    </cfRule>
    <cfRule type="containsText" dxfId="6519" priority="13" operator="containsText" text="Equivalent">
      <formula>NOT(ISERROR(SEARCH("Equivalent",R20)))</formula>
    </cfRule>
  </conditionalFormatting>
  <conditionalFormatting sqref="V9:V10">
    <cfRule type="expression" dxfId="6518" priority="144">
      <formula>IF(V9="Compliant",TRUE)</formula>
    </cfRule>
    <cfRule type="expression" dxfId="6517" priority="145">
      <formula>IF(V9="FE with work-a-round",TRUE)</formula>
    </cfRule>
    <cfRule type="expression" dxfId="6516" priority="146">
      <formula>IF(V9="Functionally Equivalent",TRUE)</formula>
    </cfRule>
    <cfRule type="expression" dxfId="6515" priority="147">
      <formula>IF(V9="Likely to become compliant",TRUE)</formula>
    </cfRule>
    <cfRule type="expression" dxfId="6514" priority="148">
      <formula>IF(V9="Partly Compliant",TRUE)</formula>
    </cfRule>
    <cfRule type="expression" dxfId="6513" priority="149">
      <formula>IF(V9="Unknown/Missing",TRUE)</formula>
    </cfRule>
    <cfRule type="expression" dxfId="6512" priority="150">
      <formula>IF(V9="Not Required/Applicable",TRUE)</formula>
    </cfRule>
    <cfRule type="expression" dxfId="6511" priority="151">
      <formula>IF(V9="Not Compliant",TRUE)</formula>
    </cfRule>
    <cfRule type="expression" dxfId="6510" priority="152">
      <formula>IF($N9=" ",TRUE)</formula>
    </cfRule>
  </conditionalFormatting>
  <conditionalFormatting sqref="V23 V27">
    <cfRule type="expression" dxfId="6509" priority="90">
      <formula>IF(V23="Compliant",TRUE)</formula>
    </cfRule>
    <cfRule type="expression" dxfId="6508" priority="91">
      <formula>IF(V23="FE with work-a-round",TRUE)</formula>
    </cfRule>
    <cfRule type="expression" dxfId="6507" priority="92">
      <formula>IF(V23="Functionally Equivalent",TRUE)</formula>
    </cfRule>
    <cfRule type="expression" dxfId="6506" priority="93">
      <formula>IF(V23="Likely to become compliant",TRUE)</formula>
    </cfRule>
    <cfRule type="expression" dxfId="6505" priority="94">
      <formula>IF(V23="Partly Compliant",TRUE)</formula>
    </cfRule>
    <cfRule type="expression" dxfId="6504" priority="95">
      <formula>IF(V23="Unknown/Missing",TRUE)</formula>
    </cfRule>
    <cfRule type="expression" dxfId="6503" priority="96">
      <formula>IF(V23="Not Required/Applicable",TRUE)</formula>
    </cfRule>
    <cfRule type="expression" dxfId="6502" priority="97">
      <formula>IF(V23="Not Compliant",TRUE)</formula>
    </cfRule>
    <cfRule type="expression" dxfId="6501" priority="98">
      <formula>IF($N23=" ",TRUE)</formula>
    </cfRule>
  </conditionalFormatting>
  <conditionalFormatting sqref="V32">
    <cfRule type="expression" dxfId="6500" priority="81">
      <formula>IF(V32="Compliant",TRUE)</formula>
    </cfRule>
    <cfRule type="expression" dxfId="6499" priority="82">
      <formula>IF(V32="FE with work-a-round",TRUE)</formula>
    </cfRule>
    <cfRule type="expression" dxfId="6498" priority="83">
      <formula>IF(V32="Functionally Equivalent",TRUE)</formula>
    </cfRule>
    <cfRule type="expression" dxfId="6497" priority="84">
      <formula>IF(V32="Likely to become compliant",TRUE)</formula>
    </cfRule>
    <cfRule type="expression" dxfId="6496" priority="85">
      <formula>IF(V32="Partly Compliant",TRUE)</formula>
    </cfRule>
    <cfRule type="expression" dxfId="6495" priority="86">
      <formula>IF(V32="Unknown/Missing",TRUE)</formula>
    </cfRule>
    <cfRule type="expression" dxfId="6494" priority="87">
      <formula>IF(V32="Not Required/Applicable",TRUE)</formula>
    </cfRule>
    <cfRule type="expression" dxfId="6493" priority="88">
      <formula>IF(V32="Not Compliant",TRUE)</formula>
    </cfRule>
    <cfRule type="expression" dxfId="6492" priority="89">
      <formula>IF($N32=" ",TRUE)</formula>
    </cfRule>
  </conditionalFormatting>
  <conditionalFormatting sqref="V41">
    <cfRule type="expression" dxfId="6491" priority="1162">
      <formula>IF(V41="Compliant",TRUE)</formula>
    </cfRule>
    <cfRule type="expression" dxfId="6490" priority="1163">
      <formula>IF(V41="FE with work-a-round",TRUE)</formula>
    </cfRule>
    <cfRule type="expression" dxfId="6489" priority="1164">
      <formula>IF(V41="Functionally Equivalent",TRUE)</formula>
    </cfRule>
    <cfRule type="expression" dxfId="6488" priority="1165">
      <formula>IF(V41="Likely to become compliant",TRUE)</formula>
    </cfRule>
    <cfRule type="expression" dxfId="6487" priority="1166">
      <formula>IF(V41="Partly Compliant",TRUE)</formula>
    </cfRule>
    <cfRule type="expression" dxfId="6486" priority="1167">
      <formula>IF(V41="Unknown/Missing",TRUE)</formula>
    </cfRule>
    <cfRule type="expression" dxfId="6485" priority="1168">
      <formula>IF(V41="Not Required/Applicable",TRUE)</formula>
    </cfRule>
    <cfRule type="expression" dxfId="6484" priority="1169">
      <formula>IF(V41="Not Compliant",TRUE)</formula>
    </cfRule>
    <cfRule type="expression" dxfId="6483" priority="1170">
      <formula>IF($N41=" ",TRUE)</formula>
    </cfRule>
  </conditionalFormatting>
  <conditionalFormatting sqref="V49">
    <cfRule type="expression" dxfId="6482" priority="1150">
      <formula>IF(W49=FALSE,TRUE,FALSE)</formula>
    </cfRule>
    <cfRule type="expression" dxfId="6481" priority="1151">
      <formula>IF(W49=TRUE,TRUE,FALSE)</formula>
    </cfRule>
  </conditionalFormatting>
  <conditionalFormatting sqref="V50">
    <cfRule type="expression" dxfId="6480" priority="1118">
      <formula>IF(V50="Compliant",TRUE)</formula>
    </cfRule>
    <cfRule type="expression" dxfId="6479" priority="1119">
      <formula>IF(V50="FE with work-a-round",TRUE)</formula>
    </cfRule>
    <cfRule type="expression" dxfId="6478" priority="1120">
      <formula>IF(V50="Functionally Equivalent",TRUE)</formula>
    </cfRule>
    <cfRule type="expression" dxfId="6477" priority="1121">
      <formula>IF(V50="Likely to become compliant",TRUE)</formula>
    </cfRule>
    <cfRule type="expression" dxfId="6476" priority="1122">
      <formula>IF(V50="Partly Compliant",TRUE)</formula>
    </cfRule>
    <cfRule type="expression" dxfId="6475" priority="1123">
      <formula>IF(V50="Unknown/Missing",TRUE)</formula>
    </cfRule>
    <cfRule type="expression" dxfId="6474" priority="1124">
      <formula>IF(V50="Not Required/Applicable",TRUE)</formula>
    </cfRule>
    <cfRule type="expression" dxfId="6473" priority="1125">
      <formula>IF(V50="Not Compliant",TRUE)</formula>
    </cfRule>
    <cfRule type="expression" dxfId="6472" priority="1126">
      <formula>IF($N50=" ",TRUE)</formula>
    </cfRule>
  </conditionalFormatting>
  <conditionalFormatting sqref="V62">
    <cfRule type="expression" dxfId="6471" priority="14622">
      <formula>IF(V62="Compliant",TRUE)</formula>
    </cfRule>
    <cfRule type="expression" dxfId="6470" priority="14623">
      <formula>IF(V62="FE with work-a-round",TRUE)</formula>
    </cfRule>
    <cfRule type="expression" dxfId="6469" priority="14624">
      <formula>IF(V62="Functionally Equivalent",TRUE)</formula>
    </cfRule>
    <cfRule type="expression" dxfId="6468" priority="14625">
      <formula>IF(V62="Likely to become compliant",TRUE)</formula>
    </cfRule>
    <cfRule type="expression" dxfId="6467" priority="14626">
      <formula>IF(V62="Partly Compliant",TRUE)</formula>
    </cfRule>
    <cfRule type="expression" dxfId="6466" priority="14627">
      <formula>IF(V62="Unknown/Missing",TRUE)</formula>
    </cfRule>
    <cfRule type="expression" dxfId="6465" priority="14628">
      <formula>IF(V62="Not Required/Applicable",TRUE)</formula>
    </cfRule>
    <cfRule type="expression" dxfId="6464" priority="14629">
      <formula>IF(V62="Not Compliant",TRUE)</formula>
    </cfRule>
    <cfRule type="expression" dxfId="6463" priority="14630">
      <formula>IF($N61=" ",TRUE)</formula>
    </cfRule>
  </conditionalFormatting>
  <conditionalFormatting sqref="V73">
    <cfRule type="expression" dxfId="6462" priority="1016">
      <formula>IF(W73=FALSE,TRUE,FALSE)</formula>
    </cfRule>
    <cfRule type="expression" dxfId="6461" priority="1017">
      <formula>IF(W73=TRUE,TRUE,FALSE)</formula>
    </cfRule>
  </conditionalFormatting>
  <conditionalFormatting sqref="V74">
    <cfRule type="expression" dxfId="6460" priority="996">
      <formula>IF(V74="Compliant",TRUE)</formula>
    </cfRule>
    <cfRule type="expression" dxfId="6459" priority="997">
      <formula>IF(V74="FE with work-a-round",TRUE)</formula>
    </cfRule>
    <cfRule type="expression" dxfId="6458" priority="998">
      <formula>IF(V74="Functionally Equivalent",TRUE)</formula>
    </cfRule>
    <cfRule type="expression" dxfId="6457" priority="999">
      <formula>IF(V74="Likely to become compliant",TRUE)</formula>
    </cfRule>
    <cfRule type="expression" dxfId="6456" priority="1000">
      <formula>IF(V74="Partly Compliant",TRUE)</formula>
    </cfRule>
    <cfRule type="expression" dxfId="6455" priority="1001">
      <formula>IF(V74="Unknown/Missing",TRUE)</formula>
    </cfRule>
    <cfRule type="expression" dxfId="6454" priority="1002">
      <formula>IF(V74="Not Required/Applicable",TRUE)</formula>
    </cfRule>
    <cfRule type="expression" dxfId="6453" priority="1003">
      <formula>IF(V74="Not Compliant",TRUE)</formula>
    </cfRule>
    <cfRule type="expression" dxfId="6452" priority="1004">
      <formula>IF($N74=" ",TRUE)</formula>
    </cfRule>
  </conditionalFormatting>
  <conditionalFormatting sqref="V78">
    <cfRule type="expression" dxfId="6451" priority="934">
      <formula>IF(V78="Compliant",TRUE)</formula>
    </cfRule>
    <cfRule type="expression" dxfId="6450" priority="935">
      <formula>IF(V78="FE with work-a-round",TRUE)</formula>
    </cfRule>
    <cfRule type="expression" dxfId="6449" priority="936">
      <formula>IF(V78="Functionally Equivalent",TRUE)</formula>
    </cfRule>
    <cfRule type="expression" dxfId="6448" priority="937">
      <formula>IF(V78="Likely to become compliant",TRUE)</formula>
    </cfRule>
    <cfRule type="expression" dxfId="6447" priority="938">
      <formula>IF(V78="Partly Compliant",TRUE)</formula>
    </cfRule>
    <cfRule type="expression" dxfId="6446" priority="939">
      <formula>IF(V78="Unknown/Missing",TRUE)</formula>
    </cfRule>
    <cfRule type="expression" dxfId="6445" priority="940">
      <formula>IF(V78="Not Required/Applicable",TRUE)</formula>
    </cfRule>
    <cfRule type="expression" dxfId="6444" priority="941">
      <formula>IF(V78="Not Compliant",TRUE)</formula>
    </cfRule>
    <cfRule type="expression" dxfId="6443" priority="942">
      <formula>IF($N78=" ",TRUE)</formula>
    </cfRule>
  </conditionalFormatting>
  <conditionalFormatting sqref="V81">
    <cfRule type="expression" dxfId="6442" priority="883">
      <formula>IF(V81="Compliant",TRUE)</formula>
    </cfRule>
    <cfRule type="expression" dxfId="6441" priority="884">
      <formula>IF(V81="FE with work-a-round",TRUE)</formula>
    </cfRule>
    <cfRule type="expression" dxfId="6440" priority="885">
      <formula>IF(V81="Functionally Equivalent",TRUE)</formula>
    </cfRule>
    <cfRule type="expression" dxfId="6439" priority="886">
      <formula>IF(V81="Likely to become compliant",TRUE)</formula>
    </cfRule>
    <cfRule type="expression" dxfId="6438" priority="887">
      <formula>IF(V81="Partly Compliant",TRUE)</formula>
    </cfRule>
    <cfRule type="expression" dxfId="6437" priority="888">
      <formula>IF(V81="Unknown/Missing",TRUE)</formula>
    </cfRule>
    <cfRule type="expression" dxfId="6436" priority="889">
      <formula>IF(V81="Not Required/Applicable",TRUE)</formula>
    </cfRule>
    <cfRule type="expression" dxfId="6435" priority="890">
      <formula>IF(V81="Not Compliant",TRUE)</formula>
    </cfRule>
    <cfRule type="expression" dxfId="6434" priority="891">
      <formula>IF($N81=" ",TRUE)</formula>
    </cfRule>
  </conditionalFormatting>
  <conditionalFormatting sqref="V85">
    <cfRule type="expression" dxfId="6433" priority="832">
      <formula>IF(V85="Compliant",TRUE)</formula>
    </cfRule>
    <cfRule type="expression" dxfId="6432" priority="833">
      <formula>IF(V85="FE with work-a-round",TRUE)</formula>
    </cfRule>
    <cfRule type="expression" dxfId="6431" priority="834">
      <formula>IF(V85="Functionally Equivalent",TRUE)</formula>
    </cfRule>
    <cfRule type="expression" dxfId="6430" priority="835">
      <formula>IF(V85="Likely to become compliant",TRUE)</formula>
    </cfRule>
    <cfRule type="expression" dxfId="6429" priority="836">
      <formula>IF(V85="Partly Compliant",TRUE)</formula>
    </cfRule>
    <cfRule type="expression" dxfId="6428" priority="837">
      <formula>IF(V85="Unknown/Missing",TRUE)</formula>
    </cfRule>
    <cfRule type="expression" dxfId="6427" priority="838">
      <formula>IF(V85="Not Required/Applicable",TRUE)</formula>
    </cfRule>
    <cfRule type="expression" dxfId="6426" priority="839">
      <formula>IF(V85="Not Compliant",TRUE)</formula>
    </cfRule>
    <cfRule type="expression" dxfId="6425" priority="840">
      <formula>IF($N85=" ",TRUE)</formula>
    </cfRule>
  </conditionalFormatting>
  <conditionalFormatting sqref="V88">
    <cfRule type="expression" dxfId="6424" priority="781">
      <formula>IF(V88="Compliant",TRUE)</formula>
    </cfRule>
    <cfRule type="expression" dxfId="6423" priority="782">
      <formula>IF(V88="FE with work-a-round",TRUE)</formula>
    </cfRule>
    <cfRule type="expression" dxfId="6422" priority="783">
      <formula>IF(V88="Functionally Equivalent",TRUE)</formula>
    </cfRule>
    <cfRule type="expression" dxfId="6421" priority="784">
      <formula>IF(V88="Likely to become compliant",TRUE)</formula>
    </cfRule>
    <cfRule type="expression" dxfId="6420" priority="785">
      <formula>IF(V88="Partly Compliant",TRUE)</formula>
    </cfRule>
    <cfRule type="expression" dxfId="6419" priority="786">
      <formula>IF(V88="Unknown/Missing",TRUE)</formula>
    </cfRule>
    <cfRule type="expression" dxfId="6418" priority="787">
      <formula>IF(V88="Not Required/Applicable",TRUE)</formula>
    </cfRule>
    <cfRule type="expression" dxfId="6417" priority="788">
      <formula>IF(V88="Not Compliant",TRUE)</formula>
    </cfRule>
    <cfRule type="expression" dxfId="6416" priority="789">
      <formula>IF($N88=" ",TRUE)</formula>
    </cfRule>
  </conditionalFormatting>
  <conditionalFormatting sqref="V91">
    <cfRule type="expression" dxfId="6415" priority="730">
      <formula>IF(V91="Compliant",TRUE)</formula>
    </cfRule>
    <cfRule type="expression" dxfId="6414" priority="731">
      <formula>IF(V91="FE with work-a-round",TRUE)</formula>
    </cfRule>
    <cfRule type="expression" dxfId="6413" priority="732">
      <formula>IF(V91="Functionally Equivalent",TRUE)</formula>
    </cfRule>
    <cfRule type="expression" dxfId="6412" priority="733">
      <formula>IF(V91="Likely to become compliant",TRUE)</formula>
    </cfRule>
    <cfRule type="expression" dxfId="6411" priority="734">
      <formula>IF(V91="Partly Compliant",TRUE)</formula>
    </cfRule>
    <cfRule type="expression" dxfId="6410" priority="735">
      <formula>IF(V91="Unknown/Missing",TRUE)</formula>
    </cfRule>
    <cfRule type="expression" dxfId="6409" priority="736">
      <formula>IF(V91="Not Required/Applicable",TRUE)</formula>
    </cfRule>
    <cfRule type="expression" dxfId="6408" priority="737">
      <formula>IF(V91="Not Compliant",TRUE)</formula>
    </cfRule>
    <cfRule type="expression" dxfId="6407" priority="738">
      <formula>IF($N91=" ",TRUE)</formula>
    </cfRule>
  </conditionalFormatting>
  <conditionalFormatting sqref="V101">
    <cfRule type="expression" dxfId="6406" priority="669">
      <formula>IF(V101="Compliant",TRUE)</formula>
    </cfRule>
    <cfRule type="expression" dxfId="6405" priority="670">
      <formula>IF(V101="FE with work-a-round",TRUE)</formula>
    </cfRule>
    <cfRule type="expression" dxfId="6404" priority="671">
      <formula>IF(V101="Functionally Equivalent",TRUE)</formula>
    </cfRule>
    <cfRule type="expression" dxfId="6403" priority="672">
      <formula>IF(V101="Likely to become compliant",TRUE)</formula>
    </cfRule>
    <cfRule type="expression" dxfId="6402" priority="673">
      <formula>IF(V101="Partly Compliant",TRUE)</formula>
    </cfRule>
    <cfRule type="expression" dxfId="6401" priority="674">
      <formula>IF(V101="Unknown/Missing",TRUE)</formula>
    </cfRule>
    <cfRule type="expression" dxfId="6400" priority="675">
      <formula>IF(V101="Not Required/Applicable",TRUE)</formula>
    </cfRule>
    <cfRule type="expression" dxfId="6399" priority="676">
      <formula>IF(V101="Not Compliant",TRUE)</formula>
    </cfRule>
    <cfRule type="expression" dxfId="6398" priority="677">
      <formula>IF($N101=" ",TRUE)</formula>
    </cfRule>
  </conditionalFormatting>
  <conditionalFormatting sqref="V113">
    <cfRule type="expression" dxfId="6397" priority="628">
      <formula>IF(W113=FALSE,TRUE,FALSE)</formula>
    </cfRule>
    <cfRule type="expression" dxfId="6396" priority="629">
      <formula>IF(W113=TRUE,TRUE,FALSE)</formula>
    </cfRule>
  </conditionalFormatting>
  <conditionalFormatting sqref="V114">
    <cfRule type="expression" dxfId="6395" priority="608">
      <formula>IF(V114="Compliant",TRUE)</formula>
    </cfRule>
    <cfRule type="expression" dxfId="6394" priority="609">
      <formula>IF(V114="FE with work-a-round",TRUE)</formula>
    </cfRule>
    <cfRule type="expression" dxfId="6393" priority="610">
      <formula>IF(V114="Functionally Equivalent",TRUE)</formula>
    </cfRule>
    <cfRule type="expression" dxfId="6392" priority="611">
      <formula>IF(V114="Likely to become compliant",TRUE)</formula>
    </cfRule>
    <cfRule type="expression" dxfId="6391" priority="612">
      <formula>IF(V114="Partly Compliant",TRUE)</formula>
    </cfRule>
    <cfRule type="expression" dxfId="6390" priority="613">
      <formula>IF(V114="Unknown/Missing",TRUE)</formula>
    </cfRule>
    <cfRule type="expression" dxfId="6389" priority="614">
      <formula>IF(V114="Not Required/Applicable",TRUE)</formula>
    </cfRule>
    <cfRule type="expression" dxfId="6388" priority="615">
      <formula>IF(V114="Not Compliant",TRUE)</formula>
    </cfRule>
    <cfRule type="expression" dxfId="6387" priority="616">
      <formula>IF($N114=" ",TRUE)</formula>
    </cfRule>
  </conditionalFormatting>
  <conditionalFormatting sqref="V117">
    <cfRule type="expression" dxfId="6386" priority="23">
      <formula>IF(V117="Compliant",TRUE)</formula>
    </cfRule>
    <cfRule type="expression" dxfId="6385" priority="24">
      <formula>IF(V117="FE with work-a-round",TRUE)</formula>
    </cfRule>
    <cfRule type="expression" dxfId="6384" priority="25">
      <formula>IF(V117="Functionally Equivalent",TRUE)</formula>
    </cfRule>
    <cfRule type="expression" dxfId="6383" priority="26">
      <formula>IF(V117="Likely to become compliant",TRUE)</formula>
    </cfRule>
    <cfRule type="expression" dxfId="6382" priority="27">
      <formula>IF(V117="Partly Compliant",TRUE)</formula>
    </cfRule>
    <cfRule type="expression" dxfId="6381" priority="28">
      <formula>IF(V117="Unknown/Missing",TRUE)</formula>
    </cfRule>
    <cfRule type="expression" dxfId="6380" priority="29">
      <formula>IF(V117="Not Required/Applicable",TRUE)</formula>
    </cfRule>
    <cfRule type="expression" dxfId="6379" priority="30">
      <formula>IF(V117="Not Compliant",TRUE)</formula>
    </cfRule>
    <cfRule type="expression" dxfId="6378" priority="31">
      <formula>IF($N117=" ",TRUE)</formula>
    </cfRule>
  </conditionalFormatting>
  <conditionalFormatting sqref="V124">
    <cfRule type="expression" dxfId="6377" priority="59">
      <formula>IF(V124="Compliant",TRUE)</formula>
    </cfRule>
    <cfRule type="expression" dxfId="6376" priority="60">
      <formula>IF(V124="FE with work-a-round",TRUE)</formula>
    </cfRule>
    <cfRule type="expression" dxfId="6375" priority="61">
      <formula>IF(V124="Functionally Equivalent",TRUE)</formula>
    </cfRule>
    <cfRule type="expression" dxfId="6374" priority="62">
      <formula>IF(V124="Likely to become compliant",TRUE)</formula>
    </cfRule>
    <cfRule type="expression" dxfId="6373" priority="63">
      <formula>IF(V124="Partly Compliant",TRUE)</formula>
    </cfRule>
    <cfRule type="expression" dxfId="6372" priority="64">
      <formula>IF(V124="Unknown/Missing",TRUE)</formula>
    </cfRule>
    <cfRule type="expression" dxfId="6371" priority="65">
      <formula>IF(V124="Not Required/Applicable",TRUE)</formula>
    </cfRule>
    <cfRule type="expression" dxfId="6370" priority="66">
      <formula>IF(V124="Not Compliant",TRUE)</formula>
    </cfRule>
    <cfRule type="expression" dxfId="6369" priority="67">
      <formula>IF($N124=" ",TRUE)</formula>
    </cfRule>
  </conditionalFormatting>
  <conditionalFormatting sqref="V131">
    <cfRule type="expression" dxfId="6368" priority="520">
      <formula>IF(V131="Compliant",TRUE)</formula>
    </cfRule>
    <cfRule type="expression" dxfId="6367" priority="521">
      <formula>IF(V131="FE with work-a-round",TRUE)</formula>
    </cfRule>
    <cfRule type="expression" dxfId="6366" priority="522">
      <formula>IF(V131="Functionally Equivalent",TRUE)</formula>
    </cfRule>
    <cfRule type="expression" dxfId="6365" priority="523">
      <formula>IF(V131="Likely to become compliant",TRUE)</formula>
    </cfRule>
    <cfRule type="expression" dxfId="6364" priority="524">
      <formula>IF(V131="Partly Compliant",TRUE)</formula>
    </cfRule>
    <cfRule type="expression" dxfId="6363" priority="525">
      <formula>IF(V131="Unknown/Missing",TRUE)</formula>
    </cfRule>
    <cfRule type="expression" dxfId="6362" priority="526">
      <formula>IF(V131="Not Required/Applicable",TRUE)</formula>
    </cfRule>
    <cfRule type="expression" dxfId="6361" priority="527">
      <formula>IF(V131="Not Compliant",TRUE)</formula>
    </cfRule>
    <cfRule type="expression" dxfId="6360" priority="528">
      <formula>IF($N131=" ",TRUE)</formula>
    </cfRule>
  </conditionalFormatting>
  <conditionalFormatting sqref="V135">
    <cfRule type="expression" dxfId="6359" priority="497">
      <formula>IF(W135=FALSE,TRUE,FALSE)</formula>
    </cfRule>
    <cfRule type="expression" dxfId="6358" priority="498">
      <formula>IF(W135=TRUE,TRUE,FALSE)</formula>
    </cfRule>
  </conditionalFormatting>
  <conditionalFormatting sqref="V136">
    <cfRule type="expression" dxfId="6357" priority="477">
      <formula>IF(V136="Compliant",TRUE)</formula>
    </cfRule>
    <cfRule type="expression" dxfId="6356" priority="478">
      <formula>IF(V136="FE with work-a-round",TRUE)</formula>
    </cfRule>
    <cfRule type="expression" dxfId="6355" priority="479">
      <formula>IF(V136="Functionally Equivalent",TRUE)</formula>
    </cfRule>
    <cfRule type="expression" dxfId="6354" priority="480">
      <formula>IF(V136="Likely to become compliant",TRUE)</formula>
    </cfRule>
    <cfRule type="expression" dxfId="6353" priority="481">
      <formula>IF(V136="Partly Compliant",TRUE)</formula>
    </cfRule>
    <cfRule type="expression" dxfId="6352" priority="482">
      <formula>IF(V136="Unknown/Missing",TRUE)</formula>
    </cfRule>
    <cfRule type="expression" dxfId="6351" priority="483">
      <formula>IF(V136="Not Required/Applicable",TRUE)</formula>
    </cfRule>
    <cfRule type="expression" dxfId="6350" priority="484">
      <formula>IF(V136="Not Compliant",TRUE)</formula>
    </cfRule>
    <cfRule type="expression" dxfId="6349" priority="485">
      <formula>IF($N136=" ",TRUE)</formula>
    </cfRule>
  </conditionalFormatting>
  <conditionalFormatting sqref="V140">
    <cfRule type="expression" dxfId="6348" priority="445">
      <formula>IF(W140=FALSE,TRUE,FALSE)</formula>
    </cfRule>
    <cfRule type="expression" dxfId="6347" priority="446">
      <formula>IF(W140=TRUE,TRUE,FALSE)</formula>
    </cfRule>
  </conditionalFormatting>
  <conditionalFormatting sqref="V141">
    <cfRule type="expression" dxfId="6346" priority="425">
      <formula>IF(V141="Compliant",TRUE)</formula>
    </cfRule>
    <cfRule type="expression" dxfId="6345" priority="426">
      <formula>IF(V141="FE with work-a-round",TRUE)</formula>
    </cfRule>
    <cfRule type="expression" dxfId="6344" priority="427">
      <formula>IF(V141="Functionally Equivalent",TRUE)</formula>
    </cfRule>
    <cfRule type="expression" dxfId="6343" priority="428">
      <formula>IF(V141="Likely to become compliant",TRUE)</formula>
    </cfRule>
    <cfRule type="expression" dxfId="6342" priority="429">
      <formula>IF(V141="Partly Compliant",TRUE)</formula>
    </cfRule>
    <cfRule type="expression" dxfId="6341" priority="430">
      <formula>IF(V141="Unknown/Missing",TRUE)</formula>
    </cfRule>
    <cfRule type="expression" dxfId="6340" priority="431">
      <formula>IF(V141="Not Required/Applicable",TRUE)</formula>
    </cfRule>
    <cfRule type="expression" dxfId="6339" priority="432">
      <formula>IF(V141="Not Compliant",TRUE)</formula>
    </cfRule>
    <cfRule type="expression" dxfId="6338" priority="433">
      <formula>IF($N141=" ",TRUE)</formula>
    </cfRule>
  </conditionalFormatting>
  <conditionalFormatting sqref="V152">
    <cfRule type="expression" dxfId="6337" priority="392">
      <formula>IF(V152="Compliant",TRUE)</formula>
    </cfRule>
    <cfRule type="expression" dxfId="6336" priority="393">
      <formula>IF(V152="FE with work-a-round",TRUE)</formula>
    </cfRule>
    <cfRule type="expression" dxfId="6335" priority="394">
      <formula>IF(V152="Functionally Equivalent",TRUE)</formula>
    </cfRule>
    <cfRule type="expression" dxfId="6334" priority="395">
      <formula>IF(V152="Likely to become compliant",TRUE)</formula>
    </cfRule>
    <cfRule type="expression" dxfId="6333" priority="396">
      <formula>IF(V152="Partly Compliant",TRUE)</formula>
    </cfRule>
    <cfRule type="expression" dxfId="6332" priority="397">
      <formula>IF(V152="Unknown/Missing",TRUE)</formula>
    </cfRule>
    <cfRule type="expression" dxfId="6331" priority="398">
      <formula>IF(V152="Not Required/Applicable",TRUE)</formula>
    </cfRule>
    <cfRule type="expression" dxfId="6330" priority="399">
      <formula>IF(V152="Not Compliant",TRUE)</formula>
    </cfRule>
    <cfRule type="expression" dxfId="6329" priority="400">
      <formula>IF($N152=" ",TRUE)</formula>
    </cfRule>
  </conditionalFormatting>
  <conditionalFormatting sqref="V163">
    <cfRule type="expression" dxfId="6328" priority="359">
      <formula>IF(V163="Compliant",TRUE)</formula>
    </cfRule>
    <cfRule type="expression" dxfId="6327" priority="360">
      <formula>IF(V163="FE with work-a-round",TRUE)</formula>
    </cfRule>
    <cfRule type="expression" dxfId="6326" priority="361">
      <formula>IF(V163="Functionally Equivalent",TRUE)</formula>
    </cfRule>
    <cfRule type="expression" dxfId="6325" priority="362">
      <formula>IF(V163="Likely to become compliant",TRUE)</formula>
    </cfRule>
    <cfRule type="expression" dxfId="6324" priority="363">
      <formula>IF(V163="Partly Compliant",TRUE)</formula>
    </cfRule>
    <cfRule type="expression" dxfId="6323" priority="364">
      <formula>IF(V163="Unknown/Missing",TRUE)</formula>
    </cfRule>
    <cfRule type="expression" dxfId="6322" priority="365">
      <formula>IF(V163="Not Required/Applicable",TRUE)</formula>
    </cfRule>
    <cfRule type="expression" dxfId="6321" priority="366">
      <formula>IF(V163="Not Compliant",TRUE)</formula>
    </cfRule>
    <cfRule type="expression" dxfId="6320" priority="367">
      <formula>IF($N163=" ",TRUE)</formula>
    </cfRule>
  </conditionalFormatting>
  <conditionalFormatting sqref="V189:V190">
    <cfRule type="expression" dxfId="6319" priority="327">
      <formula>IF(W189=FALSE,TRUE,FALSE)</formula>
    </cfRule>
    <cfRule type="expression" dxfId="6318" priority="328">
      <formula>IF(W189=TRUE,TRUE,FALSE)</formula>
    </cfRule>
  </conditionalFormatting>
  <conditionalFormatting sqref="V191">
    <cfRule type="expression" dxfId="6317" priority="307">
      <formula>IF(V191="Compliant",TRUE)</formula>
    </cfRule>
    <cfRule type="expression" dxfId="6316" priority="308">
      <formula>IF(V191="FE with work-a-round",TRUE)</formula>
    </cfRule>
    <cfRule type="expression" dxfId="6315" priority="309">
      <formula>IF(V191="Functionally Equivalent",TRUE)</formula>
    </cfRule>
    <cfRule type="expression" dxfId="6314" priority="310">
      <formula>IF(V191="Likely to become compliant",TRUE)</formula>
    </cfRule>
    <cfRule type="expression" dxfId="6313" priority="311">
      <formula>IF(V191="Partly Compliant",TRUE)</formula>
    </cfRule>
    <cfRule type="expression" dxfId="6312" priority="312">
      <formula>IF(V191="Unknown/Missing",TRUE)</formula>
    </cfRule>
    <cfRule type="expression" dxfId="6311" priority="313">
      <formula>IF(V191="Not Required/Applicable",TRUE)</formula>
    </cfRule>
    <cfRule type="expression" dxfId="6310" priority="314">
      <formula>IF(V191="Not Compliant",TRUE)</formula>
    </cfRule>
    <cfRule type="expression" dxfId="6309" priority="315">
      <formula>IF($N191=" ",TRUE)</formula>
    </cfRule>
  </conditionalFormatting>
  <conditionalFormatting sqref="V194">
    <cfRule type="expression" dxfId="6308" priority="274">
      <formula>IF(V194="Compliant",TRUE)</formula>
    </cfRule>
    <cfRule type="expression" dxfId="6307" priority="275">
      <formula>IF(V194="FE with work-a-round",TRUE)</formula>
    </cfRule>
    <cfRule type="expression" dxfId="6306" priority="276">
      <formula>IF(V194="Functionally Equivalent",TRUE)</formula>
    </cfRule>
    <cfRule type="expression" dxfId="6305" priority="277">
      <formula>IF(V194="Likely to become compliant",TRUE)</formula>
    </cfRule>
    <cfRule type="expression" dxfId="6304" priority="278">
      <formula>IF(V194="Partly Compliant",TRUE)</formula>
    </cfRule>
    <cfRule type="expression" dxfId="6303" priority="279">
      <formula>IF(V194="Unknown/Missing",TRUE)</formula>
    </cfRule>
    <cfRule type="expression" dxfId="6302" priority="280">
      <formula>IF(V194="Not Required/Applicable",TRUE)</formula>
    </cfRule>
    <cfRule type="expression" dxfId="6301" priority="281">
      <formula>IF(V194="Not Compliant",TRUE)</formula>
    </cfRule>
    <cfRule type="expression" dxfId="6300" priority="282">
      <formula>IF($N194=" ",TRUE)</formula>
    </cfRule>
  </conditionalFormatting>
  <conditionalFormatting sqref="V202">
    <cfRule type="expression" dxfId="6299" priority="241">
      <formula>IF(V202="Compliant",TRUE)</formula>
    </cfRule>
    <cfRule type="expression" dxfId="6298" priority="242">
      <formula>IF(V202="FE with work-a-round",TRUE)</formula>
    </cfRule>
    <cfRule type="expression" dxfId="6297" priority="243">
      <formula>IF(V202="Functionally Equivalent",TRUE)</formula>
    </cfRule>
    <cfRule type="expression" dxfId="6296" priority="244">
      <formula>IF(V202="Likely to become compliant",TRUE)</formula>
    </cfRule>
    <cfRule type="expression" dxfId="6295" priority="245">
      <formula>IF(V202="Partly Compliant",TRUE)</formula>
    </cfRule>
    <cfRule type="expression" dxfId="6294" priority="246">
      <formula>IF(V202="Unknown/Missing",TRUE)</formula>
    </cfRule>
    <cfRule type="expression" dxfId="6293" priority="247">
      <formula>IF(V202="Not Required/Applicable",TRUE)</formula>
    </cfRule>
    <cfRule type="expression" dxfId="6292" priority="248">
      <formula>IF(V202="Not Compliant",TRUE)</formula>
    </cfRule>
    <cfRule type="expression" dxfId="6291" priority="249">
      <formula>IF($N202=" ",TRUE)</formula>
    </cfRule>
  </conditionalFormatting>
  <conditionalFormatting sqref="V208">
    <cfRule type="expression" dxfId="6290" priority="208">
      <formula>IF(V208="Compliant",TRUE)</formula>
    </cfRule>
    <cfRule type="expression" dxfId="6289" priority="209">
      <formula>IF(V208="FE with work-a-round",TRUE)</formula>
    </cfRule>
    <cfRule type="expression" dxfId="6288" priority="210">
      <formula>IF(V208="Functionally Equivalent",TRUE)</formula>
    </cfRule>
    <cfRule type="expression" dxfId="6287" priority="211">
      <formula>IF(V208="Likely to become compliant",TRUE)</formula>
    </cfRule>
    <cfRule type="expression" dxfId="6286" priority="212">
      <formula>IF(V208="Partly Compliant",TRUE)</formula>
    </cfRule>
    <cfRule type="expression" dxfId="6285" priority="213">
      <formula>IF(V208="Unknown/Missing",TRUE)</formula>
    </cfRule>
    <cfRule type="expression" dxfId="6284" priority="214">
      <formula>IF(V208="Not Required/Applicable",TRUE)</formula>
    </cfRule>
    <cfRule type="expression" dxfId="6283" priority="215">
      <formula>IF(V208="Not Compliant",TRUE)</formula>
    </cfRule>
    <cfRule type="expression" dxfId="6282" priority="216">
      <formula>IF($N208=" ",TRUE)</formula>
    </cfRule>
  </conditionalFormatting>
  <conditionalFormatting sqref="V29:W29">
    <cfRule type="containsText" dxfId="6281" priority="3092" operator="containsText" text="Applicable">
      <formula>NOT(ISERROR(SEARCH("Applicable",V29)))</formula>
    </cfRule>
    <cfRule type="containsText" dxfId="6280" priority="3093" operator="containsText" text="Functionally">
      <formula>NOT(ISERROR(SEARCH("Functionally",V29)))</formula>
    </cfRule>
    <cfRule type="containsText" dxfId="6279" priority="3094" operator="containsText" text="Not Compliant">
      <formula>NOT(ISERROR(SEARCH("Not Compliant",V29)))</formula>
    </cfRule>
    <cfRule type="containsText" dxfId="6278" priority="3095" operator="containsText" text="Compliant">
      <formula>NOT(ISERROR(SEARCH("Compliant",V29)))</formula>
    </cfRule>
  </conditionalFormatting>
  <conditionalFormatting sqref="V61:W61 V132:W132 V134:W134 V186:W186 V188:W188">
    <cfRule type="containsText" dxfId="6277" priority="3148" operator="containsText" text="Applicable">
      <formula>NOT(ISERROR(SEARCH("Applicable",V61)))</formula>
    </cfRule>
    <cfRule type="containsText" dxfId="6276" priority="3149" operator="containsText" text="Functionally">
      <formula>NOT(ISERROR(SEARCH("Functionally",V61)))</formula>
    </cfRule>
    <cfRule type="containsText" dxfId="6275" priority="3150" operator="containsText" text="Not Compliant">
      <formula>NOT(ISERROR(SEARCH("Not Compliant",V61)))</formula>
    </cfRule>
    <cfRule type="containsText" dxfId="6274" priority="3151" operator="containsText" text="Compliant">
      <formula>NOT(ISERROR(SEARCH("Compliant",V61)))</formula>
    </cfRule>
  </conditionalFormatting>
  <conditionalFormatting sqref="W50">
    <cfRule type="containsText" dxfId="6273" priority="2129" operator="containsText" text="Applicable">
      <formula>NOT(ISERROR(SEARCH("Applicable",W50)))</formula>
    </cfRule>
    <cfRule type="containsText" dxfId="6272" priority="2130" operator="containsText" text="Functionally">
      <formula>NOT(ISERROR(SEARCH("Functionally",W50)))</formula>
    </cfRule>
    <cfRule type="containsText" dxfId="6271" priority="2131" operator="containsText" text="Not Compliant">
      <formula>NOT(ISERROR(SEARCH("Not Compliant",W50)))</formula>
    </cfRule>
    <cfRule type="containsText" dxfId="6270" priority="2132" operator="containsText" text="Compliant">
      <formula>NOT(ISERROR(SEARCH("Compliant",W50)))</formula>
    </cfRule>
  </conditionalFormatting>
  <conditionalFormatting sqref="W62">
    <cfRule type="containsText" dxfId="6269" priority="1105" operator="containsText" text="Applicable">
      <formula>NOT(ISERROR(SEARCH("Applicable",W62)))</formula>
    </cfRule>
    <cfRule type="containsText" dxfId="6268" priority="1106" operator="containsText" text="Functionally">
      <formula>NOT(ISERROR(SEARCH("Functionally",W62)))</formula>
    </cfRule>
    <cfRule type="containsText" dxfId="6267" priority="1107" operator="containsText" text="Not Compliant">
      <formula>NOT(ISERROR(SEARCH("Not Compliant",W62)))</formula>
    </cfRule>
    <cfRule type="containsText" dxfId="6266" priority="1108" operator="containsText" text="Compliant">
      <formula>NOT(ISERROR(SEARCH("Compliant",W62)))</formula>
    </cfRule>
  </conditionalFormatting>
  <conditionalFormatting sqref="W74">
    <cfRule type="containsText" dxfId="6265" priority="1044" operator="containsText" text="Applicable">
      <formula>NOT(ISERROR(SEARCH("Applicable",W74)))</formula>
    </cfRule>
    <cfRule type="containsText" dxfId="6264" priority="1045" operator="containsText" text="Functionally">
      <formula>NOT(ISERROR(SEARCH("Functionally",W74)))</formula>
    </cfRule>
    <cfRule type="containsText" dxfId="6263" priority="1046" operator="containsText" text="Not Compliant">
      <formula>NOT(ISERROR(SEARCH("Not Compliant",W74)))</formula>
    </cfRule>
    <cfRule type="containsText" dxfId="6262" priority="1047" operator="containsText" text="Compliant">
      <formula>NOT(ISERROR(SEARCH("Compliant",W74)))</formula>
    </cfRule>
  </conditionalFormatting>
  <conditionalFormatting sqref="W78">
    <cfRule type="containsText" dxfId="6261" priority="972" operator="containsText" text="Applicable">
      <formula>NOT(ISERROR(SEARCH("Applicable",W78)))</formula>
    </cfRule>
    <cfRule type="containsText" dxfId="6260" priority="973" operator="containsText" text="Functionally">
      <formula>NOT(ISERROR(SEARCH("Functionally",W78)))</formula>
    </cfRule>
    <cfRule type="containsText" dxfId="6259" priority="974" operator="containsText" text="Not Compliant">
      <formula>NOT(ISERROR(SEARCH("Not Compliant",W78)))</formula>
    </cfRule>
    <cfRule type="containsText" dxfId="6258" priority="975" operator="containsText" text="Compliant">
      <formula>NOT(ISERROR(SEARCH("Compliant",W78)))</formula>
    </cfRule>
  </conditionalFormatting>
  <conditionalFormatting sqref="W81">
    <cfRule type="containsText" dxfId="6257" priority="921" operator="containsText" text="Applicable">
      <formula>NOT(ISERROR(SEARCH("Applicable",W81)))</formula>
    </cfRule>
    <cfRule type="containsText" dxfId="6256" priority="922" operator="containsText" text="Functionally">
      <formula>NOT(ISERROR(SEARCH("Functionally",W81)))</formula>
    </cfRule>
    <cfRule type="containsText" dxfId="6255" priority="923" operator="containsText" text="Not Compliant">
      <formula>NOT(ISERROR(SEARCH("Not Compliant",W81)))</formula>
    </cfRule>
    <cfRule type="containsText" dxfId="6254" priority="924" operator="containsText" text="Compliant">
      <formula>NOT(ISERROR(SEARCH("Compliant",W81)))</formula>
    </cfRule>
  </conditionalFormatting>
  <conditionalFormatting sqref="W85">
    <cfRule type="containsText" dxfId="6253" priority="870" operator="containsText" text="Applicable">
      <formula>NOT(ISERROR(SEARCH("Applicable",W85)))</formula>
    </cfRule>
    <cfRule type="containsText" dxfId="6252" priority="871" operator="containsText" text="Functionally">
      <formula>NOT(ISERROR(SEARCH("Functionally",W85)))</formula>
    </cfRule>
    <cfRule type="containsText" dxfId="6251" priority="872" operator="containsText" text="Not Compliant">
      <formula>NOT(ISERROR(SEARCH("Not Compliant",W85)))</formula>
    </cfRule>
    <cfRule type="containsText" dxfId="6250" priority="873" operator="containsText" text="Compliant">
      <formula>NOT(ISERROR(SEARCH("Compliant",W85)))</formula>
    </cfRule>
  </conditionalFormatting>
  <conditionalFormatting sqref="W88">
    <cfRule type="containsText" dxfId="6249" priority="819" operator="containsText" text="Applicable">
      <formula>NOT(ISERROR(SEARCH("Applicable",W88)))</formula>
    </cfRule>
    <cfRule type="containsText" dxfId="6248" priority="820" operator="containsText" text="Functionally">
      <formula>NOT(ISERROR(SEARCH("Functionally",W88)))</formula>
    </cfRule>
    <cfRule type="containsText" dxfId="6247" priority="821" operator="containsText" text="Not Compliant">
      <formula>NOT(ISERROR(SEARCH("Not Compliant",W88)))</formula>
    </cfRule>
    <cfRule type="containsText" dxfId="6246" priority="822" operator="containsText" text="Compliant">
      <formula>NOT(ISERROR(SEARCH("Compliant",W88)))</formula>
    </cfRule>
  </conditionalFormatting>
  <conditionalFormatting sqref="W91">
    <cfRule type="containsText" dxfId="6245" priority="768" operator="containsText" text="Applicable">
      <formula>NOT(ISERROR(SEARCH("Applicable",W91)))</formula>
    </cfRule>
    <cfRule type="containsText" dxfId="6244" priority="769" operator="containsText" text="Functionally">
      <formula>NOT(ISERROR(SEARCH("Functionally",W91)))</formula>
    </cfRule>
    <cfRule type="containsText" dxfId="6243" priority="770" operator="containsText" text="Not Compliant">
      <formula>NOT(ISERROR(SEARCH("Not Compliant",W91)))</formula>
    </cfRule>
    <cfRule type="containsText" dxfId="6242" priority="771" operator="containsText" text="Compliant">
      <formula>NOT(ISERROR(SEARCH("Compliant",W91)))</formula>
    </cfRule>
  </conditionalFormatting>
  <conditionalFormatting sqref="W101">
    <cfRule type="containsText" dxfId="6241" priority="717" operator="containsText" text="Applicable">
      <formula>NOT(ISERROR(SEARCH("Applicable",W101)))</formula>
    </cfRule>
    <cfRule type="containsText" dxfId="6240" priority="718" operator="containsText" text="Functionally">
      <formula>NOT(ISERROR(SEARCH("Functionally",W101)))</formula>
    </cfRule>
    <cfRule type="containsText" dxfId="6239" priority="719" operator="containsText" text="Not Compliant">
      <formula>NOT(ISERROR(SEARCH("Not Compliant",W101)))</formula>
    </cfRule>
    <cfRule type="containsText" dxfId="6238" priority="720" operator="containsText" text="Compliant">
      <formula>NOT(ISERROR(SEARCH("Compliant",W101)))</formula>
    </cfRule>
  </conditionalFormatting>
  <conditionalFormatting sqref="W114">
    <cfRule type="containsText" dxfId="6237" priority="656" operator="containsText" text="Applicable">
      <formula>NOT(ISERROR(SEARCH("Applicable",W114)))</formula>
    </cfRule>
    <cfRule type="containsText" dxfId="6236" priority="657" operator="containsText" text="Functionally">
      <formula>NOT(ISERROR(SEARCH("Functionally",W114)))</formula>
    </cfRule>
    <cfRule type="containsText" dxfId="6235" priority="658" operator="containsText" text="Not Compliant">
      <formula>NOT(ISERROR(SEARCH("Not Compliant",W114)))</formula>
    </cfRule>
    <cfRule type="containsText" dxfId="6234" priority="659" operator="containsText" text="Compliant">
      <formula>NOT(ISERROR(SEARCH("Compliant",W114)))</formula>
    </cfRule>
  </conditionalFormatting>
  <conditionalFormatting sqref="W136">
    <cfRule type="containsText" dxfId="6233" priority="507" operator="containsText" text="Applicable">
      <formula>NOT(ISERROR(SEARCH("Applicable",W136)))</formula>
    </cfRule>
    <cfRule type="containsText" dxfId="6232" priority="508" operator="containsText" text="Functionally">
      <formula>NOT(ISERROR(SEARCH("Functionally",W136)))</formula>
    </cfRule>
    <cfRule type="containsText" dxfId="6231" priority="509" operator="containsText" text="Not Compliant">
      <formula>NOT(ISERROR(SEARCH("Not Compliant",W136)))</formula>
    </cfRule>
    <cfRule type="containsText" dxfId="6230" priority="510" operator="containsText" text="Compliant">
      <formula>NOT(ISERROR(SEARCH("Compliant",W136)))</formula>
    </cfRule>
  </conditionalFormatting>
  <conditionalFormatting sqref="W141">
    <cfRule type="containsText" dxfId="6229" priority="455" operator="containsText" text="Applicable">
      <formula>NOT(ISERROR(SEARCH("Applicable",W141)))</formula>
    </cfRule>
    <cfRule type="containsText" dxfId="6228" priority="456" operator="containsText" text="Functionally">
      <formula>NOT(ISERROR(SEARCH("Functionally",W141)))</formula>
    </cfRule>
    <cfRule type="containsText" dxfId="6227" priority="457" operator="containsText" text="Not Compliant">
      <formula>NOT(ISERROR(SEARCH("Not Compliant",W141)))</formula>
    </cfRule>
    <cfRule type="containsText" dxfId="6226" priority="458" operator="containsText" text="Compliant">
      <formula>NOT(ISERROR(SEARCH("Compliant",W141)))</formula>
    </cfRule>
  </conditionalFormatting>
  <conditionalFormatting sqref="W152">
    <cfRule type="containsText" dxfId="6225" priority="412" operator="containsText" text="Applicable">
      <formula>NOT(ISERROR(SEARCH("Applicable",W152)))</formula>
    </cfRule>
    <cfRule type="containsText" dxfId="6224" priority="413" operator="containsText" text="Functionally">
      <formula>NOT(ISERROR(SEARCH("Functionally",W152)))</formula>
    </cfRule>
    <cfRule type="containsText" dxfId="6223" priority="414" operator="containsText" text="Not Compliant">
      <formula>NOT(ISERROR(SEARCH("Not Compliant",W152)))</formula>
    </cfRule>
    <cfRule type="containsText" dxfId="6222" priority="415" operator="containsText" text="Compliant">
      <formula>NOT(ISERROR(SEARCH("Compliant",W152)))</formula>
    </cfRule>
  </conditionalFormatting>
  <conditionalFormatting sqref="W163">
    <cfRule type="containsText" dxfId="6221" priority="379" operator="containsText" text="Applicable">
      <formula>NOT(ISERROR(SEARCH("Applicable",W163)))</formula>
    </cfRule>
    <cfRule type="containsText" dxfId="6220" priority="380" operator="containsText" text="Functionally">
      <formula>NOT(ISERROR(SEARCH("Functionally",W163)))</formula>
    </cfRule>
    <cfRule type="containsText" dxfId="6219" priority="381" operator="containsText" text="Not Compliant">
      <formula>NOT(ISERROR(SEARCH("Not Compliant",W163)))</formula>
    </cfRule>
    <cfRule type="containsText" dxfId="6218" priority="382" operator="containsText" text="Compliant">
      <formula>NOT(ISERROR(SEARCH("Compliant",W163)))</formula>
    </cfRule>
  </conditionalFormatting>
  <conditionalFormatting sqref="W191">
    <cfRule type="containsText" dxfId="6217" priority="355" operator="containsText" text="Applicable">
      <formula>NOT(ISERROR(SEARCH("Applicable",W191)))</formula>
    </cfRule>
    <cfRule type="containsText" dxfId="6216" priority="356" operator="containsText" text="Functionally">
      <formula>NOT(ISERROR(SEARCH("Functionally",W191)))</formula>
    </cfRule>
    <cfRule type="containsText" dxfId="6215" priority="357" operator="containsText" text="Not Compliant">
      <formula>NOT(ISERROR(SEARCH("Not Compliant",W191)))</formula>
    </cfRule>
    <cfRule type="containsText" dxfId="6214" priority="358" operator="containsText" text="Compliant">
      <formula>NOT(ISERROR(SEARCH("Compliant",W191)))</formula>
    </cfRule>
  </conditionalFormatting>
  <conditionalFormatting sqref="W194">
    <cfRule type="containsText" dxfId="6213" priority="294" operator="containsText" text="Applicable">
      <formula>NOT(ISERROR(SEARCH("Applicable",W194)))</formula>
    </cfRule>
    <cfRule type="containsText" dxfId="6212" priority="295" operator="containsText" text="Functionally">
      <formula>NOT(ISERROR(SEARCH("Functionally",W194)))</formula>
    </cfRule>
    <cfRule type="containsText" dxfId="6211" priority="296" operator="containsText" text="Not Compliant">
      <formula>NOT(ISERROR(SEARCH("Not Compliant",W194)))</formula>
    </cfRule>
    <cfRule type="containsText" dxfId="6210" priority="297" operator="containsText" text="Compliant">
      <formula>NOT(ISERROR(SEARCH("Compliant",W194)))</formula>
    </cfRule>
  </conditionalFormatting>
  <conditionalFormatting sqref="W202">
    <cfRule type="containsText" dxfId="6209" priority="261" operator="containsText" text="Applicable">
      <formula>NOT(ISERROR(SEARCH("Applicable",W202)))</formula>
    </cfRule>
    <cfRule type="containsText" dxfId="6208" priority="262" operator="containsText" text="Functionally">
      <formula>NOT(ISERROR(SEARCH("Functionally",W202)))</formula>
    </cfRule>
    <cfRule type="containsText" dxfId="6207" priority="263" operator="containsText" text="Not Compliant">
      <formula>NOT(ISERROR(SEARCH("Not Compliant",W202)))</formula>
    </cfRule>
    <cfRule type="containsText" dxfId="6206" priority="264" operator="containsText" text="Compliant">
      <formula>NOT(ISERROR(SEARCH("Compliant",W202)))</formula>
    </cfRule>
  </conditionalFormatting>
  <conditionalFormatting sqref="W208">
    <cfRule type="containsText" dxfId="6205" priority="228" operator="containsText" text="Applicable">
      <formula>NOT(ISERROR(SEARCH("Applicable",W208)))</formula>
    </cfRule>
    <cfRule type="containsText" dxfId="6204" priority="229" operator="containsText" text="Functionally">
      <formula>NOT(ISERROR(SEARCH("Functionally",W208)))</formula>
    </cfRule>
    <cfRule type="containsText" dxfId="6203" priority="230" operator="containsText" text="Not Compliant">
      <formula>NOT(ISERROR(SEARCH("Not Compliant",W208)))</formula>
    </cfRule>
    <cfRule type="containsText" dxfId="6202" priority="231" operator="containsText" text="Compliant">
      <formula>NOT(ISERROR(SEARCH("Compliant",W208)))</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92" id="{6FB3B695-7E3B-4171-98A7-700F593F89F3}">
            <xm:f>ISNUMBER(SEARCH($D9,Dropdowns!$D$18))</xm:f>
            <x14:dxf>
              <fill>
                <patternFill>
                  <bgColor rgb="FFFFFF00"/>
                </patternFill>
              </fill>
            </x14:dxf>
          </x14:cfRule>
          <x14:cfRule type="expression" priority="1493" id="{09B776D8-EA2A-4B8D-AEF7-48CBC18EDA4C}">
            <xm:f>ISNUMBER(SEARCH($D9,Dropdowns!$D$19))</xm:f>
            <x14:dxf>
              <fill>
                <patternFill>
                  <bgColor theme="6" tint="0.39994506668294322"/>
                </patternFill>
              </fill>
            </x14:dxf>
          </x14:cfRule>
          <x14:cfRule type="expression" priority="1494" id="{33E66C56-E698-4DC0-9E15-C32D1155854B}">
            <xm:f>ISNUMBER(SEARCH($D9,Dropdowns!$D$20))</xm:f>
            <x14:dxf>
              <fill>
                <patternFill>
                  <bgColor theme="6" tint="0.39994506668294322"/>
                </patternFill>
              </fill>
            </x14:dxf>
          </x14:cfRule>
          <x14:cfRule type="expression" priority="1495" id="{528B21C8-047F-4D0A-A3B8-27145F75EFE5}">
            <xm:f>ISNUMBER(SEARCH($D9,Dropdowns!$D$21))</xm:f>
            <x14:dxf>
              <fill>
                <patternFill>
                  <bgColor rgb="FFFFFF00"/>
                </patternFill>
              </fill>
            </x14:dxf>
          </x14:cfRule>
          <x14:cfRule type="expression" priority="1496" id="{71D7181D-2FEB-4C39-BF77-D32B4F7A14B7}">
            <xm:f>ISNUMBER(SEARCH($D9,Dropdowns!$D$23))</xm:f>
            <x14:dxf>
              <fill>
                <patternFill>
                  <bgColor rgb="FFFFFF00"/>
                </patternFill>
              </fill>
            </x14:dxf>
          </x14:cfRule>
          <xm:sqref>D9 D11:D12 D33:D37 D42:D45</xm:sqref>
        </x14:conditionalFormatting>
        <x14:conditionalFormatting xmlns:xm="http://schemas.microsoft.com/office/excel/2006/main">
          <x14:cfRule type="expression" priority="183" id="{EF9CB9A6-8215-4337-A03B-1D76716607F8}">
            <xm:f>ISNUMBER(SEARCH($D23,Dropdowns!$D$18))</xm:f>
            <x14:dxf>
              <fill>
                <patternFill>
                  <bgColor rgb="FFFFFF00"/>
                </patternFill>
              </fill>
            </x14:dxf>
          </x14:cfRule>
          <x14:cfRule type="expression" priority="184" id="{605F5DEE-EE66-47DA-9788-FBF2C2650446}">
            <xm:f>ISNUMBER(SEARCH($D23,Dropdowns!$D$19))</xm:f>
            <x14:dxf>
              <fill>
                <patternFill>
                  <bgColor theme="6" tint="0.39994506668294322"/>
                </patternFill>
              </fill>
            </x14:dxf>
          </x14:cfRule>
          <x14:cfRule type="expression" priority="185" id="{68DE5907-3483-40C9-AC9F-722B8480B9B8}">
            <xm:f>ISNUMBER(SEARCH($D23,Dropdowns!$D$20))</xm:f>
            <x14:dxf>
              <fill>
                <patternFill>
                  <bgColor theme="6" tint="0.39994506668294322"/>
                </patternFill>
              </fill>
            </x14:dxf>
          </x14:cfRule>
          <x14:cfRule type="expression" priority="186" id="{D309F942-382A-4661-8800-CBE64026DD64}">
            <xm:f>ISNUMBER(SEARCH($D23,Dropdowns!$D$21))</xm:f>
            <x14:dxf>
              <fill>
                <patternFill>
                  <bgColor rgb="FFFFFF00"/>
                </patternFill>
              </fill>
            </x14:dxf>
          </x14:cfRule>
          <x14:cfRule type="expression" priority="187" id="{A00A2C13-B026-4F05-91E7-2C2BB26923C2}">
            <xm:f>ISNUMBER(SEARCH($D23,Dropdowns!$D$23))</xm:f>
            <x14:dxf>
              <fill>
                <patternFill>
                  <bgColor rgb="FFFFFF00"/>
                </patternFill>
              </fill>
            </x14:dxf>
          </x14:cfRule>
          <xm:sqref>D23 D27</xm:sqref>
        </x14:conditionalFormatting>
        <x14:conditionalFormatting xmlns:xm="http://schemas.microsoft.com/office/excel/2006/main">
          <x14:cfRule type="expression" priority="1476" id="{57094833-565A-49CD-BE91-748935EFEE2A}">
            <xm:f>ISNUMBER(SEARCH($D51,Dropdowns!$D$18))</xm:f>
            <x14:dxf>
              <fill>
                <patternFill>
                  <bgColor rgb="FFFFFF00"/>
                </patternFill>
              </fill>
            </x14:dxf>
          </x14:cfRule>
          <x14:cfRule type="expression" priority="1477" id="{93ED8146-8DF2-4396-972A-124E84F1E3CC}">
            <xm:f>ISNUMBER(SEARCH($D51,Dropdowns!$D$19))</xm:f>
            <x14:dxf>
              <fill>
                <patternFill>
                  <bgColor theme="6" tint="0.39994506668294322"/>
                </patternFill>
              </fill>
            </x14:dxf>
          </x14:cfRule>
          <x14:cfRule type="expression" priority="1478" id="{61AFD5E2-1E9D-44AE-82B0-235DFB73BE84}">
            <xm:f>ISNUMBER(SEARCH($D51,Dropdowns!$D$20))</xm:f>
            <x14:dxf>
              <fill>
                <patternFill>
                  <bgColor theme="6" tint="0.39994506668294322"/>
                </patternFill>
              </fill>
            </x14:dxf>
          </x14:cfRule>
          <x14:cfRule type="expression" priority="1479" id="{794DF25C-C61A-494C-A188-2DF34F6D1718}">
            <xm:f>ISNUMBER(SEARCH($D51,Dropdowns!$D$21))</xm:f>
            <x14:dxf>
              <fill>
                <patternFill>
                  <bgColor rgb="FFFFFF00"/>
                </patternFill>
              </fill>
            </x14:dxf>
          </x14:cfRule>
          <x14:cfRule type="expression" priority="1480" id="{9F34DF11-A838-4CEE-9255-B19B506F7BAB}">
            <xm:f>ISNUMBER(SEARCH($D51,Dropdowns!$D$23))</xm:f>
            <x14:dxf>
              <fill>
                <patternFill>
                  <bgColor rgb="FFFFFF00"/>
                </patternFill>
              </fill>
            </x14:dxf>
          </x14:cfRule>
          <xm:sqref>D51:D60</xm:sqref>
        </x14:conditionalFormatting>
        <x14:conditionalFormatting xmlns:xm="http://schemas.microsoft.com/office/excel/2006/main">
          <x14:cfRule type="expression" priority="1388" id="{27A66335-B01A-4B5A-A702-1BAA88424C75}">
            <xm:f>ISNUMBER(SEARCH($D64,Dropdowns!$D$18))</xm:f>
            <x14:dxf>
              <fill>
                <patternFill>
                  <bgColor rgb="FFFFFF00"/>
                </patternFill>
              </fill>
            </x14:dxf>
          </x14:cfRule>
          <x14:cfRule type="expression" priority="1389" id="{0CD42AA2-9AC2-49E8-892D-2F1DC8C5C634}">
            <xm:f>ISNUMBER(SEARCH($D64,Dropdowns!$D$19))</xm:f>
            <x14:dxf>
              <fill>
                <patternFill>
                  <bgColor theme="6" tint="0.39994506668294322"/>
                </patternFill>
              </fill>
            </x14:dxf>
          </x14:cfRule>
          <x14:cfRule type="expression" priority="1390" id="{1997E59E-ADDC-429F-946A-04D1FCD42D80}">
            <xm:f>ISNUMBER(SEARCH($D64,Dropdowns!$D$20))</xm:f>
            <x14:dxf>
              <fill>
                <patternFill>
                  <bgColor theme="6" tint="0.39994506668294322"/>
                </patternFill>
              </fill>
            </x14:dxf>
          </x14:cfRule>
          <x14:cfRule type="expression" priority="1391" id="{82C8C5E2-09DF-41B3-94A1-70F0FC0F92FD}">
            <xm:f>ISNUMBER(SEARCH($D64,Dropdowns!$D$21))</xm:f>
            <x14:dxf>
              <fill>
                <patternFill>
                  <bgColor rgb="FFFFFF00"/>
                </patternFill>
              </fill>
            </x14:dxf>
          </x14:cfRule>
          <x14:cfRule type="expression" priority="1392" id="{94CC843F-BD7B-4FF3-81DD-414F6D6404DE}">
            <xm:f>ISNUMBER(SEARCH($D64,Dropdowns!$D$23))</xm:f>
            <x14:dxf>
              <fill>
                <patternFill>
                  <bgColor rgb="FFFFFF00"/>
                </patternFill>
              </fill>
            </x14:dxf>
          </x14:cfRule>
          <xm:sqref>D64</xm:sqref>
        </x14:conditionalFormatting>
        <x14:conditionalFormatting xmlns:xm="http://schemas.microsoft.com/office/excel/2006/main">
          <x14:cfRule type="expression" priority="1380" id="{46C49E82-3C2C-45F0-92A1-14DD31F9701F}">
            <xm:f>ISNUMBER(SEARCH($D66,Dropdowns!$D$18))</xm:f>
            <x14:dxf>
              <fill>
                <patternFill>
                  <bgColor rgb="FFFFFF00"/>
                </patternFill>
              </fill>
            </x14:dxf>
          </x14:cfRule>
          <x14:cfRule type="expression" priority="1381" id="{42F0FAF8-2F46-4114-AE5A-91BB3A10BE01}">
            <xm:f>ISNUMBER(SEARCH($D66,Dropdowns!$D$19))</xm:f>
            <x14:dxf>
              <fill>
                <patternFill>
                  <bgColor theme="6" tint="0.39994506668294322"/>
                </patternFill>
              </fill>
            </x14:dxf>
          </x14:cfRule>
          <x14:cfRule type="expression" priority="1382" id="{1EC7D420-7AAF-4CBE-BD5C-66309B5696E3}">
            <xm:f>ISNUMBER(SEARCH($D66,Dropdowns!$D$20))</xm:f>
            <x14:dxf>
              <fill>
                <patternFill>
                  <bgColor theme="6" tint="0.39994506668294322"/>
                </patternFill>
              </fill>
            </x14:dxf>
          </x14:cfRule>
          <x14:cfRule type="expression" priority="1383" id="{ABEE4E1E-EBE3-45BF-8B38-C89226E0146A}">
            <xm:f>ISNUMBER(SEARCH($D66,Dropdowns!$D$21))</xm:f>
            <x14:dxf>
              <fill>
                <patternFill>
                  <bgColor rgb="FFFFFF00"/>
                </patternFill>
              </fill>
            </x14:dxf>
          </x14:cfRule>
          <x14:cfRule type="expression" priority="1384" id="{643E87E8-2ED3-4570-BC38-C8089F5BD465}">
            <xm:f>ISNUMBER(SEARCH($D66,Dropdowns!$D$23))</xm:f>
            <x14:dxf>
              <fill>
                <patternFill>
                  <bgColor rgb="FFFFFF00"/>
                </patternFill>
              </fill>
            </x14:dxf>
          </x14:cfRule>
          <xm:sqref>D66:D71</xm:sqref>
        </x14:conditionalFormatting>
        <x14:conditionalFormatting xmlns:xm="http://schemas.microsoft.com/office/excel/2006/main">
          <x14:cfRule type="expression" priority="1444" id="{AD20B513-36E3-4FD9-BD2F-995D2F009365}">
            <xm:f>ISNUMBER(SEARCH($D75,Dropdowns!$D$18))</xm:f>
            <x14:dxf>
              <fill>
                <patternFill>
                  <bgColor rgb="FFFFFF00"/>
                </patternFill>
              </fill>
            </x14:dxf>
          </x14:cfRule>
          <x14:cfRule type="expression" priority="1445" id="{21BBC8FF-DDF4-4A85-A53F-5A568E94CBFB}">
            <xm:f>ISNUMBER(SEARCH($D75,Dropdowns!$D$19))</xm:f>
            <x14:dxf>
              <fill>
                <patternFill>
                  <bgColor theme="6" tint="0.39994506668294322"/>
                </patternFill>
              </fill>
            </x14:dxf>
          </x14:cfRule>
          <x14:cfRule type="expression" priority="1446" id="{24E5C9FD-6058-4891-9E80-15239C401B3C}">
            <xm:f>ISNUMBER(SEARCH($D75,Dropdowns!$D$20))</xm:f>
            <x14:dxf>
              <fill>
                <patternFill>
                  <bgColor theme="6" tint="0.39994506668294322"/>
                </patternFill>
              </fill>
            </x14:dxf>
          </x14:cfRule>
          <x14:cfRule type="expression" priority="1447" id="{552A2D03-F4FB-4059-9DAF-1BFE70522119}">
            <xm:f>ISNUMBER(SEARCH($D75,Dropdowns!$D$21))</xm:f>
            <x14:dxf>
              <fill>
                <patternFill>
                  <bgColor rgb="FFFFFF00"/>
                </patternFill>
              </fill>
            </x14:dxf>
          </x14:cfRule>
          <x14:cfRule type="expression" priority="1448" id="{BF3C0A30-0628-4157-9F14-AF70DCD045CC}">
            <xm:f>ISNUMBER(SEARCH($D75,Dropdowns!$D$23))</xm:f>
            <x14:dxf>
              <fill>
                <patternFill>
                  <bgColor rgb="FFFFFF00"/>
                </patternFill>
              </fill>
            </x14:dxf>
          </x14:cfRule>
          <xm:sqref>D75:D77 D79:D80 D82:D84 D86:D87 D89:D90 D92:D99 D103:D111 D115:D116 D118:D129 D131 D137:D139 D142:D151 D153:D162</xm:sqref>
        </x14:conditionalFormatting>
        <x14:conditionalFormatting xmlns:xm="http://schemas.microsoft.com/office/excel/2006/main">
          <x14:cfRule type="expression" priority="1428" id="{EF2E1A9F-37D2-43A5-8BEA-8395DE4AF585}">
            <xm:f>ISNUMBER(SEARCH($D164,Dropdowns!$D$18))</xm:f>
            <x14:dxf>
              <fill>
                <patternFill>
                  <bgColor rgb="FFFFFF00"/>
                </patternFill>
              </fill>
            </x14:dxf>
          </x14:cfRule>
          <x14:cfRule type="expression" priority="1429" id="{6E4DB645-8C6A-44C5-83EB-A7717AF37757}">
            <xm:f>ISNUMBER(SEARCH($D164,Dropdowns!$D$19))</xm:f>
            <x14:dxf>
              <fill>
                <patternFill>
                  <bgColor theme="6" tint="0.39994506668294322"/>
                </patternFill>
              </fill>
            </x14:dxf>
          </x14:cfRule>
          <x14:cfRule type="expression" priority="1430" id="{50BA232B-E1D7-4DF3-BF4D-86D010B3D74C}">
            <xm:f>ISNUMBER(SEARCH($D164,Dropdowns!$D$20))</xm:f>
            <x14:dxf>
              <fill>
                <patternFill>
                  <bgColor theme="6" tint="0.39994506668294322"/>
                </patternFill>
              </fill>
            </x14:dxf>
          </x14:cfRule>
          <x14:cfRule type="expression" priority="1431" id="{A36BD244-64CD-4AAF-A330-555385FBDFE9}">
            <xm:f>ISNUMBER(SEARCH($D164,Dropdowns!$D$21))</xm:f>
            <x14:dxf>
              <fill>
                <patternFill>
                  <bgColor rgb="FFFFFF00"/>
                </patternFill>
              </fill>
            </x14:dxf>
          </x14:cfRule>
          <x14:cfRule type="expression" priority="1432" id="{A1362F42-3C08-4786-8F6E-FF8EB3C344D0}">
            <xm:f>ISNUMBER(SEARCH($D164,Dropdowns!$D$23))</xm:f>
            <x14:dxf>
              <fill>
                <patternFill>
                  <bgColor rgb="FFFFFF00"/>
                </patternFill>
              </fill>
            </x14:dxf>
          </x14:cfRule>
          <xm:sqref>D164:D185</xm:sqref>
        </x14:conditionalFormatting>
        <x14:conditionalFormatting xmlns:xm="http://schemas.microsoft.com/office/excel/2006/main">
          <x14:cfRule type="expression" priority="1404" id="{831ADC05-3658-48E3-B949-1B33834E4210}">
            <xm:f>ISNUMBER(SEARCH($D192,Dropdowns!$D$18))</xm:f>
            <x14:dxf>
              <fill>
                <patternFill>
                  <bgColor rgb="FFFFFF00"/>
                </patternFill>
              </fill>
            </x14:dxf>
          </x14:cfRule>
          <x14:cfRule type="expression" priority="1405" id="{569C81A8-D139-4A72-9119-1696B90E0966}">
            <xm:f>ISNUMBER(SEARCH($D192,Dropdowns!$D$19))</xm:f>
            <x14:dxf>
              <fill>
                <patternFill>
                  <bgColor theme="6" tint="0.39994506668294322"/>
                </patternFill>
              </fill>
            </x14:dxf>
          </x14:cfRule>
          <x14:cfRule type="expression" priority="1406" id="{7E3255B9-9AC4-42C4-91D4-CA2313F1BECE}">
            <xm:f>ISNUMBER(SEARCH($D192,Dropdowns!$D$20))</xm:f>
            <x14:dxf>
              <fill>
                <patternFill>
                  <bgColor theme="6" tint="0.39994506668294322"/>
                </patternFill>
              </fill>
            </x14:dxf>
          </x14:cfRule>
          <x14:cfRule type="expression" priority="1407" id="{91B0287E-B910-49F7-8B0D-A2ECCCD3822D}">
            <xm:f>ISNUMBER(SEARCH($D192,Dropdowns!$D$21))</xm:f>
            <x14:dxf>
              <fill>
                <patternFill>
                  <bgColor rgb="FFFFFF00"/>
                </patternFill>
              </fill>
            </x14:dxf>
          </x14:cfRule>
          <x14:cfRule type="expression" priority="1408" id="{0D619747-D47A-4805-88E3-2E4A2DB639F3}">
            <xm:f>ISNUMBER(SEARCH($D192,Dropdowns!$D$23))</xm:f>
            <x14:dxf>
              <fill>
                <patternFill>
                  <bgColor rgb="FFFFFF00"/>
                </patternFill>
              </fill>
            </x14:dxf>
          </x14:cfRule>
          <xm:sqref>D192:D193 D195:D200 D203:D207</xm:sqref>
        </x14:conditionalFormatting>
        <x14:conditionalFormatting xmlns:xm="http://schemas.microsoft.com/office/excel/2006/main">
          <x14:cfRule type="expression" priority="1396" id="{5411801E-4F07-4D73-9692-FF1C055D7771}">
            <xm:f>ISNUMBER(SEARCH($D209,Dropdowns!$D$18))</xm:f>
            <x14:dxf>
              <fill>
                <patternFill>
                  <bgColor rgb="FFFFFF00"/>
                </patternFill>
              </fill>
            </x14:dxf>
          </x14:cfRule>
          <x14:cfRule type="expression" priority="1397" id="{ED306804-63FE-4DCA-A936-7988552C4B67}">
            <xm:f>ISNUMBER(SEARCH($D209,Dropdowns!$D$19))</xm:f>
            <x14:dxf>
              <fill>
                <patternFill>
                  <bgColor theme="6" tint="0.39994506668294322"/>
                </patternFill>
              </fill>
            </x14:dxf>
          </x14:cfRule>
          <x14:cfRule type="expression" priority="1398" id="{5D9DC238-1587-449A-BEEB-555733768BD5}">
            <xm:f>ISNUMBER(SEARCH($D209,Dropdowns!$D$20))</xm:f>
            <x14:dxf>
              <fill>
                <patternFill>
                  <bgColor theme="6" tint="0.39994506668294322"/>
                </patternFill>
              </fill>
            </x14:dxf>
          </x14:cfRule>
          <x14:cfRule type="expression" priority="1399" id="{F78312AB-99B5-4899-AD43-40C2078705A7}">
            <xm:f>ISNUMBER(SEARCH($D209,Dropdowns!$D$21))</xm:f>
            <x14:dxf>
              <fill>
                <patternFill>
                  <bgColor rgb="FFFFFF00"/>
                </patternFill>
              </fill>
            </x14:dxf>
          </x14:cfRule>
          <x14:cfRule type="expression" priority="1400" id="{DC361E19-837F-45EC-853F-1A4100A16725}">
            <xm:f>ISNUMBER(SEARCH($D209,Dropdowns!$D$23))</xm:f>
            <x14:dxf>
              <fill>
                <patternFill>
                  <bgColor rgb="FFFFFF00"/>
                </patternFill>
              </fill>
            </x14:dxf>
          </x14:cfRule>
          <xm:sqref>D209:D221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Dropdowns!$G$11:$G$16</xm:f>
          </x14:formula1>
          <xm:sqref>V191 V61:V62 V78 V101 V131:V132 V188 V41 V32 V114 V134 V124 V136 V208 V194 V202 V9:V10 V23 V27 V29 V50 V91 V88 V85 V81 V74 V186 V141 V152 V163 V117</xm:sqref>
        </x14:dataValidation>
        <x14:dataValidation type="list" allowBlank="1" showInputMessage="1" showErrorMessage="1">
          <x14:formula1>
            <xm:f>Dropdowns!$F$9:$F$12</xm:f>
          </x14:formula1>
          <xm:sqref>N188:O188 N132:O132 N134:O134 N186:O186</xm:sqref>
        </x14:dataValidation>
        <x14:dataValidation type="list" allowBlank="1" showInputMessage="1" showErrorMessage="1">
          <x14:formula1>
            <xm:f>Dropdowns!$C$11:$C$13</xm:f>
          </x14:formula1>
          <xm:sqref>V17 D14 Q14 V14:V15 N15:O15 N14</xm:sqref>
        </x14:dataValidation>
        <x14:dataValidation type="list" allowBlank="1" showInputMessage="1" showErrorMessage="1">
          <x14:formula1>
            <xm:f>Dropdowns!$C$16:$C$19</xm:f>
          </x14:formula1>
          <xm:sqref>V38</xm:sqref>
        </x14:dataValidation>
        <x14:dataValidation type="list" allowBlank="1" showInputMessage="1" showErrorMessage="1">
          <x14:formula1>
            <xm:f>Dropdowns!$D$16:$D$23</xm:f>
          </x14:formula1>
          <xm:sqref>D9 D11:D12 D27 D66:D71 D33:D37 D42:D45 D51:D60 D82:D84 D89:D90 D118:D129 D75:D77 D79:D80 D86:D87 D92:D99 D103:D111 D115:D116 D131 D137:D139 D142:D151 D153:D162 D164:D185 D195:D200 D192:D193 D203:D207 D209:D221 D64 D23</xm:sqref>
        </x14:dataValidation>
        <x14:dataValidation type="list" allowBlank="1" showInputMessage="1" showErrorMessage="1">
          <x14:formula1>
            <xm:f>Dropdowns!$F$2:$F$8</xm:f>
          </x14:formula1>
          <xm:sqref>N32 N41 N62 N91 N74 N81 N85 N88 N114 N124 N131 N136 N141 N152 N163 N208 N194 N202 N190:N191 N9:N10 N23 N27 N50 N78 N117 N101</xm:sqref>
        </x14:dataValidation>
        <x14:dataValidation type="list" allowBlank="1" showInputMessage="1" showErrorMessage="1">
          <x14:formula1>
            <xm:f>Dropdowns!$E$11:$E$15</xm:f>
          </x14:formula1>
          <xm:sqref>Q42:Q45 Q51:Q60 Q64 Q75:Q77 Q66:Q71 Q79:Q80 Q82:Q84 Q86:Q87 Q89:Q90 Q92:Q99 Q103:Q111 Q115:Q116 Q118:Q129 Q131 Q137:Q139 Q142:Q151 Q153:Q162 Q164:Q185 Q192:Q193 Q195:Q200 Q203:Q207 Q209:Q221 Q33:Q37 Q9:Q10 Q23 Q27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F228"/>
  <sheetViews>
    <sheetView zoomScale="75" zoomScaleNormal="75" workbookViewId="0">
      <pane xSplit="8" ySplit="5" topLeftCell="I6" activePane="bottomRight" state="frozen"/>
      <selection activeCell="B1" sqref="B1"/>
      <selection pane="topRight" activeCell="I1" sqref="I1"/>
      <selection pane="bottomLeft" activeCell="B3" sqref="B3"/>
      <selection pane="bottomRight" activeCell="I9" sqref="I9"/>
    </sheetView>
  </sheetViews>
  <sheetFormatPr defaultColWidth="8.796875" defaultRowHeight="13" x14ac:dyDescent="0.3"/>
  <cols>
    <col min="1" max="1" width="8.796875" style="1383" hidden="1" customWidth="1"/>
    <col min="2" max="2" width="43.796875" style="1383" customWidth="1"/>
    <col min="3" max="3" width="53.796875" style="1383" customWidth="1"/>
    <col min="4" max="4" width="29.796875" style="1383" customWidth="1"/>
    <col min="5" max="5" width="12" style="1383" hidden="1" customWidth="1"/>
    <col min="6" max="6" width="8.3984375" style="1383" hidden="1" customWidth="1"/>
    <col min="7" max="7" width="10.296875" style="1383" hidden="1" customWidth="1"/>
    <col min="8" max="8" width="3.296875" style="1383" hidden="1" customWidth="1"/>
    <col min="9" max="9" width="59.3984375" style="1383" customWidth="1"/>
    <col min="10" max="10" width="7.69921875" style="1383" hidden="1" customWidth="1"/>
    <col min="11" max="11" width="7.19921875" style="1383" hidden="1" customWidth="1"/>
    <col min="12" max="13" width="30.296875" style="1383" customWidth="1"/>
    <col min="14" max="14" width="28.296875" style="1383" customWidth="1"/>
    <col min="15" max="15" width="13.296875" style="1383" hidden="1" customWidth="1"/>
    <col min="16" max="16" width="50.69921875" style="1383" customWidth="1"/>
    <col min="17" max="17" width="30.69921875" style="1383" customWidth="1"/>
    <col min="18" max="18" width="10.296875" style="1383" hidden="1" customWidth="1"/>
    <col min="19" max="19" width="59.3984375" style="1383" customWidth="1"/>
    <col min="20" max="20" width="33" style="1383" customWidth="1"/>
    <col min="21" max="21" width="48.19921875" style="1383" customWidth="1"/>
    <col min="22" max="22" width="26.69921875" style="1383" customWidth="1"/>
    <col min="23" max="23" width="12.296875" style="1383" hidden="1" customWidth="1"/>
    <col min="24" max="24" width="53.69921875" style="1383" customWidth="1"/>
    <col min="25" max="25" width="34.796875" style="1383" customWidth="1"/>
    <col min="26" max="26" width="34.69921875" style="1383" customWidth="1"/>
    <col min="27" max="16384" width="8.796875" style="1383"/>
  </cols>
  <sheetData>
    <row r="1" spans="1:27" ht="72.75" customHeight="1" x14ac:dyDescent="0.3">
      <c r="A1" s="17"/>
      <c r="B1" s="4521"/>
      <c r="C1" s="4521"/>
      <c r="D1" s="4521"/>
    </row>
    <row r="2" spans="1:27" ht="75.75" customHeight="1" x14ac:dyDescent="0.3">
      <c r="A2" s="17"/>
      <c r="B2" s="4398" t="s">
        <v>2280</v>
      </c>
      <c r="C2" s="4494"/>
      <c r="D2" s="4494"/>
    </row>
    <row r="3" spans="1:27" x14ac:dyDescent="0.3">
      <c r="A3" s="17"/>
      <c r="B3" s="4521"/>
      <c r="C3" s="4521"/>
      <c r="D3" s="4521"/>
    </row>
    <row r="4" spans="1:27" ht="48.75" customHeight="1" thickBot="1" x14ac:dyDescent="0.35">
      <c r="A4" s="4540" t="s">
        <v>1886</v>
      </c>
      <c r="B4" s="4502"/>
      <c r="C4" s="4502"/>
      <c r="D4" s="4502"/>
      <c r="E4" s="651"/>
      <c r="F4" s="651"/>
      <c r="G4" s="651"/>
      <c r="H4" s="651"/>
      <c r="I4" s="651"/>
      <c r="J4" s="651"/>
      <c r="K4" s="651"/>
      <c r="L4" s="651"/>
      <c r="M4" s="651"/>
      <c r="N4" s="1386"/>
      <c r="O4" s="1386"/>
      <c r="P4" s="1386"/>
      <c r="Q4" s="1386"/>
      <c r="R4" s="1386"/>
      <c r="S4" s="1386"/>
      <c r="T4" s="1386"/>
    </row>
    <row r="5" spans="1:27" s="561" customFormat="1" ht="39.75" customHeight="1" thickTop="1" thickBot="1" x14ac:dyDescent="0.35">
      <c r="A5" s="1103" t="s">
        <v>1159</v>
      </c>
      <c r="B5" s="1103" t="s">
        <v>1872</v>
      </c>
      <c r="C5" s="1103" t="s">
        <v>1873</v>
      </c>
      <c r="D5" s="1103" t="s">
        <v>1238</v>
      </c>
      <c r="E5" s="1103"/>
      <c r="F5" s="1103"/>
      <c r="G5" s="1103"/>
      <c r="H5" s="1103"/>
      <c r="I5" s="1103" t="s">
        <v>458</v>
      </c>
      <c r="J5" s="1103"/>
      <c r="K5" s="1103"/>
      <c r="L5" s="1103" t="s">
        <v>408</v>
      </c>
      <c r="M5" s="1103" t="s">
        <v>466</v>
      </c>
      <c r="N5" s="1103" t="s">
        <v>465</v>
      </c>
      <c r="O5" s="1103"/>
      <c r="P5" s="1103" t="s">
        <v>1221</v>
      </c>
      <c r="Q5" s="3267" t="s">
        <v>1212</v>
      </c>
      <c r="R5" s="3268"/>
      <c r="S5" s="3269" t="s">
        <v>396</v>
      </c>
      <c r="T5" s="3268" t="s">
        <v>409</v>
      </c>
      <c r="U5" s="3269" t="s">
        <v>1211</v>
      </c>
      <c r="V5" s="1103" t="s">
        <v>1824</v>
      </c>
      <c r="W5" s="3268"/>
      <c r="X5" s="3268" t="s">
        <v>10</v>
      </c>
      <c r="Y5" s="1103" t="s">
        <v>11</v>
      </c>
      <c r="Z5" s="3270" t="s">
        <v>12</v>
      </c>
      <c r="AA5" s="3213"/>
    </row>
    <row r="6" spans="1:27" s="17" customFormat="1" ht="19" thickTop="1" x14ac:dyDescent="0.3">
      <c r="A6" s="4481" t="s">
        <v>1158</v>
      </c>
      <c r="B6" s="4481"/>
      <c r="C6" s="4481"/>
      <c r="D6" s="3271"/>
      <c r="E6" s="3271"/>
      <c r="F6" s="3271"/>
      <c r="G6" s="3271"/>
      <c r="H6" s="3271"/>
      <c r="I6" s="496"/>
      <c r="J6" s="496"/>
      <c r="K6" s="496"/>
      <c r="L6" s="496"/>
      <c r="M6" s="1481"/>
      <c r="N6" s="1481"/>
      <c r="O6" s="1481"/>
      <c r="P6" s="3272"/>
      <c r="Q6" s="496"/>
      <c r="R6" s="3273"/>
      <c r="S6" s="1484"/>
      <c r="T6" s="496"/>
      <c r="U6" s="1484"/>
      <c r="V6" s="1484"/>
      <c r="W6" s="3274"/>
      <c r="X6" s="1481"/>
      <c r="Y6" s="1876"/>
      <c r="Z6" s="3275"/>
    </row>
    <row r="7" spans="1:27" s="3663" customFormat="1" ht="21" customHeight="1" thickBot="1" x14ac:dyDescent="0.35">
      <c r="A7" s="4094"/>
      <c r="B7" s="3887"/>
      <c r="C7" s="4095"/>
      <c r="D7" s="3754"/>
      <c r="E7" s="3754"/>
      <c r="F7" s="3754"/>
      <c r="G7" s="3754"/>
      <c r="H7" s="3754"/>
      <c r="I7" s="3754"/>
      <c r="J7" s="3754"/>
      <c r="K7" s="3754"/>
      <c r="L7" s="3754"/>
      <c r="M7" s="3639"/>
      <c r="N7" s="3639"/>
      <c r="O7" s="3639"/>
      <c r="P7" s="3753"/>
      <c r="Q7" s="3722"/>
      <c r="R7" s="4096"/>
      <c r="S7" s="3770"/>
      <c r="T7" s="3769"/>
      <c r="U7" s="4009"/>
      <c r="V7" s="3754"/>
      <c r="W7" s="3752"/>
      <c r="X7" s="3725"/>
      <c r="Y7" s="3988"/>
      <c r="Z7" s="3989"/>
      <c r="AA7" s="4097"/>
    </row>
    <row r="8" spans="1:27" ht="40.5" customHeight="1" thickTop="1" thickBot="1" x14ac:dyDescent="0.35">
      <c r="A8" s="63" t="s">
        <v>1393</v>
      </c>
      <c r="B8" s="2886" t="s">
        <v>626</v>
      </c>
      <c r="C8" s="1864" t="s">
        <v>539</v>
      </c>
      <c r="D8" s="1870" t="s">
        <v>1232</v>
      </c>
      <c r="E8" s="2914" t="b">
        <f>IF(OR(E9=TRUE,E10=TRUE),TRUE,FALSE)</f>
        <v>0</v>
      </c>
      <c r="F8" s="2915">
        <f>COUNTIFS(E9:E12,"TRUE")</f>
        <v>0</v>
      </c>
      <c r="G8" s="2915">
        <f>COUNTIFS(E9:E12,TRUE,G9:G12,"Not Blank")</f>
        <v>0</v>
      </c>
      <c r="H8" s="2915">
        <f>COUNTIFS(E9:E12,FALSE,G9:G12,"Not Blank")</f>
        <v>0</v>
      </c>
      <c r="I8" s="1865" t="str">
        <f xml:space="preserve">
IF(F8&gt;1,"Too Many Entries - Check Red Lines",
IF(AND(E8=FALSE,G8=0,H8=0,E8=TRUE),"Nothing Required Below",
IF(G8&lt;F8,"Valid Entry required below - Check Amber Line/s",
IF(AND(E8=FALSE,G8=0,H8=0),"Nothing Entered below Yet",
IF(G8&lt;F8,"Valid Entry required below - Check Amber Line/s",
IF(AND(G8=0,H8&gt;0),"**Non-Valid Entry/ies below - Check Yellow Line/s",
IF(AND(G8&gt;0,H8&gt;0),"**Valid and Non-Valid Entries made below - Check Yellow Line/s",
IF(AND(E8=FALSE,F8&lt;1),"Not all requirements addressed below - Check Pink Line/s",
IF(AND(E8=FALSE,G8&lt;1,G8&gt;0,H8=0),"More entries to come",
IF(AND(E8,TRUE,G8=1,H8=0),"Valid Entries made below"
))))))))))</f>
        <v>Nothing Entered below Yet</v>
      </c>
      <c r="J8" s="1865">
        <f>COUNTIFS(E9:E10,TRUE,J9:J10,"Not Blank")</f>
        <v>0</v>
      </c>
      <c r="K8" s="1865">
        <f>COUNTIFS(E9:E10,FALSE,J9:J10,"Not Blank")</f>
        <v>0</v>
      </c>
      <c r="L8" s="1865" t="str">
        <f xml:space="preserve">
IF(J8&gt;3,"Too Many Entries - Check Red Lines",
IF(AND(E8=FALSE,J8=0,K8=0,E8=TRUE),"Nothing Required Below",
IF(J8&lt;F8,"Valid Entry required below - Check Amber Line/s",
IF(AND(E8=FALSE,J8=0,K8=0),"Nothing Entered below Yet",
IF(AND(J8=0,K8&gt;0),"**Non-Valid Entry/ies below - Check Yellow Line/s",
IF(AND(J8&gt;0,K8&gt;0),"**Valid and Non-Valid Entries made below - Check Yellow Line/s",
IF(AND(E8=FALSE,J8&lt;3),"Not all requirements addressed below - Check Pink Line/s",
IF(AND(E8=FALSE,J8&lt;3,J8&gt;0,K8=0),"More entries to come",
IF(AND(E8,TRUE,J8=3,K8=0),"Valid Entries made below"
)))))))))</f>
        <v>Nothing Entered below Yet</v>
      </c>
      <c r="M8" s="976"/>
      <c r="N8" s="4446" t="s">
        <v>3</v>
      </c>
      <c r="O8" s="4620" t="b">
        <f>IF(OR(N8="Compliant",N8="FE with work-a-round",N8="Functionally Equivalent"),TRUE,FALSE)</f>
        <v>0</v>
      </c>
      <c r="P8" s="861"/>
      <c r="Q8" s="4446" t="s">
        <v>3</v>
      </c>
      <c r="R8" s="4420" t="b">
        <f>IF(OR(Q8="Compliant",Q8="FE with work-a-round",Q8="Functionally Equivalent"),TRUE,FALSE)</f>
        <v>0</v>
      </c>
      <c r="S8" s="111"/>
      <c r="T8" s="111"/>
      <c r="U8" s="211"/>
      <c r="V8" s="4446" t="s">
        <v>3</v>
      </c>
      <c r="W8" s="4617" t="b">
        <f>IF(OR(V8="Compliant",V8="FE with work-a-round",V8="Functionally Equivalent",V8="Not Required/Applicable"),TRUE,FALSE)</f>
        <v>0</v>
      </c>
      <c r="X8" s="406"/>
      <c r="Y8" s="406"/>
      <c r="Z8" s="1398"/>
    </row>
    <row r="9" spans="1:27" ht="40.5" customHeight="1" thickTop="1" x14ac:dyDescent="0.3">
      <c r="A9" s="63"/>
      <c r="B9" s="2913"/>
      <c r="C9" s="1830" t="s">
        <v>1499</v>
      </c>
      <c r="D9" s="1013" t="s">
        <v>3</v>
      </c>
      <c r="E9" s="585" t="b">
        <f>IF(D9="Compliant",TRUE,FALSE)</f>
        <v>0</v>
      </c>
      <c r="F9" s="478"/>
      <c r="G9" s="478" t="str">
        <f>IF(I9&lt;&gt;"", "Not Blank", "")</f>
        <v/>
      </c>
      <c r="H9" s="478"/>
      <c r="I9" s="478"/>
      <c r="J9" s="478" t="str">
        <f>IF(L9&lt;&gt;"", "Not Blank", "")</f>
        <v/>
      </c>
      <c r="K9" s="478"/>
      <c r="L9" s="478"/>
      <c r="M9" s="977"/>
      <c r="N9" s="4447"/>
      <c r="O9" s="4621"/>
      <c r="P9" s="2561"/>
      <c r="Q9" s="4447"/>
      <c r="R9" s="4421"/>
      <c r="S9" s="471"/>
      <c r="T9" s="471"/>
      <c r="U9" s="1218"/>
      <c r="V9" s="4447"/>
      <c r="W9" s="4618"/>
      <c r="X9" s="471"/>
      <c r="Y9" s="471"/>
      <c r="Z9" s="1406"/>
    </row>
    <row r="10" spans="1:27" ht="40.5" customHeight="1" thickBot="1" x14ac:dyDescent="0.35">
      <c r="A10" s="235"/>
      <c r="B10" s="1833"/>
      <c r="C10" s="1834" t="s">
        <v>541</v>
      </c>
      <c r="D10" s="230"/>
      <c r="E10" s="295" t="b">
        <f>IF(D10="Compliant",TRUE,FALSE)</f>
        <v>0</v>
      </c>
      <c r="F10" s="283"/>
      <c r="G10" s="283" t="str">
        <f>IF(I10&lt;&gt;"", "Not Blank", "")</f>
        <v/>
      </c>
      <c r="H10" s="283"/>
      <c r="I10" s="283"/>
      <c r="J10" s="283" t="str">
        <f>IF(L10&lt;&gt;"", "Not Blank", "")</f>
        <v/>
      </c>
      <c r="K10" s="283"/>
      <c r="L10" s="283"/>
      <c r="M10" s="950"/>
      <c r="N10" s="4448"/>
      <c r="O10" s="4622"/>
      <c r="P10" s="2562"/>
      <c r="Q10" s="4448"/>
      <c r="R10" s="4422"/>
      <c r="S10" s="1224"/>
      <c r="T10" s="1224"/>
      <c r="U10" s="1225"/>
      <c r="V10" s="4448"/>
      <c r="W10" s="4619"/>
      <c r="X10" s="1224"/>
      <c r="Y10" s="1224"/>
      <c r="Z10" s="1411"/>
    </row>
    <row r="11" spans="1:27" s="3663" customFormat="1" ht="17.25" customHeight="1" thickTop="1" thickBot="1" x14ac:dyDescent="0.35">
      <c r="A11" s="3637"/>
      <c r="B11" s="3636"/>
      <c r="C11" s="3636"/>
      <c r="D11" s="3634"/>
      <c r="E11" s="3634"/>
      <c r="F11" s="3634"/>
      <c r="G11" s="3634"/>
      <c r="H11" s="3634"/>
      <c r="I11" s="3634"/>
      <c r="J11" s="3634"/>
      <c r="K11" s="3634"/>
      <c r="L11" s="3634"/>
      <c r="M11" s="3636"/>
      <c r="N11" s="3637"/>
      <c r="O11" s="3636"/>
      <c r="P11" s="3639"/>
      <c r="Q11" s="3639"/>
      <c r="R11" s="3636"/>
      <c r="S11" s="3639"/>
      <c r="T11" s="3639"/>
      <c r="U11" s="3639"/>
      <c r="V11" s="3639"/>
      <c r="W11" s="3636"/>
      <c r="X11" s="3639"/>
      <c r="Y11" s="3639"/>
      <c r="Z11" s="3639"/>
    </row>
    <row r="12" spans="1:27" ht="44.5" thickTop="1" thickBot="1" x14ac:dyDescent="0.35">
      <c r="A12" s="245"/>
      <c r="B12" s="1933" t="s">
        <v>824</v>
      </c>
      <c r="C12" s="1809" t="s">
        <v>475</v>
      </c>
      <c r="D12" s="1925" t="s">
        <v>1233</v>
      </c>
      <c r="E12" s="1032" t="b">
        <f>E23</f>
        <v>0</v>
      </c>
      <c r="F12" s="616"/>
      <c r="G12" s="616"/>
      <c r="H12" s="616"/>
      <c r="I12" s="396"/>
      <c r="J12" s="396"/>
      <c r="K12" s="396"/>
      <c r="L12" s="396"/>
      <c r="M12" s="1002"/>
      <c r="N12" s="4101" t="s">
        <v>1233</v>
      </c>
      <c r="O12" s="524" t="b">
        <f>O23</f>
        <v>0</v>
      </c>
      <c r="P12" s="2563"/>
      <c r="Q12" s="4101" t="s">
        <v>1233</v>
      </c>
      <c r="R12" s="729" t="b">
        <f>R23</f>
        <v>0</v>
      </c>
      <c r="S12" s="406"/>
      <c r="T12" s="406"/>
      <c r="U12" s="1211"/>
      <c r="V12" s="4105" t="s">
        <v>1233</v>
      </c>
      <c r="W12" s="1099" t="b">
        <f>W23</f>
        <v>0</v>
      </c>
      <c r="X12" s="111"/>
      <c r="Y12" s="406"/>
      <c r="Z12" s="1398"/>
      <c r="AA12" s="1267"/>
    </row>
    <row r="13" spans="1:27" ht="30" thickTop="1" thickBot="1" x14ac:dyDescent="0.35">
      <c r="A13" s="57"/>
      <c r="B13" s="1933" t="s">
        <v>825</v>
      </c>
      <c r="C13" s="1809" t="s">
        <v>474</v>
      </c>
      <c r="D13" s="1925" t="s">
        <v>1233</v>
      </c>
      <c r="E13" s="67" t="b">
        <f>E42</f>
        <v>0</v>
      </c>
      <c r="F13" s="44"/>
      <c r="G13" s="44"/>
      <c r="H13" s="1403"/>
      <c r="I13" s="2463"/>
      <c r="J13" s="2463"/>
      <c r="K13" s="2463"/>
      <c r="L13" s="2463"/>
      <c r="M13" s="2564"/>
      <c r="N13" s="4102" t="s">
        <v>1233</v>
      </c>
      <c r="O13" s="162" t="b">
        <f>O42</f>
        <v>0</v>
      </c>
      <c r="P13" s="2565"/>
      <c r="Q13" s="4101" t="s">
        <v>1233</v>
      </c>
      <c r="R13" s="730" t="b">
        <f>R42</f>
        <v>0</v>
      </c>
      <c r="S13" s="471"/>
      <c r="T13" s="471"/>
      <c r="U13" s="1218"/>
      <c r="V13" s="4106" t="s">
        <v>1233</v>
      </c>
      <c r="W13" s="1100" t="b">
        <f>W42</f>
        <v>0</v>
      </c>
      <c r="X13" s="44"/>
      <c r="Y13" s="1431"/>
      <c r="Z13" s="1432"/>
      <c r="AA13" s="1438"/>
    </row>
    <row r="14" spans="1:27" ht="44.5" thickTop="1" thickBot="1" x14ac:dyDescent="0.35">
      <c r="A14" s="2566"/>
      <c r="B14" s="1933" t="s">
        <v>826</v>
      </c>
      <c r="C14" s="1809" t="s">
        <v>822</v>
      </c>
      <c r="D14" s="1925" t="s">
        <v>1233</v>
      </c>
      <c r="E14" s="67" t="b">
        <f>E50</f>
        <v>0</v>
      </c>
      <c r="F14" s="44"/>
      <c r="G14" s="44"/>
      <c r="H14" s="2419"/>
      <c r="I14" s="2567"/>
      <c r="J14" s="1448"/>
      <c r="K14" s="1448"/>
      <c r="L14" s="1448"/>
      <c r="M14" s="2568"/>
      <c r="N14" s="4103" t="s">
        <v>1233</v>
      </c>
      <c r="O14" s="294" t="b">
        <f>O50</f>
        <v>0</v>
      </c>
      <c r="P14" s="2569"/>
      <c r="Q14" s="4101" t="s">
        <v>1233</v>
      </c>
      <c r="R14" s="730" t="b">
        <f>R50</f>
        <v>0</v>
      </c>
      <c r="S14" s="471"/>
      <c r="T14" s="471"/>
      <c r="U14" s="1218"/>
      <c r="V14" s="4106" t="s">
        <v>1233</v>
      </c>
      <c r="W14" s="1100" t="b">
        <f>W50</f>
        <v>0</v>
      </c>
      <c r="X14" s="44"/>
      <c r="Y14" s="1431"/>
      <c r="Z14" s="1432"/>
      <c r="AA14" s="1438"/>
    </row>
    <row r="15" spans="1:27" ht="30" thickTop="1" thickBot="1" x14ac:dyDescent="0.35">
      <c r="A15" s="57"/>
      <c r="B15" s="2204" t="s">
        <v>827</v>
      </c>
      <c r="C15" s="2147" t="s">
        <v>823</v>
      </c>
      <c r="D15" s="2205" t="s">
        <v>1233</v>
      </c>
      <c r="E15" s="161" t="b">
        <f>E121</f>
        <v>0</v>
      </c>
      <c r="F15" s="258"/>
      <c r="G15" s="258"/>
      <c r="H15" s="258"/>
      <c r="I15" s="408"/>
      <c r="J15" s="408"/>
      <c r="K15" s="408"/>
      <c r="L15" s="408"/>
      <c r="M15" s="2330"/>
      <c r="N15" s="4104" t="s">
        <v>1233</v>
      </c>
      <c r="O15" s="518" t="b">
        <f>O121</f>
        <v>0</v>
      </c>
      <c r="P15" s="2570"/>
      <c r="Q15" s="4104" t="s">
        <v>1233</v>
      </c>
      <c r="R15" s="731" t="b">
        <f>R121</f>
        <v>0</v>
      </c>
      <c r="S15" s="1224"/>
      <c r="T15" s="1224"/>
      <c r="U15" s="1225"/>
      <c r="V15" s="4107" t="s">
        <v>1233</v>
      </c>
      <c r="W15" s="1101" t="b">
        <f>W121</f>
        <v>0</v>
      </c>
      <c r="X15" s="124"/>
      <c r="Y15" s="1224"/>
      <c r="Z15" s="1411"/>
      <c r="AA15" s="1267"/>
    </row>
    <row r="16" spans="1:27" s="3663" customFormat="1" ht="25.5" customHeight="1" thickTop="1" thickBot="1" x14ac:dyDescent="0.35">
      <c r="B16" s="3633"/>
      <c r="D16" s="4098"/>
      <c r="P16" s="4099"/>
      <c r="Q16" s="4099"/>
      <c r="R16" s="3737"/>
      <c r="S16" s="3737"/>
      <c r="T16" s="3737"/>
      <c r="U16" s="3737"/>
      <c r="V16" s="3737"/>
      <c r="W16" s="3737"/>
      <c r="X16" s="3737"/>
      <c r="Y16" s="3737"/>
      <c r="Z16" s="4100"/>
    </row>
    <row r="17" spans="1:28" ht="40.5" customHeight="1" thickTop="1" thickBot="1" x14ac:dyDescent="0.35">
      <c r="A17" s="2566" t="s">
        <v>1515</v>
      </c>
      <c r="B17" s="1499" t="s">
        <v>469</v>
      </c>
      <c r="C17" s="2912" t="s">
        <v>1514</v>
      </c>
      <c r="D17" s="593"/>
      <c r="E17" s="338" t="b">
        <f>IF(D17="Applicable",TRUE,FALSE)</f>
        <v>0</v>
      </c>
      <c r="F17" s="111">
        <f>COUNTIF(E17,TRUE)</f>
        <v>0</v>
      </c>
      <c r="G17" s="111" t="str">
        <f>IF(I17&lt;&gt;"", "Not Blank", "")</f>
        <v/>
      </c>
      <c r="H17" s="1396"/>
      <c r="I17" s="1396"/>
      <c r="J17" s="1753" t="str">
        <f>IF(L17&lt;&gt;"", "Not Blank", "")</f>
        <v/>
      </c>
      <c r="K17" s="1396"/>
      <c r="L17" s="1396"/>
      <c r="M17" s="1533"/>
      <c r="N17" s="318"/>
      <c r="O17" s="338" t="b">
        <f>IF(N17="Applicable",TRUE,FALSE)</f>
        <v>0</v>
      </c>
      <c r="P17" s="459"/>
      <c r="Q17" s="318"/>
      <c r="R17" s="338" t="b">
        <f>IF(Q17="Applicable",TRUE,FALSE)</f>
        <v>0</v>
      </c>
      <c r="S17" s="186"/>
      <c r="T17" s="186"/>
      <c r="U17" s="459"/>
      <c r="V17" s="318"/>
      <c r="W17" s="1032" t="b">
        <f>IF(V17="Applicable",TRUE,FALSE)</f>
        <v>0</v>
      </c>
      <c r="X17" s="338"/>
      <c r="Y17" s="2571"/>
      <c r="Z17" s="2572"/>
      <c r="AA17" s="2573"/>
    </row>
    <row r="18" spans="1:28" ht="41.15" customHeight="1" thickTop="1" thickBot="1" x14ac:dyDescent="0.35">
      <c r="A18" s="2566" t="s">
        <v>1516</v>
      </c>
      <c r="B18" s="1499"/>
      <c r="C18" s="2912" t="s">
        <v>1835</v>
      </c>
      <c r="D18" s="723"/>
      <c r="E18" s="716" t="b">
        <f>IF(D18="Applicable",TRUE,FALSE)</f>
        <v>0</v>
      </c>
      <c r="F18" s="44">
        <f>COUNTIF(E18,TRUE)</f>
        <v>0</v>
      </c>
      <c r="G18" s="1748" t="str">
        <f>IF(I18&lt;&gt;"", "Not Blank", "")</f>
        <v/>
      </c>
      <c r="H18" s="1404"/>
      <c r="I18" s="1404"/>
      <c r="J18" s="1754" t="str">
        <f>IF(L18&lt;&gt;"", "Not Blank", "")</f>
        <v/>
      </c>
      <c r="K18" s="1404"/>
      <c r="L18" s="1404"/>
      <c r="M18" s="1535"/>
      <c r="N18" s="1737"/>
      <c r="O18" s="716" t="b">
        <f>IF(N18="Applicable",TRUE,FALSE)</f>
        <v>0</v>
      </c>
      <c r="P18" s="589"/>
      <c r="Q18" s="1737"/>
      <c r="R18" s="716" t="b">
        <f>IF(Q18="Applicable",TRUE,FALSE)</f>
        <v>0</v>
      </c>
      <c r="S18" s="261"/>
      <c r="T18" s="261"/>
      <c r="U18" s="589"/>
      <c r="V18" s="1737"/>
      <c r="W18" s="594" t="b">
        <f>IF(V18="Applicable",TRUE,FALSE)</f>
        <v>0</v>
      </c>
      <c r="X18" s="716"/>
      <c r="Y18" s="2574"/>
      <c r="Z18" s="2575"/>
    </row>
    <row r="19" spans="1:28" ht="69" customHeight="1" thickTop="1" thickBot="1" x14ac:dyDescent="0.35">
      <c r="A19" s="2566" t="s">
        <v>1516</v>
      </c>
      <c r="B19" s="1499"/>
      <c r="C19" s="2912" t="s">
        <v>1517</v>
      </c>
      <c r="D19" s="700" t="s">
        <v>3</v>
      </c>
      <c r="E19" s="161" t="b">
        <f>IF(D19="Compliant",TRUE,FALSE)</f>
        <v>0</v>
      </c>
      <c r="F19" s="124">
        <f>COUNTIF(E19,TRUE)</f>
        <v>0</v>
      </c>
      <c r="G19" s="124" t="str">
        <f>IF(I19&lt;&gt;"", "Not Blank", "")</f>
        <v/>
      </c>
      <c r="H19" s="258"/>
      <c r="I19" s="1224"/>
      <c r="J19" s="1555" t="str">
        <f>IF(L19&lt;&gt;"", "Not Blank", "")</f>
        <v/>
      </c>
      <c r="K19" s="1224"/>
      <c r="L19" s="1224"/>
      <c r="M19" s="1225"/>
      <c r="N19" s="1017" t="s">
        <v>3</v>
      </c>
      <c r="O19" s="851" t="b">
        <f>IF(OR(N19="Compliant",N19="FE with work-a-round",N19="Functionally Equivalent"),TRUE,FALSE)</f>
        <v>0</v>
      </c>
      <c r="P19" s="1164"/>
      <c r="Q19" s="1017" t="s">
        <v>3</v>
      </c>
      <c r="R19" s="218" t="b">
        <f>IF(OR(Q19="Compliant",Q19="FE with work-a-round",Q19="Functionally Equivalent"),TRUE,FALSE)</f>
        <v>0</v>
      </c>
      <c r="S19" s="1555"/>
      <c r="T19" s="1555"/>
      <c r="U19" s="1164"/>
      <c r="V19" s="1017" t="s">
        <v>3</v>
      </c>
      <c r="W19" s="595" t="b">
        <f>IF(OR(V19="Compliant",V19="FE with work-a-round",V19="Functionally Equivalent",V19="Not Required/Applicable"),TRUE,FALSE)</f>
        <v>0</v>
      </c>
      <c r="X19" s="1555"/>
      <c r="Y19" s="2576"/>
      <c r="Z19" s="2577"/>
    </row>
    <row r="20" spans="1:28" ht="24.65" customHeight="1" thickTop="1" x14ac:dyDescent="0.3">
      <c r="A20" s="57"/>
      <c r="C20" s="28"/>
      <c r="D20" s="28"/>
      <c r="E20" s="903"/>
      <c r="F20" s="28"/>
      <c r="G20" s="57"/>
      <c r="H20" s="57"/>
      <c r="I20" s="1267"/>
      <c r="J20" s="1267"/>
      <c r="K20" s="1267"/>
      <c r="L20" s="1267"/>
      <c r="M20" s="1267"/>
      <c r="N20" s="57"/>
      <c r="O20" s="57"/>
      <c r="R20" s="57"/>
      <c r="S20" s="1267"/>
      <c r="T20" s="1267"/>
      <c r="U20" s="1267"/>
      <c r="V20" s="1267"/>
      <c r="W20" s="57"/>
      <c r="X20" s="1438"/>
      <c r="Y20" s="1438"/>
      <c r="Z20" s="1438"/>
    </row>
    <row r="21" spans="1:28" ht="18.649999999999999" customHeight="1" x14ac:dyDescent="0.3">
      <c r="A21" s="4634" t="s">
        <v>1135</v>
      </c>
      <c r="B21" s="4634"/>
      <c r="C21" s="4634"/>
      <c r="D21" s="4634"/>
      <c r="E21" s="4634"/>
      <c r="F21" s="4634"/>
      <c r="G21" s="4634"/>
      <c r="H21" s="4634"/>
      <c r="I21" s="4634"/>
      <c r="J21" s="4634"/>
      <c r="K21" s="4634"/>
      <c r="L21" s="4634"/>
      <c r="M21" s="4634"/>
      <c r="N21" s="4634"/>
      <c r="O21" s="2578"/>
      <c r="P21" s="2579"/>
      <c r="Q21" s="2579"/>
      <c r="R21" s="2124"/>
      <c r="S21" s="2579"/>
      <c r="T21" s="2579"/>
      <c r="U21" s="2579"/>
      <c r="V21" s="2580"/>
      <c r="W21" s="2124"/>
      <c r="X21" s="2580"/>
      <c r="Y21" s="2580"/>
      <c r="Z21" s="2580"/>
    </row>
    <row r="22" spans="1:28" ht="24.65" customHeight="1" thickBot="1" x14ac:dyDescent="0.35">
      <c r="A22" s="1447"/>
      <c r="B22" s="1745"/>
      <c r="C22" s="1745"/>
      <c r="E22" s="1447"/>
      <c r="F22" s="1447"/>
      <c r="G22" s="1447"/>
      <c r="H22" s="1447"/>
      <c r="I22" s="1447"/>
      <c r="J22" s="1447"/>
      <c r="K22" s="1447"/>
      <c r="L22" s="1447"/>
      <c r="M22" s="1447"/>
      <c r="N22" s="1447"/>
      <c r="O22" s="1447"/>
      <c r="P22" s="1447"/>
      <c r="Q22" s="1447"/>
      <c r="R22" s="1447"/>
      <c r="S22" s="1447"/>
      <c r="T22" s="1447"/>
      <c r="U22" s="1447"/>
      <c r="Y22" s="1447"/>
      <c r="Z22" s="1447"/>
    </row>
    <row r="23" spans="1:28" s="1757" customFormat="1" ht="15.5" thickTop="1" thickBot="1" x14ac:dyDescent="0.35">
      <c r="A23" s="72"/>
      <c r="B23" s="2878" t="s">
        <v>1390</v>
      </c>
      <c r="C23" s="1830" t="s">
        <v>1235</v>
      </c>
      <c r="D23" s="2916" t="s">
        <v>565</v>
      </c>
      <c r="E23" s="2917" t="b">
        <f>IF(AND(E24=TRUE,E29=TRUE),TRUE)</f>
        <v>0</v>
      </c>
      <c r="F23" s="2918">
        <f>SUM(F24,F29)</f>
        <v>0</v>
      </c>
      <c r="G23" s="2918">
        <f>SUM(G24,G29)</f>
        <v>0</v>
      </c>
      <c r="H23" s="2918">
        <f>SUM(H24,H29)</f>
        <v>0</v>
      </c>
      <c r="I23" s="2919" t="str">
        <f xml:space="preserve">
IF(F23&gt;7,"Too Many Entries - Check Red Lines",
IF(AND(E23=FALSE,G23=0,H23=0,E23=TRUE),"Nothing Required Below",
IF(G23&lt;F23,"Valid Entry required below - Check Amber Line/s",
IF(AND(E23=FALSE,G23=0,H23=0),"Nothing Entered below Yet",
IF(G23&lt;F23,"Valid Entry required below - Check Amber Line/s",
IF(AND(G23=0,H23&gt;0),"**Non-Valid Entry/ies below - Check Yellow Line/s",
IF(AND(G23&gt;0,H23&gt;0),"**Valid and Non-Valid Entries made below - Check Yellow Line/s",
IF(AND(E23=FALSE,F23&lt;7),"Not all requirements addressed below - Check Pink Line/s",
IF(AND(E23=FALSE,G23&lt;7,G23&gt;0,H23=0),"More entries to come",
IF(AND(E23,TRUE,G23=7,H23=0),"Valid Entries made below"
))))))))))</f>
        <v>Nothing Entered below Yet</v>
      </c>
      <c r="J23" s="2919">
        <f>SUM(J24,J29)</f>
        <v>0</v>
      </c>
      <c r="K23" s="2919">
        <f>SUM(K24,K29)</f>
        <v>0</v>
      </c>
      <c r="L23" s="2919" t="str">
        <f xml:space="preserve">
IF(J23&gt;7,"Too Many Entries - Check Red Lines",
IF(AND(E23=FALSE,J23=0,K23=0,E23=TRUE),"Nothing Required Below",
IF(J23&lt;F23,"Valid Entry required below - Check Amber Line/s",
IF(AND(E23=FALSE,J23=0,K23=0),"Nothing Entered below Yet",
IF(AND(J23=0,K23&gt;0),"**Non-Valid Entry/ies below - Check Yellow Line/s",
IF(AND(J23&gt;0,K23&gt;0),"**Valid and Non-Valid Entries made below - Check Yellow Line/s",
IF(AND(E23=FALSE,J23&lt;7),"Not all requirements addressed below - Check Pink Line/s",
IF(AND(E23=FALSE,J23&lt;7,J23&gt;0,K23=0),"More entries to come",
IF(AND(E23,TRUE,J23=7,K23=0),"Valid Entries made below"
)))))))))</f>
        <v>Nothing Entered below Yet</v>
      </c>
      <c r="M23" s="2581"/>
      <c r="N23" s="4108" t="s">
        <v>565</v>
      </c>
      <c r="O23" s="897" t="b">
        <f>IF(AND(O24=TRUE,O29=TRUE),TRUE,FALSE)</f>
        <v>0</v>
      </c>
      <c r="P23" s="807"/>
      <c r="Q23" s="4109" t="s">
        <v>565</v>
      </c>
      <c r="R23" s="1373" t="b">
        <f>IF(AND(R24=TRUE,R28=TRUE),TRUE,FALSE)</f>
        <v>0</v>
      </c>
      <c r="S23" s="842"/>
      <c r="T23" s="842"/>
      <c r="U23" s="807"/>
      <c r="V23" s="4109" t="s">
        <v>565</v>
      </c>
      <c r="W23" s="412" t="b">
        <f>IF(AND(W24=TRUE,W29=TRUE),TRUE,FALSE)</f>
        <v>0</v>
      </c>
      <c r="X23" s="1565"/>
      <c r="Y23" s="418"/>
      <c r="Z23" s="809"/>
      <c r="AA23" s="1558"/>
      <c r="AB23" s="1558"/>
    </row>
    <row r="24" spans="1:28" s="2583" customFormat="1" ht="29.5" thickTop="1" x14ac:dyDescent="0.3">
      <c r="A24" s="234"/>
      <c r="B24" s="2886"/>
      <c r="C24" s="2360" t="s">
        <v>1793</v>
      </c>
      <c r="D24" s="2920" t="s">
        <v>565</v>
      </c>
      <c r="E24" s="2921" t="b">
        <f>IF(AND(E25=TRUE,E26=TRUE,E27=TRUE,E27=TRUE,E28=TRUE),TRUE)</f>
        <v>0</v>
      </c>
      <c r="F24" s="2922">
        <f>COUNTIFS(E25:E28,"TRUE")</f>
        <v>0</v>
      </c>
      <c r="G24" s="2922">
        <f>COUNTIFS(E25:E28,TRUE,G25:G28,"Not Blank")</f>
        <v>0</v>
      </c>
      <c r="H24" s="2922">
        <f>COUNTIFS(E25:E28,FALSE,G25:G28,"Not Blank")</f>
        <v>0</v>
      </c>
      <c r="I24" s="2923" t="str">
        <f xml:space="preserve">
IF(F24&gt;4,"Too Many Entries - Check Red Lines",
IF(AND(E24=FALSE,G24=0,H24=0),"Nothing Entered below Yet",
IF(AND(G24=0,H24&gt;0),"**Non-Valid Entry/ies below - Check Yellow Line/s",
IF(G24&lt;F24,"Valid Entry required below - Check Amber Line/s",
IF(AND(G24&gt;0,H24&gt;0),"**Valid and Non-Valid Entries made below - Check Yellow Line/s",
IF(AND(E24=FALSE,F24&lt;4),"Not all requirements addressed below - Check Pink Line/s",
IF(AND(E24=FALSE,G24&lt;4,G24&gt;0,H24=0),"More entries to come",
IF(AND(E24,TRUE,G24=4,H24=0),"Valid Entries made below"
))))))))</f>
        <v>Nothing Entered below Yet</v>
      </c>
      <c r="J24" s="2924">
        <f>COUNTIFS(E25:E28,TRUE,J25:J28,"Not Blank")</f>
        <v>0</v>
      </c>
      <c r="K24" s="2924">
        <f>COUNTIFS(E25:E28,FALSE,J25:J28,"Not Blank")</f>
        <v>0</v>
      </c>
      <c r="L24" s="2923" t="str">
        <f xml:space="preserve">
IF(J24&gt;4,"Too Many Entries - Check Red Lines",
IF(AND(E24=FALSE,J24=0,K24=0,E24=TRUE),"Nothing Required Below",
IF(J24&lt;F24,"Valid Entry required below - Check Amber Line/s",
IF(AND(E24=FALSE,J24=0,K24=0),"Nothing Entered below Yet",
IF(AND(J24=0,K24&gt;0),"**Non-Valid Entry/ies below - Check Yellow Line/s",
IF(AND(J24&gt;0,K24&gt;0),"**Valid and Non-Valid Entries made below - Check Yellow Line/s",
IF(AND(E24=FALSE,J24&lt;4),"Not all requirements addressed below - Check Pink Line/s",
IF(AND(E24=FALSE,J24&lt;4,J24&gt;0,K24=0),"More entries to come",
IF(AND(E24,TRUE,J24=4,K24=0),"Valid Entries made below"
)))))))))</f>
        <v>Nothing Entered below Yet</v>
      </c>
      <c r="M24" s="2582"/>
      <c r="N24" s="4446" t="s">
        <v>3</v>
      </c>
      <c r="O24" s="4626" t="b">
        <f>IF(OR(N24="Compliant",N24="FE with work-a-round",N24="Functionally Equivalent"),TRUE,FALSE)</f>
        <v>0</v>
      </c>
      <c r="P24" s="2176"/>
      <c r="Q24" s="4110" t="s">
        <v>565</v>
      </c>
      <c r="R24" s="773" t="b">
        <f>IF(AND(R25=TRUE,R26=TRUE,R27=TRUE,R27=TRUE,R28=TRUE),TRUE)</f>
        <v>0</v>
      </c>
      <c r="S24" s="111"/>
      <c r="T24" s="111"/>
      <c r="U24" s="120"/>
      <c r="V24" s="4446" t="s">
        <v>3</v>
      </c>
      <c r="W24" s="4623" t="b">
        <f>IF(OR(V24="Compliant",V24="FE with work-a-round",V24="Functionally Equivalent",V24="Not Required/Applicable"),TRUE,FALSE)</f>
        <v>0</v>
      </c>
      <c r="X24" s="186"/>
      <c r="Y24" s="1433"/>
      <c r="Z24" s="1434"/>
      <c r="AA24" s="1383"/>
      <c r="AB24" s="1383"/>
    </row>
    <row r="25" spans="1:28" ht="59.15" customHeight="1" x14ac:dyDescent="0.3">
      <c r="A25" s="2566" t="s">
        <v>1391</v>
      </c>
      <c r="B25" s="1504"/>
      <c r="C25" s="2887" t="s">
        <v>1392</v>
      </c>
      <c r="D25" s="1013" t="s">
        <v>3</v>
      </c>
      <c r="E25" s="294" t="b">
        <f>IF(D25="Compliant",TRUE,FALSE)</f>
        <v>0</v>
      </c>
      <c r="F25" s="281"/>
      <c r="G25" s="281" t="str">
        <f>IF(I25&lt;&gt;"", "Not Blank", "")</f>
        <v/>
      </c>
      <c r="H25" s="281"/>
      <c r="I25" s="3431"/>
      <c r="J25" s="3429"/>
      <c r="K25" s="3429"/>
      <c r="L25" s="3429"/>
      <c r="M25" s="2361"/>
      <c r="N25" s="4447"/>
      <c r="O25" s="4627"/>
      <c r="P25" s="1081"/>
      <c r="Q25" s="1863" t="s">
        <v>3</v>
      </c>
      <c r="R25" s="121" t="b">
        <f>IF(OR(Q25="Compliant",Q25="FE with work-a-round",Q25="Functionally Equivalent"),TRUE,FALSE)</f>
        <v>0</v>
      </c>
      <c r="S25" s="261"/>
      <c r="T25" s="261"/>
      <c r="U25" s="575"/>
      <c r="V25" s="4447"/>
      <c r="W25" s="4624"/>
      <c r="X25" s="261"/>
      <c r="Y25" s="1431"/>
      <c r="Z25" s="1432"/>
    </row>
    <row r="26" spans="1:28" ht="43.5" x14ac:dyDescent="0.3">
      <c r="A26" s="2566">
        <v>3.2</v>
      </c>
      <c r="B26" s="1504"/>
      <c r="C26" s="2883" t="s">
        <v>1493</v>
      </c>
      <c r="D26" s="319" t="s">
        <v>3</v>
      </c>
      <c r="E26" s="294" t="b">
        <f>IF(D26="Compliant",TRUE,FALSE)</f>
        <v>0</v>
      </c>
      <c r="F26" s="281"/>
      <c r="G26" s="281" t="str">
        <f>IF(I26&lt;&gt;"", "Not Blank", "")</f>
        <v/>
      </c>
      <c r="H26" s="281"/>
      <c r="I26" s="3431"/>
      <c r="J26" s="3429"/>
      <c r="K26" s="3429"/>
      <c r="L26" s="3429"/>
      <c r="M26" s="287"/>
      <c r="N26" s="4447"/>
      <c r="O26" s="4627"/>
      <c r="P26" s="575"/>
      <c r="Q26" s="1862" t="s">
        <v>3</v>
      </c>
      <c r="R26" s="121" t="b">
        <f>IF(OR(Q26="Compliant",Q26="FE with work-a-round",Q26="Functionally Equivalent"),TRUE,FALSE)</f>
        <v>0</v>
      </c>
      <c r="S26" s="261"/>
      <c r="T26" s="261"/>
      <c r="U26" s="575"/>
      <c r="V26" s="4447"/>
      <c r="W26" s="4624"/>
      <c r="X26" s="261"/>
      <c r="Y26" s="1431"/>
      <c r="Z26" s="1432"/>
    </row>
    <row r="27" spans="1:28" ht="303.64999999999998" customHeight="1" x14ac:dyDescent="0.3">
      <c r="A27" s="2566"/>
      <c r="B27" s="1504"/>
      <c r="C27" s="2883" t="s">
        <v>1494</v>
      </c>
      <c r="D27" s="319" t="s">
        <v>3</v>
      </c>
      <c r="E27" s="294" t="b">
        <f>IF(D27="Compliant",TRUE,FALSE)</f>
        <v>0</v>
      </c>
      <c r="F27" s="281"/>
      <c r="G27" s="281" t="str">
        <f>IF(I27&lt;&gt;"", "Not Blank", "")</f>
        <v/>
      </c>
      <c r="H27" s="281"/>
      <c r="I27" s="3431"/>
      <c r="J27" s="3429"/>
      <c r="K27" s="3429"/>
      <c r="L27" s="3429"/>
      <c r="M27" s="287"/>
      <c r="N27" s="4447"/>
      <c r="O27" s="4627"/>
      <c r="P27" s="589"/>
      <c r="Q27" s="1060" t="s">
        <v>3</v>
      </c>
      <c r="R27" s="67" t="b">
        <f>IF(OR(Q27="Compliant",Q27="FE with work-a-round",Q27="Functionally Equivalent"),TRUE,FALSE)</f>
        <v>0</v>
      </c>
      <c r="S27" s="261"/>
      <c r="T27" s="261"/>
      <c r="U27" s="575"/>
      <c r="V27" s="4447"/>
      <c r="W27" s="4624"/>
      <c r="X27" s="261"/>
      <c r="Y27" s="1431"/>
      <c r="Z27" s="1432"/>
    </row>
    <row r="28" spans="1:28" ht="80.5" customHeight="1" thickBot="1" x14ac:dyDescent="0.35">
      <c r="A28" s="2566"/>
      <c r="B28" s="2884"/>
      <c r="C28" s="2885" t="s">
        <v>623</v>
      </c>
      <c r="D28" s="230" t="s">
        <v>3</v>
      </c>
      <c r="E28" s="295" t="b">
        <f>IF(D28="Compliant",TRUE,FALSE)</f>
        <v>0</v>
      </c>
      <c r="F28" s="283"/>
      <c r="G28" s="283" t="str">
        <f>IF(I28&lt;&gt;"", "Not Blank", "")</f>
        <v/>
      </c>
      <c r="H28" s="283"/>
      <c r="I28" s="283"/>
      <c r="J28" s="283" t="str">
        <f>IF(L28&lt;&gt;"", "Not Blank", "")</f>
        <v/>
      </c>
      <c r="K28" s="283"/>
      <c r="L28" s="283"/>
      <c r="M28" s="289"/>
      <c r="N28" s="4448"/>
      <c r="O28" s="4628"/>
      <c r="P28" s="1556"/>
      <c r="Q28" s="1376" t="s">
        <v>3</v>
      </c>
      <c r="R28" s="123" t="b">
        <f>IF(OR(Q28="Compliant",Q28="FE with work-a-round",Q28="Functionally Equivalent"),TRUE,FALSE)</f>
        <v>0</v>
      </c>
      <c r="S28" s="1555"/>
      <c r="T28" s="1555"/>
      <c r="U28" s="1556"/>
      <c r="V28" s="4448"/>
      <c r="W28" s="4625"/>
      <c r="X28" s="1555"/>
      <c r="Y28" s="1435"/>
      <c r="Z28" s="1436"/>
    </row>
    <row r="29" spans="1:28" ht="75.650000000000006" customHeight="1" thickTop="1" thickBot="1" x14ac:dyDescent="0.35">
      <c r="A29" s="2566">
        <v>5</v>
      </c>
      <c r="B29" s="2886" t="s">
        <v>1502</v>
      </c>
      <c r="C29" s="1864" t="s">
        <v>1790</v>
      </c>
      <c r="D29" s="2916" t="s">
        <v>565</v>
      </c>
      <c r="E29" s="2914" t="b">
        <f>IF(AND(E30=TRUE,E34=TRUE),TRUE,FALSE)</f>
        <v>0</v>
      </c>
      <c r="F29" s="2915">
        <f>COUNTIFS(E31:E33,"TRUE")</f>
        <v>0</v>
      </c>
      <c r="G29" s="2915">
        <f>COUNTIFS(E31:E33,TRUE,G31:G33,"Not Blank")</f>
        <v>0</v>
      </c>
      <c r="H29" s="2915">
        <f>COUNTIFS(E31:E33,FALSE,G31:G33,"Not Blank")</f>
        <v>0</v>
      </c>
      <c r="I29" s="1865" t="str">
        <f xml:space="preserve">
IF(F29&gt;3,"Too Many Entries - Check Red Lines",
IF(AND(E29=FALSE,G29=0,H29=0),"Nothing Entered below Yet",
IF(AND(G29=0,H29&gt;0),"**Non-Valid Entry/ies below - Check Yellow Line/s",
IF(G29&lt;F29,"Valid Entry required below - Check Amber box",
IF(AND(G29&gt;0,H29&gt;0),"**Valid and Non-Valid Entries made below - Check Yellow Line/s",
IF(AND(E29=FALSE,F29&lt;3),"Not all requirements addressed below - Check Pink Line/s",
IF(AND(E29=FALSE,G29&lt;3,G29&gt;0,H29=0),"More entries to come",
IF(AND(E29,TRUE,G29=3,H29=0),"Valid Entries made below"
))))))))</f>
        <v>Nothing Entered below Yet</v>
      </c>
      <c r="J29" s="1865">
        <f>COUNTIFS(E31:E33,TRUE,J31:J33,"Not Blank")</f>
        <v>0</v>
      </c>
      <c r="K29" s="1865">
        <f>COUNTIFS(E31:E33,FALSE,J31:J33,"Not Blank")</f>
        <v>0</v>
      </c>
      <c r="L29" s="1865" t="str">
        <f xml:space="preserve">
IF(J29&gt;3,"Too Many Entries - Check Red Lines",
IF(AND(E29=FALSE,J29=0,K29=0,E29=TRUE),"Nothing Required Below",
IF(J29&lt;F29,"Valid Entry required below - Check Amber Line/s",
IF(AND(E29=FALSE,J29=0,K29=0),"Nothing Entered below Yet",
IF(AND(J29=0,K29&gt;0),"**Non-Valid Entry/ies below - Check Yellow Line/s",
IF(AND(J29&gt;0,K29&gt;0),"**Valid and Non-Valid Entries made below - Check Yellow Line/s",
IF(AND(E29=FALSE,J29&lt;3),"Not all requirements addressed below - Check Pink Line/s",
IF(AND(E29=FALSE,J29&lt;3,J29&gt;0,K29=0),"More entries to come",
IF(AND(E29,TRUE,J29=3,K29=0),"Valid Entries made below"
)))))))))</f>
        <v>Nothing Entered below Yet</v>
      </c>
      <c r="M29" s="500"/>
      <c r="N29" s="4109" t="s">
        <v>565</v>
      </c>
      <c r="O29" s="897" t="b">
        <f>IF(AND(O30=TRUE),TRUE,FALSE)</f>
        <v>0</v>
      </c>
      <c r="P29" s="807"/>
      <c r="Q29" s="4111" t="s">
        <v>565</v>
      </c>
      <c r="R29" s="1373" t="b">
        <f>IF(AND(R30=TRUE,R34=TRUE),TRUE,FALSE)</f>
        <v>0</v>
      </c>
      <c r="S29" s="842"/>
      <c r="T29" s="842"/>
      <c r="U29" s="807"/>
      <c r="V29" s="4109" t="s">
        <v>565</v>
      </c>
      <c r="W29" s="412" t="b">
        <f>IF(AND(W30=TRUE),TRUE,FALSE)</f>
        <v>0</v>
      </c>
      <c r="X29" s="204"/>
      <c r="Y29" s="1544"/>
      <c r="Z29" s="1545"/>
    </row>
    <row r="30" spans="1:28" ht="32.15" customHeight="1" thickTop="1" x14ac:dyDescent="0.3">
      <c r="A30" s="2566" t="s">
        <v>1504</v>
      </c>
      <c r="B30" s="2906" t="s">
        <v>1707</v>
      </c>
      <c r="C30" s="2907" t="s">
        <v>1503</v>
      </c>
      <c r="D30" s="2925" t="s">
        <v>565</v>
      </c>
      <c r="E30" s="2921" t="b">
        <f>IF(AND(E31=TRUE,E32=TRUE,E33=TRUE),TRUE,FALSE)</f>
        <v>0</v>
      </c>
      <c r="F30" s="2922">
        <f>COUNTIFS(E31:E33,"TRUE")</f>
        <v>0</v>
      </c>
      <c r="G30" s="2922">
        <f>COUNTIFS(E31:E33,TRUE,G31:G33,"Not Blank")</f>
        <v>0</v>
      </c>
      <c r="H30" s="2922">
        <f>COUNTIFS(E31:E33,FALSE,G31:G33,"Not Blank")</f>
        <v>0</v>
      </c>
      <c r="I30" s="2923" t="str">
        <f xml:space="preserve">
IF(F30&gt;3,"Too Many Entries - Check Red Lines",
IF(AND(E30=FALSE,G30=0,H30=0),"Nothing Entered below Yet",
IF(AND(G30=0,H30&gt;0),"**Non-Valid Entry/ies below - Check Yellow Line/s",
IF(G30&lt;F30,"Valid Entry required below - Check Amber Line/s",
IF(AND(G30&gt;0,H30&gt;0),"**Valid and Non-Valid Entries made below - Check Yellow Line/s",
IF(AND(E30=FALSE,F30&lt;3),"Not all requirements addressed below - Check Pink Line/s",
IF(AND(E30=FALSE,G30&lt;3,G30&gt;0,H30=0),"More entries to come",
IF(AND(E30,TRUE,G30=3,H30=0),"Valid Entries made below"
))))))))</f>
        <v>Nothing Entered below Yet</v>
      </c>
      <c r="J30" s="2923">
        <f>COUNTIFS(E31:E33,TRUE,J31:J33,"Not Blank")</f>
        <v>0</v>
      </c>
      <c r="K30" s="2923">
        <f>COUNTIFS(E31:E33,FALSE,J31:J33,"Not Blank")</f>
        <v>0</v>
      </c>
      <c r="L30" s="2923" t="str">
        <f xml:space="preserve">
IF(J30&gt;3,"Too Many Entries - Check Red Lines",
IF(AND(E30=FALSE,J30=0,K30=0,E30=TRUE),"Nothing Required Below",
IF(J30&lt;F30,"Valid Entry required below - Check Amber Line/s",
IF(AND(E30=FALSE,J30=0,K30=0),"Nothing Entered below Yet",
IF(AND(J30=0,K30&gt;0),"**Non-Valid Entry/ies below - Check Yellow Line/s",
IF(AND(J30&gt;0,K30&gt;0),"**Valid and Non-Valid Entries made below - Check Yellow Line/s",
IF(AND(E30=FALSE,J30&lt;3),"Not all requirements addressed below - Check Pink Line/s",
IF(AND(E30=FALSE,J30&lt;3,J30&gt;0,K30=0),"More entries to come",
IF(AND(E30,TRUE,J30=3,K30=0),"Valid Entries made below"
)))))))))</f>
        <v>Nothing Entered below Yet</v>
      </c>
      <c r="M30" s="2362"/>
      <c r="N30" s="4446" t="s">
        <v>3</v>
      </c>
      <c r="O30" s="4491" t="b">
        <f>IF(OR(N30="Compliant",N30="FE with work-a-round",N30="Functionally Equivalent"),TRUE,FALSE)</f>
        <v>0</v>
      </c>
      <c r="P30" s="2390"/>
      <c r="Q30" s="4110" t="s">
        <v>565</v>
      </c>
      <c r="R30" s="814" t="b">
        <f>IF(AND(R31=TRUE,R32=TRUE,R33=TRUE),TRUE,FALSE)</f>
        <v>0</v>
      </c>
      <c r="S30" s="406"/>
      <c r="T30" s="406"/>
      <c r="U30" s="1398"/>
      <c r="V30" s="4446" t="s">
        <v>3</v>
      </c>
      <c r="W30" s="4499" t="b">
        <f>IF(OR(V30="Compliant",V30="FE with work-a-round",V30="Functionally Equivalent",V30="Not Required/Applicable"),TRUE,FALSE)</f>
        <v>0</v>
      </c>
      <c r="X30" s="1068"/>
      <c r="Y30" s="1433"/>
      <c r="Z30" s="1434"/>
    </row>
    <row r="31" spans="1:28" ht="29" x14ac:dyDescent="0.3">
      <c r="A31" s="2566"/>
      <c r="B31" s="1508"/>
      <c r="C31" s="1866" t="s">
        <v>1506</v>
      </c>
      <c r="D31" s="1013" t="s">
        <v>3</v>
      </c>
      <c r="E31" s="294" t="b">
        <f>IF(D31="Compliant",TRUE,FALSE)</f>
        <v>0</v>
      </c>
      <c r="F31" s="281"/>
      <c r="G31" s="281"/>
      <c r="H31" s="281"/>
      <c r="I31" s="3431"/>
      <c r="J31" s="3429"/>
      <c r="K31" s="3429"/>
      <c r="L31" s="3429"/>
      <c r="M31" s="329"/>
      <c r="N31" s="4447"/>
      <c r="O31" s="4492"/>
      <c r="P31" s="1081"/>
      <c r="Q31" s="1863" t="s">
        <v>3</v>
      </c>
      <c r="R31" s="44" t="b">
        <f>IF(OR(Q31="Compliant",Q31="FE with work-a-round",Q31="Functionally Equivalent"),TRUE,FALSE)</f>
        <v>0</v>
      </c>
      <c r="S31" s="261"/>
      <c r="T31" s="261"/>
      <c r="U31" s="575"/>
      <c r="V31" s="4447"/>
      <c r="W31" s="4500"/>
      <c r="X31" s="822"/>
      <c r="Y31" s="1431"/>
      <c r="Z31" s="1432"/>
    </row>
    <row r="32" spans="1:28" ht="29" x14ac:dyDescent="0.3">
      <c r="A32" s="2566"/>
      <c r="B32" s="2900"/>
      <c r="C32" s="1832" t="s">
        <v>1507</v>
      </c>
      <c r="D32" s="319" t="s">
        <v>3</v>
      </c>
      <c r="E32" s="294" t="b">
        <f>IF(D32="Compliant",TRUE,FALSE)</f>
        <v>0</v>
      </c>
      <c r="F32" s="281"/>
      <c r="G32" s="281"/>
      <c r="H32" s="281"/>
      <c r="I32" s="3431"/>
      <c r="J32" s="3429"/>
      <c r="K32" s="3429"/>
      <c r="L32" s="3429"/>
      <c r="M32" s="287"/>
      <c r="N32" s="4447"/>
      <c r="O32" s="4492"/>
      <c r="P32" s="1406"/>
      <c r="Q32" s="1060" t="s">
        <v>3</v>
      </c>
      <c r="R32" s="737" t="b">
        <f>IF(OR(Q32="Compliant",Q32="FE with work-a-round",Q32="Functionally Equivalent"),TRUE,FALSE)</f>
        <v>0</v>
      </c>
      <c r="S32" s="471"/>
      <c r="T32" s="471"/>
      <c r="U32" s="1406"/>
      <c r="V32" s="4447"/>
      <c r="W32" s="4500"/>
      <c r="X32" s="822"/>
      <c r="Y32" s="1431"/>
      <c r="Z32" s="1432"/>
    </row>
    <row r="33" spans="1:84" ht="29.5" thickBot="1" x14ac:dyDescent="0.35">
      <c r="A33" s="2566"/>
      <c r="B33" s="2900"/>
      <c r="C33" s="2908" t="s">
        <v>1508</v>
      </c>
      <c r="D33" s="230" t="s">
        <v>3</v>
      </c>
      <c r="E33" s="645" t="b">
        <f>IF(D33="Compliant",TRUE,FALSE)</f>
        <v>0</v>
      </c>
      <c r="F33" s="328"/>
      <c r="G33" s="328"/>
      <c r="H33" s="328"/>
      <c r="I33" s="3431"/>
      <c r="J33" s="3429"/>
      <c r="K33" s="3429"/>
      <c r="L33" s="3429"/>
      <c r="M33" s="912"/>
      <c r="N33" s="4448"/>
      <c r="O33" s="4493"/>
      <c r="P33" s="1411"/>
      <c r="Q33" s="1017" t="s">
        <v>3</v>
      </c>
      <c r="R33" s="738" t="b">
        <f>IF(OR(Q33="Compliant",Q33="FE with work-a-round",Q33="Functionally Equivalent"),TRUE,FALSE)</f>
        <v>0</v>
      </c>
      <c r="S33" s="1224"/>
      <c r="T33" s="1224"/>
      <c r="U33" s="1411"/>
      <c r="V33" s="4448"/>
      <c r="W33" s="4501"/>
      <c r="X33" s="1283"/>
      <c r="Y33" s="1435"/>
      <c r="Z33" s="1436"/>
    </row>
    <row r="34" spans="1:84" ht="32.15" customHeight="1" thickTop="1" x14ac:dyDescent="0.3">
      <c r="A34" s="2566" t="s">
        <v>1505</v>
      </c>
      <c r="B34" s="2886" t="s">
        <v>1708</v>
      </c>
      <c r="C34" s="2909" t="s">
        <v>1509</v>
      </c>
      <c r="D34" s="2920" t="s">
        <v>565</v>
      </c>
      <c r="E34" s="2926" t="b">
        <f>IF(AND(E35=TRUE,E36=TRUE,E37=TRUE,E38=TRUE),TRUE,FALSE)</f>
        <v>0</v>
      </c>
      <c r="F34" s="2922">
        <f>COUNTIFS(E35:E38,"TRUE")</f>
        <v>0</v>
      </c>
      <c r="G34" s="2922">
        <f>COUNTIFS(E35:E38,TRUE,G35:G38,"Not Blank")</f>
        <v>0</v>
      </c>
      <c r="H34" s="2922">
        <f>COUNTIFS(E35:E38,FALSE,G35:G38,"Not Blank")</f>
        <v>0</v>
      </c>
      <c r="I34" s="2923" t="str">
        <f xml:space="preserve">
IF(F34&gt;4,"Too Many Entries - Check Red Lines",
IF(AND(E34=FALSE,G34=0,H34=0),"Nothing Entered below Yet",
IF(AND(G34=0,H34&gt;0),"**Non-Valid Entry/ies below - Check Yellow Line/s",
IF(G34&lt;F34,"Valid Entry required below - Check Amber Line/s",
IF(AND(G34&gt;0,H34&gt;0),"**Valid and Non-Valid Entries made below - Check Yellow Line/s",
IF(AND(E34=FALSE,F34&lt;4),"Not all requirements addressed below - Check Pink Line/s",
IF(AND(E34=FALSE,G34&lt;4,G34&gt;0,H34=0),"More entries to come",
IF(AND(E34,TRUE,G34=4,H34=0),"Valid Entries made below"
))))))))</f>
        <v>Nothing Entered below Yet</v>
      </c>
      <c r="J34" s="2923">
        <f>COUNTIFS(E35:E38,TRUE,J35:J38,"Not Blank")</f>
        <v>0</v>
      </c>
      <c r="K34" s="2923">
        <f>COUNTIFS(E35:E38,FALSE,J35:J38,"Not Blank")</f>
        <v>0</v>
      </c>
      <c r="L34" s="2923" t="str">
        <f xml:space="preserve">
IF(J34&gt;4,"Too Many Entries - Check Red Lines",
IF(AND(E34=FALSE,J34=0,K34=0,E34=TRUE),"Nothing Required Below",
IF(J34&lt;F34,"Valid Entry required below - Check Amber Line/s",
IF(AND(E34=FALSE,J34=0,K34=0),"Nothing Entered below Yet",
IF(AND(J34=0,K34&gt;0),"**Non-Valid Entry/ies below - Check Yellow Line/s",
IF(AND(J34&gt;0,K34&gt;0),"**Valid and Non-Valid Entries made below - Check Yellow Line/s",
IF(AND(E34=FALSE,J34&lt;4),"Not all requirements addressed below - Check Pink Line/s",
IF(AND(E34=FALSE,J34&lt;4,J34&gt;0,K34=0),"More entries to come",
IF(AND(E34,TRUE,J34=4,K34=0),"Valid Entries made below"
)))))))))</f>
        <v>Nothing Entered below Yet</v>
      </c>
      <c r="M34" s="2362"/>
      <c r="N34" s="4446" t="s">
        <v>3</v>
      </c>
      <c r="O34" s="4491" t="b">
        <f>IF(OR(N34="Compliant",N34="FE with work-a-round",N34="Functionally Equivalent"),TRUE,FALSE)</f>
        <v>0</v>
      </c>
      <c r="P34" s="1552"/>
      <c r="Q34" s="4110" t="s">
        <v>565</v>
      </c>
      <c r="R34" s="814" t="b">
        <f>IF(AND(R35=TRUE,R36=TRUE,R37=TRUE,R38=TRUE),TRUE,FALSE)</f>
        <v>0</v>
      </c>
      <c r="S34" s="406"/>
      <c r="T34" s="406"/>
      <c r="U34" s="1398"/>
      <c r="V34" s="4446" t="s">
        <v>3</v>
      </c>
      <c r="W34" s="4499" t="b">
        <f>IF(OR(V34="Compliant",V34="FE with work-a-round",V34="Functionally Equivalent",V34="Not Required/Applicable"),TRUE,FALSE)</f>
        <v>0</v>
      </c>
      <c r="X34" s="1068"/>
      <c r="Y34" s="1433"/>
      <c r="Z34" s="1434"/>
    </row>
    <row r="35" spans="1:84" ht="29" x14ac:dyDescent="0.3">
      <c r="A35" s="2566"/>
      <c r="B35" s="2910"/>
      <c r="C35" s="2892" t="s">
        <v>1510</v>
      </c>
      <c r="D35" s="1013" t="s">
        <v>3</v>
      </c>
      <c r="E35" s="598" t="b">
        <f>IF(D35="Compliant",TRUE,FALSE)</f>
        <v>0</v>
      </c>
      <c r="F35" s="302"/>
      <c r="G35" s="302"/>
      <c r="H35" s="302"/>
      <c r="I35" s="3431"/>
      <c r="J35" s="3429"/>
      <c r="K35" s="3429"/>
      <c r="L35" s="3429"/>
      <c r="M35" s="2363"/>
      <c r="N35" s="4447"/>
      <c r="O35" s="4492"/>
      <c r="P35" s="2584"/>
      <c r="Q35" s="1863" t="s">
        <v>3</v>
      </c>
      <c r="R35" s="44" t="b">
        <f>IF(OR(Q35="Compliant",Q35="FE with work-a-round",Q35="Functionally Equivalent"),TRUE,FALSE)</f>
        <v>0</v>
      </c>
      <c r="S35" s="261"/>
      <c r="T35" s="261"/>
      <c r="U35" s="575"/>
      <c r="V35" s="4447"/>
      <c r="W35" s="4500"/>
      <c r="X35" s="822"/>
      <c r="Y35" s="1431"/>
      <c r="Z35" s="1432"/>
    </row>
    <row r="36" spans="1:84" ht="29" x14ac:dyDescent="0.3">
      <c r="A36" s="2566"/>
      <c r="B36" s="1869"/>
      <c r="C36" s="1717" t="s">
        <v>1511</v>
      </c>
      <c r="D36" s="319" t="s">
        <v>3</v>
      </c>
      <c r="E36" s="599" t="b">
        <f>IF(D36="Compliant",TRUE,FALSE)</f>
        <v>0</v>
      </c>
      <c r="F36" s="303"/>
      <c r="G36" s="303"/>
      <c r="H36" s="303"/>
      <c r="I36" s="303"/>
      <c r="J36" s="303"/>
      <c r="K36" s="303"/>
      <c r="L36" s="303"/>
      <c r="M36" s="305"/>
      <c r="N36" s="4447"/>
      <c r="O36" s="4492"/>
      <c r="P36" s="1406"/>
      <c r="Q36" s="1060" t="s">
        <v>3</v>
      </c>
      <c r="R36" s="737" t="b">
        <f>IF(OR(Q36="Compliant",Q36="FE with work-a-round",Q36="Functionally Equivalent"),TRUE,FALSE)</f>
        <v>0</v>
      </c>
      <c r="S36" s="471"/>
      <c r="T36" s="471"/>
      <c r="U36" s="1406"/>
      <c r="V36" s="4447"/>
      <c r="W36" s="4500"/>
      <c r="X36" s="822"/>
      <c r="Y36" s="1431"/>
      <c r="Z36" s="1432"/>
    </row>
    <row r="37" spans="1:84" ht="29" x14ac:dyDescent="0.3">
      <c r="A37" s="2566"/>
      <c r="B37" s="2910"/>
      <c r="C37" s="2893" t="s">
        <v>1512</v>
      </c>
      <c r="D37" s="319" t="s">
        <v>3</v>
      </c>
      <c r="E37" s="599" t="b">
        <f>IF(D37="Compliant",TRUE,FALSE)</f>
        <v>0</v>
      </c>
      <c r="F37" s="303"/>
      <c r="G37" s="303"/>
      <c r="H37" s="303"/>
      <c r="I37" s="3431"/>
      <c r="J37" s="3429"/>
      <c r="K37" s="3429"/>
      <c r="L37" s="3429"/>
      <c r="M37" s="305"/>
      <c r="N37" s="4447"/>
      <c r="O37" s="4492"/>
      <c r="P37" s="1406"/>
      <c r="Q37" s="1060" t="s">
        <v>3</v>
      </c>
      <c r="R37" s="737" t="b">
        <f>IF(OR(Q37="Compliant",Q37="FE with work-a-round",Q37="Functionally Equivalent"),TRUE,FALSE)</f>
        <v>0</v>
      </c>
      <c r="S37" s="471"/>
      <c r="T37" s="471"/>
      <c r="U37" s="1406"/>
      <c r="V37" s="4447"/>
      <c r="W37" s="4500"/>
      <c r="X37" s="822"/>
      <c r="Y37" s="1431"/>
      <c r="Z37" s="1432"/>
    </row>
    <row r="38" spans="1:84" ht="29.5" thickBot="1" x14ac:dyDescent="0.35">
      <c r="A38" s="2566"/>
      <c r="B38" s="2632"/>
      <c r="C38" s="2911" t="s">
        <v>1513</v>
      </c>
      <c r="D38" s="230" t="s">
        <v>3</v>
      </c>
      <c r="E38" s="492" t="b">
        <f>IF(D38="Compliant",TRUE,FALSE)</f>
        <v>0</v>
      </c>
      <c r="F38" s="299"/>
      <c r="G38" s="299"/>
      <c r="H38" s="299"/>
      <c r="I38" s="3582"/>
      <c r="J38" s="3583"/>
      <c r="K38" s="3583"/>
      <c r="L38" s="3584"/>
      <c r="M38" s="3478"/>
      <c r="N38" s="4448"/>
      <c r="O38" s="4493"/>
      <c r="P38" s="1411"/>
      <c r="Q38" s="1017" t="s">
        <v>3</v>
      </c>
      <c r="R38" s="738" t="b">
        <f>IF(OR(Q38="Compliant",Q38="FE with work-a-round",Q38="Functionally Equivalent"),TRUE,FALSE)</f>
        <v>0</v>
      </c>
      <c r="S38" s="1224"/>
      <c r="T38" s="1224"/>
      <c r="U38" s="1411"/>
      <c r="V38" s="4448"/>
      <c r="W38" s="4501"/>
      <c r="X38" s="1283"/>
      <c r="Y38" s="1435"/>
      <c r="Z38" s="1436"/>
    </row>
    <row r="39" spans="1:84" s="3663" customFormat="1" ht="15" thickTop="1" x14ac:dyDescent="0.3">
      <c r="A39" s="4113"/>
      <c r="B39" s="3634"/>
      <c r="C39" s="3634"/>
      <c r="D39" s="3634"/>
      <c r="E39" s="3634"/>
      <c r="F39" s="3634"/>
      <c r="G39" s="3634"/>
      <c r="H39" s="3634"/>
      <c r="I39" s="3634"/>
      <c r="J39" s="3634"/>
      <c r="K39" s="3634"/>
      <c r="L39" s="3634"/>
      <c r="M39" s="3634"/>
      <c r="N39" s="3636"/>
      <c r="O39" s="3636"/>
      <c r="P39" s="3639"/>
      <c r="Q39" s="3634"/>
      <c r="R39" s="3636"/>
      <c r="S39" s="3639"/>
      <c r="T39" s="3639"/>
      <c r="U39" s="3639"/>
      <c r="V39" s="3660"/>
      <c r="W39" s="3636"/>
      <c r="X39" s="3660"/>
      <c r="Y39" s="3660"/>
      <c r="Z39" s="3660"/>
    </row>
    <row r="40" spans="1:84" s="3663" customFormat="1" ht="18.649999999999999" customHeight="1" x14ac:dyDescent="0.3">
      <c r="A40" s="4635" t="s">
        <v>1136</v>
      </c>
      <c r="B40" s="4636"/>
      <c r="C40" s="4636"/>
      <c r="D40" s="4636"/>
      <c r="E40" s="4636"/>
      <c r="F40" s="4636"/>
      <c r="G40" s="4636"/>
      <c r="H40" s="4636"/>
      <c r="I40" s="4636"/>
      <c r="J40" s="4636"/>
      <c r="K40" s="4636"/>
      <c r="L40" s="4636"/>
      <c r="M40" s="4636"/>
      <c r="N40" s="4636"/>
      <c r="O40" s="3646"/>
      <c r="P40" s="3806"/>
      <c r="Q40" s="3806"/>
      <c r="R40" s="3804"/>
      <c r="S40" s="3806"/>
      <c r="T40" s="3806"/>
      <c r="U40" s="3806"/>
      <c r="V40" s="3656"/>
      <c r="W40" s="3804"/>
      <c r="X40" s="3656"/>
      <c r="Y40" s="3656"/>
      <c r="Z40" s="3656"/>
    </row>
    <row r="41" spans="1:84" s="3663" customFormat="1" ht="13.5" thickBot="1" x14ac:dyDescent="0.35">
      <c r="A41" s="4114"/>
      <c r="B41" s="3636"/>
      <c r="C41" s="3636"/>
      <c r="P41" s="3699"/>
      <c r="Q41" s="3699"/>
      <c r="R41" s="3877"/>
      <c r="S41" s="3699"/>
      <c r="T41" s="3699"/>
      <c r="U41" s="3699"/>
      <c r="V41" s="4059"/>
      <c r="W41" s="3877"/>
      <c r="X41" s="4059"/>
      <c r="Y41" s="4059"/>
      <c r="Z41" s="4059"/>
    </row>
    <row r="42" spans="1:84" s="310" customFormat="1" ht="31.5" customHeight="1" thickTop="1" thickBot="1" x14ac:dyDescent="0.35">
      <c r="A42" s="204">
        <v>11</v>
      </c>
      <c r="B42" s="2904" t="s">
        <v>474</v>
      </c>
      <c r="C42" s="2905" t="s">
        <v>670</v>
      </c>
      <c r="D42" s="2927" t="s">
        <v>565</v>
      </c>
      <c r="E42" s="578" t="b">
        <f>IF(AND(E43=TRUE,E45=TRUE,E44=TRUE,E46=TRUE),TRUE,FALSE)</f>
        <v>0</v>
      </c>
      <c r="F42" s="568">
        <f>COUNTIF(E43:E46,TRUE)</f>
        <v>0</v>
      </c>
      <c r="G42" s="270">
        <f>COUNTIFS(E43:E46,TRUE,G43:G46,"Not Blank")</f>
        <v>0</v>
      </c>
      <c r="H42" s="270">
        <f>COUNTIFS(E43:E46,FALSE,G43:G46,"Not Blank")</f>
        <v>0</v>
      </c>
      <c r="I42" s="1642" t="str">
        <f xml:space="preserve">
IF(F42&gt;4,"Too Many Entries - Check Red Lines",
IF(AND(E42=FALSE,G42=0,H42=0),"Nothing Entered below Yet",
IF(AND(G42=0,H42&gt;0),"**Non-Valid Entry/ies below - Check Yellow Line/s",
IF(G42&lt;F42,"Valid Entry required below - Check Amber Line/s",
IF(AND(G42&gt;0,H42&gt;0),"**Valid and Non-Valid Entries made below - Check Yellow Line/s",
IF(AND(E42=FALSE,F42&lt;4),"Not all requirements addressed below - Check Pink Line/s",
IF(AND(E42=FALSE,G42&lt;4,G42&gt;0,H42=0),"More entries to come",
IF(AND(E42,TRUE,G42=4,H42=0),"Valid Entries made below"
))))))))</f>
        <v>Nothing Entered below Yet</v>
      </c>
      <c r="J42" s="1642">
        <f>COUNTIFS(E43:E46,TRUE,J43:J46,"Not Blank")</f>
        <v>0</v>
      </c>
      <c r="K42" s="1642">
        <f>COUNTIFS(E43:E46,FALSE,J43:J46,"Not Blank")</f>
        <v>0</v>
      </c>
      <c r="L42" s="1642" t="str">
        <f xml:space="preserve">
IF(J42&gt;4,"Too Many Entries - Check Red Lines",
IF(AND(E42=FALSE,J42=0,K42=0,E42=TRUE),"Nothing Required Below",
IF(J42&lt;F42,"Valid Entry required below - Check Amber Line/s",
IF(AND(E42=FALSE,J42=0,K42=0),"Nothing Entered below Yet",
IF(AND(J42=0,K42&gt;0),"**Non-Valid Entry/ies below - Check Yellow Line/s",
IF(AND(J42&gt;0,K42&gt;0),"**Valid and Non-Valid Entries made below - Check Yellow Line/s",
IF(AND(E42=FALSE,J42&lt;4),"Not all requirements addressed below - Check Pink Line/s",
IF(AND(E42=FALSE,J42&lt;4,J42&gt;0,K42=0),"More entries to come",
IF(AND(E42,TRUE,J42=4,K42=0),"Valid Entries made below"
)))))))))</f>
        <v>Nothing Entered below Yet</v>
      </c>
      <c r="M42" s="337"/>
      <c r="N42" s="4446" t="s">
        <v>3</v>
      </c>
      <c r="O42" s="4629" t="b">
        <f>IF(OR(N42="Compliant",N42="FE with work-a-round",N42="Functionally Equivalent"),TRUE,FALSE)</f>
        <v>0</v>
      </c>
      <c r="P42" s="134"/>
      <c r="Q42" s="4112" t="s">
        <v>565</v>
      </c>
      <c r="R42" s="814" t="b">
        <f>IF(AND(R43=TRUE,R44=TRUE,R45=TRUE,R46=TRUE),TRUE,FALSE)</f>
        <v>0</v>
      </c>
      <c r="S42" s="111"/>
      <c r="T42" s="111"/>
      <c r="U42" s="120"/>
      <c r="V42" s="4446" t="s">
        <v>3</v>
      </c>
      <c r="W42" s="4499" t="b">
        <f>IF(OR(V42="Compliant",V42="FE with work-a-round",V42="Functionally Equivalent",V42="Not Required/Applicable"),TRUE,FALSE)</f>
        <v>0</v>
      </c>
      <c r="X42" s="2145"/>
      <c r="Y42" s="186"/>
      <c r="Z42" s="306"/>
      <c r="AA42" s="308"/>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309"/>
    </row>
    <row r="43" spans="1:84" s="27" customFormat="1" ht="116.5" thickTop="1" x14ac:dyDescent="0.3">
      <c r="A43" s="28" t="s">
        <v>1106</v>
      </c>
      <c r="B43" s="1504"/>
      <c r="C43" s="2194" t="s">
        <v>1155</v>
      </c>
      <c r="D43" s="1013" t="s">
        <v>3</v>
      </c>
      <c r="E43" s="594" t="b">
        <f>IF(D43="Compliant",TRUE,FALSE)</f>
        <v>0</v>
      </c>
      <c r="F43" s="361"/>
      <c r="G43" s="1403" t="str">
        <f>IF(I43&lt;&gt;"", "Not Blank", "")</f>
        <v/>
      </c>
      <c r="H43" s="1403"/>
      <c r="I43" s="2586"/>
      <c r="J43" s="42" t="str">
        <f>IF(L43&lt;&gt;"", "Not Blank", "")</f>
        <v/>
      </c>
      <c r="K43" s="42"/>
      <c r="L43" s="42"/>
      <c r="M43" s="128"/>
      <c r="N43" s="4447"/>
      <c r="O43" s="4630"/>
      <c r="P43" s="128"/>
      <c r="Q43" s="1135" t="s">
        <v>3</v>
      </c>
      <c r="R43" s="737" t="b">
        <f>IF(OR(Q43="Compliant",Q43="FE with work-a-round",Q43="Functionally Equivalent"),TRUE,FALSE)</f>
        <v>0</v>
      </c>
      <c r="S43" s="44"/>
      <c r="T43" s="44"/>
      <c r="U43" s="122"/>
      <c r="V43" s="4447"/>
      <c r="W43" s="4500"/>
      <c r="X43" s="2146"/>
      <c r="Y43" s="44"/>
      <c r="Z43" s="122"/>
      <c r="AA43" s="65"/>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40"/>
    </row>
    <row r="44" spans="1:84" s="27" customFormat="1" ht="145" x14ac:dyDescent="0.3">
      <c r="A44" s="28">
        <v>7.5</v>
      </c>
      <c r="B44" s="1504"/>
      <c r="C44" s="1717" t="s">
        <v>1141</v>
      </c>
      <c r="D44" s="319" t="s">
        <v>3</v>
      </c>
      <c r="E44" s="594" t="b">
        <f>IF(D44="Compliant",TRUE,FALSE)</f>
        <v>0</v>
      </c>
      <c r="F44" s="361"/>
      <c r="G44" s="1403" t="str">
        <f>IF(I44&lt;&gt;"", "Not Blank", "")</f>
        <v/>
      </c>
      <c r="H44" s="1403"/>
      <c r="I44" s="2587"/>
      <c r="J44" s="44" t="str">
        <f>IF(L44&lt;&gt;"", "Not Blank", "")</f>
        <v/>
      </c>
      <c r="K44" s="44"/>
      <c r="L44" s="44"/>
      <c r="M44" s="122"/>
      <c r="N44" s="4447"/>
      <c r="O44" s="4630"/>
      <c r="P44" s="122"/>
      <c r="Q44" s="1060" t="s">
        <v>3</v>
      </c>
      <c r="R44" s="737" t="b">
        <f>IF(OR(Q44="Compliant",Q44="FE with work-a-round",Q44="Functionally Equivalent"),TRUE,FALSE)</f>
        <v>0</v>
      </c>
      <c r="S44" s="44"/>
      <c r="T44" s="44"/>
      <c r="U44" s="122"/>
      <c r="V44" s="4447"/>
      <c r="W44" s="4500"/>
      <c r="X44" s="2146"/>
      <c r="Y44" s="44"/>
      <c r="Z44" s="122"/>
      <c r="AA44" s="65"/>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40"/>
    </row>
    <row r="45" spans="1:84" s="27" customFormat="1" ht="43.5" x14ac:dyDescent="0.3">
      <c r="A45" s="28"/>
      <c r="B45" s="1504"/>
      <c r="C45" s="1717" t="s">
        <v>1832</v>
      </c>
      <c r="D45" s="319" t="s">
        <v>3</v>
      </c>
      <c r="E45" s="594" t="b">
        <f>IF(D45="Compliant",TRUE,FALSE)</f>
        <v>0</v>
      </c>
      <c r="F45" s="361"/>
      <c r="G45" s="1403" t="str">
        <f>IF(I45&lt;&gt;"", "Not Blank", "")</f>
        <v/>
      </c>
      <c r="H45" s="1403"/>
      <c r="I45" s="2587"/>
      <c r="J45" s="44" t="str">
        <f>IF(L45&lt;&gt;"", "Not Blank", "")</f>
        <v/>
      </c>
      <c r="K45" s="44"/>
      <c r="L45" s="44"/>
      <c r="M45" s="122"/>
      <c r="N45" s="4447"/>
      <c r="O45" s="4630"/>
      <c r="P45" s="122"/>
      <c r="Q45" s="1060" t="s">
        <v>3</v>
      </c>
      <c r="R45" s="737" t="b">
        <f>IF(OR(Q45="Compliant",Q45="FE with work-a-round",Q45="Functionally Equivalent"),TRUE,FALSE)</f>
        <v>0</v>
      </c>
      <c r="S45" s="44"/>
      <c r="T45" s="44"/>
      <c r="U45" s="122"/>
      <c r="V45" s="4447"/>
      <c r="W45" s="4500"/>
      <c r="X45" s="2146"/>
      <c r="Y45" s="44"/>
      <c r="Z45" s="122"/>
      <c r="AA45" s="65"/>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40"/>
    </row>
    <row r="46" spans="1:84" s="27" customFormat="1" ht="203.5" thickBot="1" x14ac:dyDescent="0.35">
      <c r="A46" s="1419" t="s">
        <v>1103</v>
      </c>
      <c r="B46" s="1505"/>
      <c r="C46" s="1842" t="s">
        <v>1140</v>
      </c>
      <c r="D46" s="230" t="s">
        <v>3</v>
      </c>
      <c r="E46" s="595" t="b">
        <f>IF(D46="Compliant",TRUE,FALSE)</f>
        <v>0</v>
      </c>
      <c r="F46" s="258"/>
      <c r="G46" s="1446" t="str">
        <f>IF(I46&lt;&gt;"", "Not Blank", "")</f>
        <v/>
      </c>
      <c r="H46" s="1446"/>
      <c r="I46" s="2588"/>
      <c r="J46" s="124" t="str">
        <f>IF(L46&lt;&gt;"", "Not Blank", "")</f>
        <v/>
      </c>
      <c r="K46" s="124"/>
      <c r="L46" s="124"/>
      <c r="M46" s="125"/>
      <c r="N46" s="4448"/>
      <c r="O46" s="4631"/>
      <c r="P46" s="125"/>
      <c r="Q46" s="1017" t="s">
        <v>3</v>
      </c>
      <c r="R46" s="737" t="b">
        <f>IF(OR(Q46="Compliant",Q46="FE with work-a-round",Q46="Functionally Equivalent"),TRUE,FALSE)</f>
        <v>0</v>
      </c>
      <c r="S46" s="124"/>
      <c r="T46" s="124"/>
      <c r="U46" s="125"/>
      <c r="V46" s="4448"/>
      <c r="W46" s="4501"/>
      <c r="X46" s="831"/>
      <c r="Y46" s="124"/>
      <c r="Z46" s="125"/>
      <c r="AA46" s="65"/>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40"/>
    </row>
    <row r="47" spans="1:84" s="3663" customFormat="1" ht="18.649999999999999" customHeight="1" thickTop="1" x14ac:dyDescent="0.3">
      <c r="A47" s="4115"/>
      <c r="B47" s="3755"/>
      <c r="C47" s="3755"/>
      <c r="D47" s="3755"/>
      <c r="E47" s="3755"/>
      <c r="F47" s="3755"/>
      <c r="G47" s="3755"/>
      <c r="H47" s="3755"/>
      <c r="I47" s="3755"/>
      <c r="J47" s="3755"/>
      <c r="K47" s="3755"/>
      <c r="L47" s="3755"/>
      <c r="M47" s="3755"/>
      <c r="N47" s="3719"/>
      <c r="O47" s="3755"/>
      <c r="P47" s="4116"/>
      <c r="Q47" s="4116"/>
      <c r="R47" s="4117"/>
      <c r="S47" s="4118"/>
      <c r="T47" s="4119"/>
      <c r="U47" s="4119"/>
      <c r="V47" s="3725"/>
      <c r="W47" s="4117"/>
      <c r="X47" s="3779"/>
      <c r="Y47" s="4120"/>
      <c r="Z47" s="4097"/>
    </row>
    <row r="48" spans="1:84" s="3663" customFormat="1" ht="18.649999999999999" customHeight="1" x14ac:dyDescent="0.3">
      <c r="A48" s="4482" t="s">
        <v>472</v>
      </c>
      <c r="B48" s="4483"/>
      <c r="C48" s="4483"/>
      <c r="D48" s="4483"/>
      <c r="E48" s="4483"/>
      <c r="F48" s="4483"/>
      <c r="G48" s="4483"/>
      <c r="H48" s="4483"/>
      <c r="I48" s="4483"/>
      <c r="J48" s="4483"/>
      <c r="K48" s="4483"/>
      <c r="L48" s="4483"/>
      <c r="M48" s="4483"/>
      <c r="N48" s="4483"/>
      <c r="O48" s="3669"/>
      <c r="P48" s="3670"/>
      <c r="Q48" s="3670"/>
      <c r="R48" s="4050"/>
      <c r="S48" s="3671"/>
      <c r="T48" s="3672"/>
      <c r="U48" s="3672"/>
      <c r="V48" s="3673"/>
      <c r="W48" s="4050"/>
      <c r="X48" s="3674"/>
      <c r="Y48" s="3675"/>
      <c r="Z48" s="3676"/>
    </row>
    <row r="49" spans="1:84" s="4132" customFormat="1" ht="19" thickBot="1" x14ac:dyDescent="0.35">
      <c r="A49" s="4115"/>
      <c r="B49" s="4121"/>
      <c r="C49" s="4122"/>
      <c r="D49" s="4033"/>
      <c r="E49" s="4033"/>
      <c r="F49" s="4033"/>
      <c r="G49" s="4033"/>
      <c r="H49" s="4033"/>
      <c r="I49" s="4038"/>
      <c r="J49" s="4033"/>
      <c r="K49" s="4033"/>
      <c r="L49" s="4033"/>
      <c r="M49" s="4033"/>
      <c r="N49" s="4033"/>
      <c r="O49" s="4041"/>
      <c r="P49" s="4123"/>
      <c r="Q49" s="3769"/>
      <c r="R49" s="4124"/>
      <c r="S49" s="4125"/>
      <c r="T49" s="4126"/>
      <c r="U49" s="4126"/>
      <c r="V49" s="4127"/>
      <c r="W49" s="4128"/>
      <c r="X49" s="4129"/>
      <c r="Y49" s="4130"/>
      <c r="Z49" s="4131"/>
    </row>
    <row r="50" spans="1:84" s="2591" customFormat="1" ht="30" thickTop="1" thickBot="1" x14ac:dyDescent="0.35">
      <c r="A50" s="1527"/>
      <c r="B50" s="2902" t="s">
        <v>1358</v>
      </c>
      <c r="C50" s="2903" t="s">
        <v>1376</v>
      </c>
      <c r="D50" s="2928" t="s">
        <v>565</v>
      </c>
      <c r="E50" s="388" t="b">
        <f>IF(AND(E51,TRUE,E60,TRUE,E117,TRUE),TRUE,FALSE)</f>
        <v>0</v>
      </c>
      <c r="F50" s="388">
        <f>SUM(F52,F60)</f>
        <v>5</v>
      </c>
      <c r="G50" s="388">
        <f>COUNTIFS(E52:E70,TRUE,G52:G70,"Not Blank")</f>
        <v>0</v>
      </c>
      <c r="H50" s="581">
        <f>COUNTIFS(E52:E68,FALSE,G52:G68,"Not Blank")</f>
        <v>0</v>
      </c>
      <c r="I50" s="2064" t="str">
        <f xml:space="preserve">
IF(F50&gt;50,"Too Many Entries - Check Red Lines",
IF(AND(E50=FALSE,G50=0,H50=0,E50=TRUE),"Nothing Required Below",
IF(G50&lt;F50,"Valid Entry required below - Check Amber Line/s",
IF(AND(E50=FALSE,G50=0,H50=0),"Nothing Entered below Yet",
IF(G50&lt;F50,"Valid Entry required below - Check Amber Line/s",
IF(AND(G50=0,H50&gt;0),"**Non-Valid Entry/ies below - Check Yellow Line/s",
IF(AND(G50&gt;0,H50&gt;0),"**Valid and Non-Valid Entries made below - Check Yellow Line/s",
IF(AND(E50=FALSE,F50&lt;50),"Not all requirements addressed below - Check Pink Line/s",
IF(AND(E50=FALSE,G50&lt;50,G50&gt;0,H50=0),"More entries to come",
IF(AND(E50,TRUE,G50=50,H50=0),"Valid Entries made below"
))))))))))</f>
        <v>Valid Entry required below - Check Amber Line/s</v>
      </c>
      <c r="J50" s="1642">
        <f>COUNTIFS(E52:E70,TRUE,J52:J70,"Not Blank")</f>
        <v>0</v>
      </c>
      <c r="K50" s="1642">
        <f>COUNTIFS(E52:E70,FALSE,J52:J70,"Not Blank")</f>
        <v>0</v>
      </c>
      <c r="L50" s="1642" t="str">
        <f xml:space="preserve">
IF(J50&gt;50,"Too Many Entries - Check Red Lines",
IF(AND(E50=FALSE,J50=0,K50=0,E49=TRUE),"Nothing Required Below",
IF(J50&lt;F50,"Valid Entry required below - Check Amber Line/s",
IF(AND(E50=FALSE,J50=0,K50=0),"Nothing Entered below Yet",
IF(AND(J50=0,K50&gt;0),"**Non-Valid Entry/ies below - Check Yellow Line/s",
IF(AND(J50&gt;0,K50&gt;0),"**Valid and Non-Valid Entries made below - Check Yellow Line/s",
IF(AND(E50=FALSE,J50&lt;50),"Not all requirements addressed below - Check Pink Line/s",
IF(AND(E50=FALSE,J50&lt;50,J50&gt;0,K50=0),"More entries to come",
IF(AND(E50,TRUE,J50=50,K50=0),"Valid Entries made below"
)))))))))</f>
        <v>Valid Entry required below - Check Amber Line/s</v>
      </c>
      <c r="M50" s="337"/>
      <c r="N50" s="4109" t="s">
        <v>565</v>
      </c>
      <c r="O50" s="119" t="b">
        <f>IF(AND(O51,TRUE,O60,TRUE,O117,TRUE),TRUE,FALSE)</f>
        <v>0</v>
      </c>
      <c r="P50" s="459"/>
      <c r="Q50" s="4109" t="s">
        <v>565</v>
      </c>
      <c r="R50" s="814" t="b">
        <f>IF(AND(R51,TRUE,R60,TRUE,R117,TRUE),TRUE,FALSE)</f>
        <v>0</v>
      </c>
      <c r="S50" s="186"/>
      <c r="T50" s="186"/>
      <c r="U50" s="459"/>
      <c r="V50" s="4109" t="s">
        <v>565</v>
      </c>
      <c r="W50" s="1773" t="b">
        <f>IF(AND(W51,TRUE,W60,TRUE,W117,TRUE),TRUE,FALSE)</f>
        <v>0</v>
      </c>
      <c r="X50" s="1565"/>
      <c r="Y50" s="2589"/>
      <c r="Z50" s="2590"/>
    </row>
    <row r="51" spans="1:84" s="27" customFormat="1" ht="30" thickTop="1" thickBot="1" x14ac:dyDescent="0.35">
      <c r="A51" s="60">
        <v>6</v>
      </c>
      <c r="B51" s="2886" t="s">
        <v>419</v>
      </c>
      <c r="C51" s="1830" t="s">
        <v>1518</v>
      </c>
      <c r="D51" s="2929" t="s">
        <v>565</v>
      </c>
      <c r="E51" s="2921" t="b">
        <f>IF(AND(E52=TRUE,E58=TRUE),TRUE,FALSE)</f>
        <v>1</v>
      </c>
      <c r="F51" s="2922">
        <f>COUNTIF(E53:E58,TRUE)</f>
        <v>6</v>
      </c>
      <c r="G51" s="2922">
        <f>COUNTIFS(E53:E58,TRUE,G53:G58,"Not Blank")</f>
        <v>0</v>
      </c>
      <c r="H51" s="2930">
        <f>COUNTIFS(E53:E58,FALSE,G53:G58,"Not Blank")</f>
        <v>0</v>
      </c>
      <c r="I51" s="2931" t="str">
        <f xml:space="preserve">
IF(F51&gt;6,"Too Many Entries - Check Red Lines",
IF(AND(E51=FALSE,G51=0,H51=0),"Nothing Entered below Yet",
IF(AND(G51=0,H51&gt;0),"**Non-Valid Entry/ies below - Check Yellow Line/s",
IF(G51&lt;F51,"Valid Entry required below - Check Amber box",
IF(AND(G51&gt;0,H51&gt;0),"**Valid and Non-Valid Entries made below - Check Yellow Line/s",
IF(AND(E51=FALSE,F51&lt;6),"Not all requirements addressed below - Check Pink Line/s",
IF(AND(E51=FALSE,G51&lt;6,G51&gt;0,H51=0),"More entries to come",
IF(AND(E51,TRUE,G51=6,H51=0),"Valid Entries made below"
))))))))</f>
        <v>Valid Entry required below - Check Amber box</v>
      </c>
      <c r="J51" s="2924">
        <f>COUNTIFS(E53:E58,TRUE,J53:J58,"Not Blank")</f>
        <v>0</v>
      </c>
      <c r="K51" s="2924">
        <f>COUNTIFS(E53:E58,FALSE,J53:J58,"Not Blank")</f>
        <v>0</v>
      </c>
      <c r="L51" s="2924" t="str">
        <f xml:space="preserve">
IF(J51&gt;6,"Too Many Entries - Check Red Lines",
IF(AND(E51=FALSE,J51=0,K51=0,E51=TRUE),"Nothing Required Below",
IF(J51&lt;F51,"Valid Entry required below - Check Amber Line/s",
IF(AND(E51=FALSE,J51=0,K51=0),"Nothing Entered below Yet",
IF(AND(J51=0,K51&gt;0),"**Non-Valid Entry/ies below - Check Yellow Line/s",
IF(AND(J51&gt;0,K51&gt;0),"**Valid and Non-Valid Entries made below - Check Yellow Line/s",
IF(AND(E51=FALSE,J51&lt;6),"Not all requirements addressed below - Check Pink Line/s",
IF(AND(E51=FALSE,J51&lt;6,J51&gt;0,K51=0),"More entries to come",
IF(AND(E51,TRUE,J51=6,K51=0),"Valid Entries made below"
)))))))))</f>
        <v>Valid Entry required below - Check Amber Line/s</v>
      </c>
      <c r="M51" s="290"/>
      <c r="N51" s="4109" t="s">
        <v>565</v>
      </c>
      <c r="O51" s="119" t="b">
        <f>IF(AND(O52=TRUE,O58=TRUE),TRUE,FALSE)</f>
        <v>0</v>
      </c>
      <c r="P51" s="459"/>
      <c r="Q51" s="4109" t="s">
        <v>565</v>
      </c>
      <c r="R51" s="814" t="b">
        <f>IF(AND(R52=TRUE,R58=TRUE),TRUE,FALSE)</f>
        <v>0</v>
      </c>
      <c r="S51" s="186"/>
      <c r="T51" s="186"/>
      <c r="U51" s="459"/>
      <c r="V51" s="4109" t="s">
        <v>565</v>
      </c>
      <c r="W51" s="1773" t="b">
        <f>IF(AND(W52=TRUE,W58=TRUE),TRUE,FALSE)</f>
        <v>0</v>
      </c>
      <c r="X51" s="1565"/>
      <c r="Y51" s="133"/>
      <c r="Z51" s="134"/>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40"/>
    </row>
    <row r="52" spans="1:84" s="27" customFormat="1" ht="44" thickTop="1" x14ac:dyDescent="0.3">
      <c r="A52" s="60">
        <v>6</v>
      </c>
      <c r="B52" s="2886" t="s">
        <v>1694</v>
      </c>
      <c r="C52" s="2360" t="s">
        <v>1394</v>
      </c>
      <c r="D52" s="2920" t="s">
        <v>565</v>
      </c>
      <c r="E52" s="2921" t="b">
        <f>IF(AND(E53=TRUE,E54=TRUE,E55=TRUE,E56=TRUE,E57=TRUE),TRUE,FALSE)</f>
        <v>1</v>
      </c>
      <c r="F52" s="2922">
        <f>COUNTIF(E53:E57,TRUE)</f>
        <v>5</v>
      </c>
      <c r="G52" s="2922">
        <f>COUNTIFS(E53:E57,TRUE,G53:G57,"Not Blank")</f>
        <v>0</v>
      </c>
      <c r="H52" s="2922">
        <f>COUNTIFS(E53:E57,FALSE,G53:G57,"Not Blank")</f>
        <v>0</v>
      </c>
      <c r="I52" s="2923" t="str">
        <f xml:space="preserve">
IF(F52&gt;5,"Too Many Entries - Check Red Lines",
IF(AND(E52=FALSE,G52=0,H52=0),"Nothing Entered below Yet",
IF(AND(G52=0,H52&gt;0),"**Non-Valid Entry/ies below - Check Yellow Line/s",
IF(G52&lt;F52,"Valid Entry required below - Check Amber box",
IF(AND(G52&gt;0,H52&gt;0),"**Valid and Non-Valid Entries made below - Check Yellow Line/s",
IF(AND(E52=FALSE,F52&lt;5),"Not all requirements addressed below - Check Pink Line/s",
IF(AND(E52=FALSE,G52&lt;5,G52&gt;0,H52=0),"More entries to come",
IF(AND(E52,TRUE,G52=5,H52=0),"Valid Entries made below"
))))))))</f>
        <v>Valid Entry required below - Check Amber box</v>
      </c>
      <c r="J52" s="2923">
        <f>COUNTIFS(E53:E57,TRUE,J53:J57,"Not Blank")</f>
        <v>0</v>
      </c>
      <c r="K52" s="2923">
        <f>COUNTIFS(E53:E57,FALSE,J53:J57,"Not Blank")</f>
        <v>0</v>
      </c>
      <c r="L52" s="2923" t="str">
        <f xml:space="preserve">
IF(J52&gt;5,"Too Many Entries - Check Red Lines",
IF(AND(E52=FALSE,J52=0,K52=0,E52=TRUE),"Nothing Required Below",
IF(J52&lt;F52,"Valid Entry required below - Check Amber Line/s",
IF(AND(E52=FALSE,J52=0,K52=0),"Nothing Entered below Yet",
IF(AND(J52=0,K52&gt;0),"**Non-Valid Entry/ies below - Check Yellow Line/s",
IF(AND(J52&gt;0,K52&gt;0),"**Valid and Non-Valid Entries made below - Check Yellow Line/s",
IF(AND(E52=FALSE,J52&lt;5),"Not all requirements addressed below - Check Pink Line/s",
IF(AND(E52=FALSE,J52&lt;5,J52&gt;0,K52=0),"More entries to come",
IF(AND(E52,TRUE,J52=5,K52=0),"Valid Entries made below"
)))))))))</f>
        <v>Valid Entry required below - Check Amber Line/s</v>
      </c>
      <c r="M52" s="2362"/>
      <c r="N52" s="4446" t="s">
        <v>3</v>
      </c>
      <c r="O52" s="4477" t="b">
        <f>IF(OR(N52="Compliant",N52="FE with work-a-round",N52="Functionally Equivalent"),TRUE,FALSE)</f>
        <v>0</v>
      </c>
      <c r="P52" s="807"/>
      <c r="Q52" s="4112" t="s">
        <v>565</v>
      </c>
      <c r="R52" s="909" t="b">
        <f>IF(AND(R53=TRUE,R54=TRUE,R55=TRUE,R56=TRUE,R57=TRUE),TRUE,FALSE)</f>
        <v>0</v>
      </c>
      <c r="S52" s="111"/>
      <c r="T52" s="111"/>
      <c r="U52" s="120"/>
      <c r="V52" s="4446" t="s">
        <v>3</v>
      </c>
      <c r="W52" s="4499" t="b">
        <f>IF(OR(V52="Compliant",V52="FE with work-a-round",V52="Functionally Equivalent",V52="Not Required/Applicable"),TRUE,FALSE)</f>
        <v>0</v>
      </c>
      <c r="X52" s="2146"/>
      <c r="Y52" s="42"/>
      <c r="Z52" s="1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40"/>
    </row>
    <row r="53" spans="1:84" s="27" customFormat="1" ht="29" x14ac:dyDescent="0.3">
      <c r="A53" s="60"/>
      <c r="B53" s="1504"/>
      <c r="C53" s="2887" t="s">
        <v>1395</v>
      </c>
      <c r="D53" s="1013" t="s">
        <v>13</v>
      </c>
      <c r="E53" s="294" t="b">
        <f t="shared" ref="E53:E58" si="0">IF(D53="Compliant",TRUE,FALSE)</f>
        <v>1</v>
      </c>
      <c r="F53" s="281"/>
      <c r="G53" s="281" t="str">
        <f t="shared" ref="G53:G58" si="1">IF(I53&lt;&gt;"", "Not Blank", "")</f>
        <v/>
      </c>
      <c r="H53" s="281"/>
      <c r="I53" s="301"/>
      <c r="J53" s="301" t="str">
        <f t="shared" ref="J53:J58" si="2">IF(L53&lt;&gt;"", "Not Blank", "")</f>
        <v/>
      </c>
      <c r="K53" s="301"/>
      <c r="L53" s="301"/>
      <c r="M53" s="298"/>
      <c r="N53" s="4447"/>
      <c r="O53" s="4450"/>
      <c r="P53" s="2177"/>
      <c r="Q53" s="2214" t="s">
        <v>3</v>
      </c>
      <c r="R53" s="456" t="b">
        <f t="shared" ref="R53:R58" si="3">IF(OR(Q53="Compliant",Q53="FE with work-a-round",Q53="Functionally Equivalent"),TRUE,FALSE)</f>
        <v>0</v>
      </c>
      <c r="S53" s="44"/>
      <c r="T53" s="44"/>
      <c r="U53" s="122"/>
      <c r="V53" s="4447"/>
      <c r="W53" s="4500"/>
      <c r="X53" s="2146"/>
      <c r="Y53" s="44"/>
      <c r="Z53" s="122"/>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40"/>
    </row>
    <row r="54" spans="1:84" s="27" customFormat="1" ht="72.5" x14ac:dyDescent="0.3">
      <c r="A54" s="60"/>
      <c r="B54" s="1504"/>
      <c r="C54" s="2883" t="s">
        <v>1396</v>
      </c>
      <c r="D54" s="319" t="s">
        <v>13</v>
      </c>
      <c r="E54" s="294" t="b">
        <f t="shared" si="0"/>
        <v>1</v>
      </c>
      <c r="F54" s="281"/>
      <c r="G54" s="2592" t="str">
        <f t="shared" si="1"/>
        <v/>
      </c>
      <c r="H54" s="2592"/>
      <c r="I54" s="281"/>
      <c r="J54" s="281" t="str">
        <f t="shared" si="2"/>
        <v/>
      </c>
      <c r="K54" s="281"/>
      <c r="L54" s="281"/>
      <c r="M54" s="282"/>
      <c r="N54" s="4447"/>
      <c r="O54" s="4450"/>
      <c r="P54" s="122"/>
      <c r="Q54" s="1060" t="s">
        <v>3</v>
      </c>
      <c r="R54" s="456" t="b">
        <f t="shared" si="3"/>
        <v>0</v>
      </c>
      <c r="S54" s="44"/>
      <c r="T54" s="44"/>
      <c r="U54" s="122"/>
      <c r="V54" s="4447"/>
      <c r="W54" s="4500"/>
      <c r="X54" s="2146"/>
      <c r="Y54" s="44"/>
      <c r="Z54" s="122"/>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40"/>
    </row>
    <row r="55" spans="1:84" s="27" customFormat="1" ht="43.5" x14ac:dyDescent="0.3">
      <c r="A55" s="60"/>
      <c r="B55" s="1508"/>
      <c r="C55" s="2888" t="s">
        <v>669</v>
      </c>
      <c r="D55" s="319" t="s">
        <v>13</v>
      </c>
      <c r="E55" s="191" t="b">
        <f t="shared" si="0"/>
        <v>1</v>
      </c>
      <c r="F55" s="296"/>
      <c r="G55" s="2593" t="str">
        <f t="shared" si="1"/>
        <v/>
      </c>
      <c r="H55" s="2593"/>
      <c r="I55" s="296"/>
      <c r="J55" s="296" t="str">
        <f t="shared" si="2"/>
        <v/>
      </c>
      <c r="K55" s="296"/>
      <c r="L55" s="296"/>
      <c r="M55" s="297"/>
      <c r="N55" s="4447"/>
      <c r="O55" s="4450"/>
      <c r="P55" s="122"/>
      <c r="Q55" s="1060" t="s">
        <v>3</v>
      </c>
      <c r="R55" s="456" t="b">
        <f t="shared" si="3"/>
        <v>0</v>
      </c>
      <c r="S55" s="44"/>
      <c r="T55" s="44"/>
      <c r="U55" s="122"/>
      <c r="V55" s="4447"/>
      <c r="W55" s="4500"/>
      <c r="X55" s="2146"/>
      <c r="Y55" s="44"/>
      <c r="Z55" s="122"/>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40"/>
    </row>
    <row r="56" spans="1:84" s="27" customFormat="1" ht="43.5" x14ac:dyDescent="0.3">
      <c r="A56" s="60"/>
      <c r="B56" s="1508"/>
      <c r="C56" s="2888" t="s">
        <v>1397</v>
      </c>
      <c r="D56" s="319" t="s">
        <v>13</v>
      </c>
      <c r="E56" s="191" t="b">
        <f t="shared" si="0"/>
        <v>1</v>
      </c>
      <c r="F56" s="296"/>
      <c r="G56" s="2593" t="str">
        <f t="shared" si="1"/>
        <v/>
      </c>
      <c r="H56" s="2593"/>
      <c r="I56" s="296"/>
      <c r="J56" s="296" t="str">
        <f t="shared" si="2"/>
        <v/>
      </c>
      <c r="K56" s="296"/>
      <c r="L56" s="296"/>
      <c r="M56" s="297"/>
      <c r="N56" s="4447"/>
      <c r="O56" s="4450"/>
      <c r="P56" s="122"/>
      <c r="Q56" s="1060" t="s">
        <v>3</v>
      </c>
      <c r="R56" s="456" t="b">
        <f t="shared" si="3"/>
        <v>0</v>
      </c>
      <c r="S56" s="44"/>
      <c r="T56" s="44"/>
      <c r="U56" s="122"/>
      <c r="V56" s="4447"/>
      <c r="W56" s="4500"/>
      <c r="X56" s="2146"/>
      <c r="Y56" s="44"/>
      <c r="Z56" s="122"/>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40"/>
    </row>
    <row r="57" spans="1:84" s="27" customFormat="1" ht="29.5" thickBot="1" x14ac:dyDescent="0.35">
      <c r="A57" s="60"/>
      <c r="B57" s="1508"/>
      <c r="C57" s="2888" t="s">
        <v>1398</v>
      </c>
      <c r="D57" s="230" t="s">
        <v>13</v>
      </c>
      <c r="E57" s="191" t="b">
        <f t="shared" si="0"/>
        <v>1</v>
      </c>
      <c r="F57" s="296"/>
      <c r="G57" s="2593" t="str">
        <f t="shared" si="1"/>
        <v/>
      </c>
      <c r="H57" s="2593"/>
      <c r="I57" s="296"/>
      <c r="J57" s="296" t="str">
        <f t="shared" si="2"/>
        <v/>
      </c>
      <c r="K57" s="296"/>
      <c r="L57" s="296"/>
      <c r="M57" s="297"/>
      <c r="N57" s="4448"/>
      <c r="O57" s="4478"/>
      <c r="P57" s="125"/>
      <c r="Q57" s="1017" t="s">
        <v>3</v>
      </c>
      <c r="R57" s="2594" t="b">
        <f t="shared" si="3"/>
        <v>0</v>
      </c>
      <c r="S57" s="124"/>
      <c r="T57" s="124"/>
      <c r="U57" s="125"/>
      <c r="V57" s="4448"/>
      <c r="W57" s="4501"/>
      <c r="X57" s="2146"/>
      <c r="Y57" s="79"/>
      <c r="Z57" s="127"/>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40"/>
    </row>
    <row r="58" spans="1:84" s="27" customFormat="1" ht="44.5" thickTop="1" thickBot="1" x14ac:dyDescent="0.35">
      <c r="A58" s="60"/>
      <c r="B58" s="1813"/>
      <c r="C58" s="1809" t="s">
        <v>1399</v>
      </c>
      <c r="D58" s="102" t="s">
        <v>13</v>
      </c>
      <c r="E58" s="313" t="b">
        <f t="shared" si="0"/>
        <v>1</v>
      </c>
      <c r="F58" s="215"/>
      <c r="G58" s="215" t="str">
        <f t="shared" si="1"/>
        <v/>
      </c>
      <c r="H58" s="215"/>
      <c r="I58" s="215"/>
      <c r="J58" s="215" t="str">
        <f t="shared" si="2"/>
        <v/>
      </c>
      <c r="K58" s="215"/>
      <c r="L58" s="215"/>
      <c r="M58" s="330"/>
      <c r="N58" s="1188" t="s">
        <v>3</v>
      </c>
      <c r="O58" s="816" t="b">
        <f>IF(OR(N58="Compliant",N58="FE with work-a-round",N58="Functionally Equivalent"),TRUE,FALSE)</f>
        <v>0</v>
      </c>
      <c r="P58" s="134"/>
      <c r="Q58" s="1188" t="s">
        <v>3</v>
      </c>
      <c r="R58" s="892" t="b">
        <f t="shared" si="3"/>
        <v>0</v>
      </c>
      <c r="S58" s="133"/>
      <c r="T58" s="133"/>
      <c r="U58" s="579"/>
      <c r="V58" s="1188" t="s">
        <v>3</v>
      </c>
      <c r="W58" s="2595" t="b">
        <f>IF(OR(V58="Compliant",V58="FE with work-a-round",V58="Functionally Equivalent",V58="Not Required/Applicable"),TRUE,FALSE)</f>
        <v>0</v>
      </c>
      <c r="X58" s="1033"/>
      <c r="Y58" s="133"/>
      <c r="Z58" s="134"/>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40"/>
    </row>
    <row r="59" spans="1:84" s="3794" customFormat="1" ht="15.5" thickTop="1" thickBot="1" x14ac:dyDescent="0.35">
      <c r="A59" s="4133"/>
      <c r="B59" s="4134"/>
      <c r="C59" s="3638"/>
      <c r="D59" s="3634"/>
      <c r="E59" s="3638"/>
      <c r="F59" s="3638"/>
      <c r="G59" s="3638"/>
      <c r="H59" s="3638"/>
      <c r="I59" s="3638"/>
      <c r="J59" s="3638"/>
      <c r="K59" s="3638"/>
      <c r="L59" s="3638"/>
      <c r="M59" s="3638"/>
      <c r="N59" s="3638"/>
      <c r="O59" s="3638"/>
      <c r="P59" s="3638"/>
      <c r="Q59" s="3638"/>
      <c r="R59" s="3638"/>
      <c r="S59" s="3638"/>
      <c r="T59" s="3638"/>
      <c r="U59" s="3638"/>
      <c r="V59" s="3638"/>
      <c r="W59" s="3637"/>
      <c r="X59" s="3638"/>
      <c r="Y59" s="3638"/>
      <c r="Z59" s="3638"/>
      <c r="AA59" s="3634"/>
      <c r="AB59" s="3634"/>
      <c r="AC59" s="3634"/>
      <c r="AD59" s="3634"/>
      <c r="AE59" s="3634"/>
      <c r="AF59" s="3634"/>
      <c r="AG59" s="3634"/>
      <c r="AH59" s="3634"/>
      <c r="AI59" s="3634"/>
      <c r="AJ59" s="3634"/>
      <c r="AK59" s="3634"/>
      <c r="AL59" s="3634"/>
      <c r="AM59" s="3634"/>
      <c r="AN59" s="3634"/>
      <c r="AO59" s="3634"/>
      <c r="AP59" s="3634"/>
      <c r="AQ59" s="3634"/>
      <c r="AR59" s="3634"/>
      <c r="AS59" s="3634"/>
      <c r="AT59" s="3634"/>
      <c r="AU59" s="3634"/>
      <c r="AV59" s="3634"/>
      <c r="AW59" s="3634"/>
      <c r="AX59" s="3634"/>
      <c r="AY59" s="3634"/>
      <c r="AZ59" s="3634"/>
      <c r="BA59" s="3634"/>
      <c r="BB59" s="3634"/>
      <c r="BC59" s="3634"/>
      <c r="BD59" s="3634"/>
      <c r="BE59" s="3634"/>
      <c r="BF59" s="3634"/>
      <c r="BG59" s="3634"/>
      <c r="BH59" s="3634"/>
      <c r="BI59" s="3634"/>
      <c r="BJ59" s="3634"/>
      <c r="BK59" s="3634"/>
      <c r="BL59" s="3634"/>
      <c r="BM59" s="3634"/>
      <c r="BN59" s="3634"/>
      <c r="BO59" s="3634"/>
      <c r="BP59" s="3634"/>
      <c r="BQ59" s="3634"/>
      <c r="BR59" s="3634"/>
      <c r="BS59" s="3634"/>
      <c r="BT59" s="3634"/>
      <c r="BU59" s="3634"/>
      <c r="BV59" s="3634"/>
      <c r="BW59" s="3634"/>
      <c r="BX59" s="3634"/>
      <c r="BY59" s="3634"/>
      <c r="BZ59" s="3634"/>
      <c r="CA59" s="3634"/>
      <c r="CB59" s="3634"/>
      <c r="CC59" s="3634"/>
      <c r="CD59" s="3634"/>
      <c r="CE59" s="3634"/>
      <c r="CF59" s="3785"/>
    </row>
    <row r="60" spans="1:84" s="27" customFormat="1" ht="30" thickTop="1" thickBot="1" x14ac:dyDescent="0.35">
      <c r="A60" s="95">
        <v>7</v>
      </c>
      <c r="B60" s="2878" t="s">
        <v>432</v>
      </c>
      <c r="C60" s="1830" t="s">
        <v>875</v>
      </c>
      <c r="D60" s="1870" t="s">
        <v>565</v>
      </c>
      <c r="E60" s="2932" t="b">
        <f>IF(AND(E61=TRUE,E66=TRUE,E67=TRUE,E71=TRUE,E75=TRUE,E79=TRUE,E82=TRUE,E83=TRUE,E84=TRUE,E85=TRUE,E86=TRUE,E87=TRUE,E88=TRUE,E100=TRUE,E117=TRUE),TRUE,FALSE)</f>
        <v>0</v>
      </c>
      <c r="F60" s="2933">
        <f>SUM(F61,F67,F71,F75,F79,F88,F100)+IF(E66=TRUE,1,0)+COUNTIF(E82:E87,TRUE)+IF(E117=TRUE,1,0)</f>
        <v>0</v>
      </c>
      <c r="G60" s="2933">
        <f>SUM(G67,G71,G75,G88)+COUNTIFS(E98:E117,TRUE,G98:G117,"Not Blank")</f>
        <v>0</v>
      </c>
      <c r="H60" s="2933">
        <f>COUNTIFS(E67:E72,FALSE,G67:G72,"Not Blank")</f>
        <v>0</v>
      </c>
      <c r="I60" s="2934" t="str">
        <f xml:space="preserve">
IF(F60&gt;45,"Too Many Entries - Check Red Lines",
IF(AND(E60=FALSE,G60=0,H60=0,E60=TRUE),"Nothing Required Below",
IF(G60&lt;F60,"Valid Entry required below - Check Amber Line/s",
IF(AND(E60=FALSE,G60=0,H60=0),"Nothing Entered below Yet",
IF(G60&lt;F60,"Valid Entry required below - Check Amber Line/s",
IF(AND(G60=0,H60&gt;0),"**Non-Valid Entry/ies below - Check Yellow Line/s",
IF(AND(G60&gt;0,H60&gt;0),"**Valid and Non-Valid Entries made below - Check Yellow Line/s",
IF(AND(E60=FALSE,F60&lt;45),"Not all requirements addressed below - Check Pink Line/s",
IF(AND(E60=FALSE,G60&lt;45,G60&gt;0,H60=0),"More entries to come",
IF(AND(E60,TRUE,G60=45,H60=0),"Valid Entries made below"
))))))))))</f>
        <v>Nothing Entered below Yet</v>
      </c>
      <c r="J60" s="2934">
        <f>COUNTIFS(E67:E74,TRUE,J67:J74,"Not Blank")</f>
        <v>0</v>
      </c>
      <c r="K60" s="2934">
        <f>COUNTIFS(E67:E74,FALSE,J67:J74,"Not Blank")</f>
        <v>0</v>
      </c>
      <c r="L60" s="2934" t="str">
        <f xml:space="preserve">
IF(J60&gt;45,"Too Many Entries - Check Red Lines",
IF(AND(E60=FALSE,J60=0,K60=0,E60=TRUE),"Nothing Required Below",
IF(J60&lt;F60,"Valid Entry required below - Check Amber Line/s",
IF(AND(E60=FALSE,J60=0,K60=0),"Nothing Entered below Yet",
IF(AND(J60=0,K60&gt;0),"**Non-Valid Entry/ies below - Check Yellow Line/s",
IF(AND(J60&gt;0,K60&gt;0),"**Valid and Non-Valid Entries made below - Check Yellow Line/s",
IF(AND(E60=FALSE,J60&lt;45),"Not all requirements addressed below - Check Pink Line/s",
IF(AND(E60=FALSE,J60&lt;45,J60&gt;0,K60=0),"More entries to come",
IF(AND(E60,TRUE,J60=45,K60=0),"Valid Entries made below"
)))))))))</f>
        <v>Nothing Entered below Yet</v>
      </c>
      <c r="M60" s="910"/>
      <c r="N60" s="4109" t="s">
        <v>565</v>
      </c>
      <c r="O60" s="119" t="b">
        <f>IF(AND(O61=TRUE,O67=TRUE,O71=TRUE,O75=TRUE),TRUE,FALSE)</f>
        <v>0</v>
      </c>
      <c r="P60" s="1009"/>
      <c r="Q60" s="3894" t="s">
        <v>565</v>
      </c>
      <c r="R60" s="814" t="b">
        <f>IF(AND(R61=TRUE,R66=TRUE,R67=TRUE,R71=TRUE,R75=TRUE,R79=TRUE,R82=TRUE,R83=TRUE,R84=TRUE,R85=TRUE,R86=TRUE,R87=TRUE,R88=TRUE,R100=TRUE,R117=TRUE),TRUE,FALSE)</f>
        <v>0</v>
      </c>
      <c r="S60" s="186"/>
      <c r="T60" s="186"/>
      <c r="U60" s="459"/>
      <c r="V60" s="4109" t="s">
        <v>565</v>
      </c>
      <c r="W60" s="1773" t="b">
        <f>IF(AND(W61=TRUE,W67=TRUE,W71=TRUE,W75=TRUE),TRUE,FALSE)</f>
        <v>0</v>
      </c>
      <c r="X60" s="1565"/>
      <c r="Y60" s="842"/>
      <c r="Z60" s="807"/>
      <c r="AA60" s="65"/>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40"/>
    </row>
    <row r="61" spans="1:84" s="27" customFormat="1" ht="73" thickTop="1" x14ac:dyDescent="0.3">
      <c r="A61" s="311"/>
      <c r="B61" s="2891"/>
      <c r="C61" s="2360" t="s">
        <v>1495</v>
      </c>
      <c r="D61" s="2920" t="s">
        <v>1364</v>
      </c>
      <c r="E61" s="659" t="b">
        <f>IF(AND(E62=TRUE,E63=TRUE,E64=TRUE,E65=TRUE),TRUE,FALSE)</f>
        <v>0</v>
      </c>
      <c r="F61" s="207">
        <f>COUNTIF(E62:E65,TRUE)</f>
        <v>0</v>
      </c>
      <c r="G61" s="207">
        <f>COUNTIFS(E62:E65,TRUE,G62:G65,"Not Blank")</f>
        <v>0</v>
      </c>
      <c r="H61" s="207">
        <f>COUNTIFS(E62:E65,FALSE,G62:G65,"Not Blank")</f>
        <v>0</v>
      </c>
      <c r="I61" s="2155" t="str">
        <f xml:space="preserve">
IF(F61&gt;4,"Too Many Entries - Check Red Lines",
IF(AND(E61=FALSE,G61=0,H61=0,E61=TRUE),"Nothing Required Below",
IF(G61&lt;F61,"Valid Entry required below - Check Amber Line/s",
IF(AND(E61=FALSE,G61=0,H61=0),"Nothing Entered below Yet",
IF(G61&lt;F61,"Valid Entry required below - Check Amber Line/s",
IF(AND(G61=0,H61&gt;0),"**Non-Valid Entry/ies below - Check Yellow Line/s",
IF(AND(G61&gt;0,H61&gt;0),"**Valid and Non-Valid Entries made below - Check Yellow Line/s",
IF(AND(E61=FALSE,F61&lt;4),"Not all requirements addressed below - Check Pink Line/s",
IF(AND(E61=FALSE,G61&lt;4,G61&gt;0,H61=0),"More entries to come",
IF(AND(E61,TRUE,G61=4,H61=0),"Valid Entries made below"
))))))))))</f>
        <v>Nothing Entered below Yet</v>
      </c>
      <c r="J61" s="2155">
        <f>COUNTIFS(E62:E65,TRUE,J62:J65,"Not Blank")</f>
        <v>0</v>
      </c>
      <c r="K61" s="2155">
        <f>COUNTIFS(E62:E65,FALSE,J62:J65,"Not Blank")</f>
        <v>0</v>
      </c>
      <c r="L61" s="2155" t="str">
        <f xml:space="preserve">
IF(J61&gt;4,"Too Many Entries - Check Red Lines",
IF(AND(E61=FALSE,J61=0,K61=0,E61=TRUE),"Nothing Required Below",
IF(J61&lt;F61,"Valid Entry required below - Check Amber Line/s",
IF(AND(E61=FALSE,J61=0,K61=0),"Nothing Entered below Yet",
IF(AND(J61=0,K61&gt;0),"**Non-Valid Entry/ies below - Check Yellow Line/s",
IF(AND(J61&gt;0,K61&gt;0),"**Valid and Non-Valid Entries made below - Check Yellow Line/s",
IF(AND(E61=FALSE,J61&lt;4),"Not all requirements addressed below - Check Pink Line/s",
IF(AND(E61=FALSE,J61&lt;4,J61&gt;0,K61=0),"More entries to come",
IF(AND(E61,TRUE,J61=4,K61=0),"Valid Entries made below"
)))))))))</f>
        <v>Nothing Entered below Yet</v>
      </c>
      <c r="M61" s="2176"/>
      <c r="N61" s="4446" t="s">
        <v>3</v>
      </c>
      <c r="O61" s="4526" t="b">
        <f>IF(OR(N61="Compliant",N61="FE with work-a-round",N61="Functionally Equivalent"),TRUE,FALSE)</f>
        <v>0</v>
      </c>
      <c r="P61" s="2176"/>
      <c r="Q61" s="4135" t="s">
        <v>565</v>
      </c>
      <c r="R61" s="814" t="b">
        <f>IF(AND(R62=TRUE,R63=TRUE,R64=TRUE,R65=TRUE),TRUE,FALSE)</f>
        <v>0</v>
      </c>
      <c r="S61" s="111"/>
      <c r="T61" s="111"/>
      <c r="U61" s="120"/>
      <c r="V61" s="4446" t="s">
        <v>3</v>
      </c>
      <c r="W61" s="4523" t="b">
        <f>IF(OR(V61="Compliant",V61="FE with work-a-round",V61="Functionally Equivalent",V61="Not Required/Applicable"),TRUE,FALSE)</f>
        <v>0</v>
      </c>
      <c r="X61" s="1449"/>
      <c r="Y61" s="111"/>
      <c r="Z61" s="120"/>
      <c r="AA61" s="65"/>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40"/>
    </row>
    <row r="62" spans="1:84" s="27" customFormat="1" ht="29" x14ac:dyDescent="0.3">
      <c r="A62" s="37"/>
      <c r="B62" s="1504"/>
      <c r="C62" s="2892" t="s">
        <v>1496</v>
      </c>
      <c r="D62" s="1013" t="s">
        <v>3</v>
      </c>
      <c r="E62" s="67" t="b">
        <f>IF(D62="Compliant",TRUE,FALSE)</f>
        <v>0</v>
      </c>
      <c r="F62" s="44"/>
      <c r="G62" s="44" t="str">
        <f>IF(I62&lt;&gt;"", "Not Blank", "")</f>
        <v/>
      </c>
      <c r="H62" s="44"/>
      <c r="I62" s="42"/>
      <c r="J62" s="42" t="str">
        <f>IF(L62&lt;&gt;"", "Not Blank", "")</f>
        <v/>
      </c>
      <c r="K62" s="42"/>
      <c r="L62" s="42"/>
      <c r="M62" s="128"/>
      <c r="N62" s="4447"/>
      <c r="O62" s="4527"/>
      <c r="P62" s="128"/>
      <c r="Q62" s="1863" t="s">
        <v>3</v>
      </c>
      <c r="R62" s="737" t="b">
        <f>IF(OR(Q62="Compliant",Q62="FE with work-a-round",Q62="Functionally Equivalent"),TRUE,FALSE)</f>
        <v>0</v>
      </c>
      <c r="S62" s="44"/>
      <c r="T62" s="44"/>
      <c r="U62" s="68"/>
      <c r="V62" s="4447"/>
      <c r="W62" s="4524"/>
      <c r="X62" s="1267"/>
      <c r="Y62" s="44"/>
      <c r="Z62" s="122"/>
      <c r="AA62" s="65"/>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40"/>
    </row>
    <row r="63" spans="1:84" s="27" customFormat="1" ht="29" x14ac:dyDescent="0.3">
      <c r="A63" s="312"/>
      <c r="B63" s="1504"/>
      <c r="C63" s="2893" t="s">
        <v>1497</v>
      </c>
      <c r="D63" s="319" t="s">
        <v>3</v>
      </c>
      <c r="E63" s="67" t="b">
        <f>IF(D63="Compliant",TRUE,FALSE)</f>
        <v>0</v>
      </c>
      <c r="F63" s="44"/>
      <c r="G63" s="44" t="str">
        <f>IF(I63&lt;&gt;"", "Not Blank", "")</f>
        <v/>
      </c>
      <c r="H63" s="44"/>
      <c r="I63" s="44"/>
      <c r="J63" s="44" t="str">
        <f>IF(L63&lt;&gt;"", "Not Blank", "")</f>
        <v/>
      </c>
      <c r="K63" s="44"/>
      <c r="L63" s="44"/>
      <c r="M63" s="122"/>
      <c r="N63" s="4447"/>
      <c r="O63" s="4527"/>
      <c r="P63" s="122"/>
      <c r="Q63" s="1060" t="s">
        <v>3</v>
      </c>
      <c r="R63" s="737" t="b">
        <f>IF(OR(Q63="Compliant",Q63="FE with work-a-round",Q63="Functionally Equivalent"),TRUE,FALSE)</f>
        <v>0</v>
      </c>
      <c r="S63" s="44"/>
      <c r="T63" s="44"/>
      <c r="U63" s="68"/>
      <c r="V63" s="4447"/>
      <c r="W63" s="4524"/>
      <c r="X63" s="1267"/>
      <c r="Y63" s="44"/>
      <c r="Z63" s="122"/>
      <c r="AA63" s="65"/>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40"/>
    </row>
    <row r="64" spans="1:84" s="27" customFormat="1" ht="29" x14ac:dyDescent="0.3">
      <c r="A64" s="60"/>
      <c r="B64" s="1504"/>
      <c r="C64" s="2892" t="s">
        <v>1498</v>
      </c>
      <c r="D64" s="319" t="s">
        <v>3</v>
      </c>
      <c r="E64" s="67" t="b">
        <f>IF(D64="Compliant",TRUE,FALSE)</f>
        <v>0</v>
      </c>
      <c r="F64" s="44"/>
      <c r="G64" s="44" t="str">
        <f>IF(I64&lt;&gt;"", "Not Blank", "")</f>
        <v/>
      </c>
      <c r="H64" s="44"/>
      <c r="I64" s="44"/>
      <c r="J64" s="44" t="str">
        <f>IF(L64&lt;&gt;"", "Not Blank", "")</f>
        <v/>
      </c>
      <c r="K64" s="44"/>
      <c r="L64" s="44"/>
      <c r="M64" s="122"/>
      <c r="N64" s="4447"/>
      <c r="O64" s="4527"/>
      <c r="P64" s="122"/>
      <c r="Q64" s="1060" t="s">
        <v>3</v>
      </c>
      <c r="R64" s="737" t="b">
        <f>IF(OR(Q64="Compliant",Q64="FE with work-a-round",Q64="Functionally Equivalent"),TRUE,FALSE)</f>
        <v>0</v>
      </c>
      <c r="S64" s="44"/>
      <c r="T64" s="44"/>
      <c r="U64" s="68"/>
      <c r="V64" s="4447"/>
      <c r="W64" s="4524"/>
      <c r="X64" s="1267"/>
      <c r="Y64" s="44"/>
      <c r="Z64" s="122"/>
      <c r="AA64" s="65"/>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40"/>
    </row>
    <row r="65" spans="1:84" s="27" customFormat="1" ht="29.5" thickBot="1" x14ac:dyDescent="0.35">
      <c r="A65" s="60"/>
      <c r="B65" s="1504"/>
      <c r="C65" s="1866" t="s">
        <v>1520</v>
      </c>
      <c r="D65" s="230" t="s">
        <v>3</v>
      </c>
      <c r="E65" s="161" t="b">
        <f>IF(D65="Compliant",TRUE,FALSE)</f>
        <v>0</v>
      </c>
      <c r="F65" s="124"/>
      <c r="G65" s="124" t="str">
        <f>IF(I65&lt;&gt;"", "Not Blank", "")</f>
        <v/>
      </c>
      <c r="H65" s="124"/>
      <c r="I65" s="124"/>
      <c r="J65" s="124" t="str">
        <f>IF(L65&lt;&gt;"", "Not Blank", "")</f>
        <v/>
      </c>
      <c r="K65" s="124"/>
      <c r="L65" s="124"/>
      <c r="M65" s="125"/>
      <c r="N65" s="4447"/>
      <c r="O65" s="4527"/>
      <c r="P65" s="125"/>
      <c r="Q65" s="1060" t="s">
        <v>3</v>
      </c>
      <c r="R65" s="737" t="b">
        <f>IF(OR(Q65="Compliant",Q65="FE with work-a-round",Q65="Functionally Equivalent"),TRUE,FALSE)</f>
        <v>0</v>
      </c>
      <c r="S65" s="44"/>
      <c r="T65" s="44"/>
      <c r="U65" s="68"/>
      <c r="V65" s="4447"/>
      <c r="W65" s="4524"/>
      <c r="X65" s="1267"/>
      <c r="Y65" s="44"/>
      <c r="Z65" s="122"/>
      <c r="AA65" s="65"/>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40"/>
    </row>
    <row r="66" spans="1:84" s="27" customFormat="1" ht="44.5" thickTop="1" thickBot="1" x14ac:dyDescent="0.35">
      <c r="A66" s="60">
        <v>7.1</v>
      </c>
      <c r="B66" s="1504"/>
      <c r="C66" s="1830" t="s">
        <v>1400</v>
      </c>
      <c r="D66" s="102" t="s">
        <v>3</v>
      </c>
      <c r="E66" s="314" t="b">
        <f>IF(D66="Compliant",TRUE,FALSE)</f>
        <v>0</v>
      </c>
      <c r="F66" s="301"/>
      <c r="G66" s="301" t="str">
        <f>IF(I66&lt;&gt;"", "Not Blank", "")</f>
        <v/>
      </c>
      <c r="H66" s="301"/>
      <c r="I66" s="301"/>
      <c r="J66" s="301" t="str">
        <f>IF(L66&lt;&gt;"", "Not Blank", "")</f>
        <v/>
      </c>
      <c r="K66" s="301"/>
      <c r="L66" s="301"/>
      <c r="M66" s="298"/>
      <c r="N66" s="4448"/>
      <c r="O66" s="4631"/>
      <c r="P66" s="144"/>
      <c r="Q66" s="1017" t="s">
        <v>3</v>
      </c>
      <c r="R66" s="737" t="b">
        <f>IF(OR(Q66="Compliant",Q66="FE with work-a-round",Q66="Functionally Equivalent"),TRUE,FALSE)</f>
        <v>0</v>
      </c>
      <c r="S66" s="44"/>
      <c r="T66" s="44"/>
      <c r="U66" s="68"/>
      <c r="V66" s="4448"/>
      <c r="W66" s="4525"/>
      <c r="X66" s="1437"/>
      <c r="Y66" s="124"/>
      <c r="Z66" s="125"/>
      <c r="AA66" s="65"/>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40"/>
    </row>
    <row r="67" spans="1:84" s="27" customFormat="1" ht="32.15" customHeight="1" thickTop="1" x14ac:dyDescent="0.3">
      <c r="A67" s="60">
        <v>7.2</v>
      </c>
      <c r="B67" s="2878" t="s">
        <v>1709</v>
      </c>
      <c r="C67" s="2360" t="s">
        <v>593</v>
      </c>
      <c r="D67" s="2920" t="s">
        <v>565</v>
      </c>
      <c r="E67" s="2935" t="b">
        <f>IF(AND(E68=TRUE,E69=TRUE,E70=TRUE),TRUE,FALSE)</f>
        <v>0</v>
      </c>
      <c r="F67" s="2936">
        <f>COUNTIF(E68:E70,TRUE)</f>
        <v>0</v>
      </c>
      <c r="G67" s="2937">
        <f>COUNTIFS(E68:E70,TRUE,G68:G70,"Not Blank")</f>
        <v>0</v>
      </c>
      <c r="H67" s="2937">
        <f>COUNTIFS(E68:E70,FALSE,G68:G70,"Not Blank")</f>
        <v>0</v>
      </c>
      <c r="I67" s="2938" t="str">
        <f xml:space="preserve">
IF(F67&gt;3,"Too Many Entries - Check Red Lines",
IF(AND(E67=FALSE,G67=0,H67=0),"Nothing Entered below Yet",
IF(AND(G67=0,H67&gt;0),"**Non-Valid Entry/ies below - Check Yellow Line/s",
IF(G67&lt;F67,"Valid Entry required below - Check Amber box",
IF(AND(G67&gt;0,H67&gt;0),"**Valid and Non-Valid Entries made below - Check Yellow Line/s",
IF(AND(E67=FALSE,F67&lt;3),"Not all requirements addressed below - Check Pink Line/s",
IF(AND(E67=FALSE,G67&lt;3,G67&gt;0,H67=0),"More entries to come",
IF(AND(E67,TRUE,G67=3,H67=0),"Valid Entries made below"
))))))))</f>
        <v>Nothing Entered below Yet</v>
      </c>
      <c r="J67" s="2938">
        <f>COUNTIFS(E68:E70,TRUE,J68:J70,"Not Blank")</f>
        <v>0</v>
      </c>
      <c r="K67" s="2938">
        <f>COUNTIFS(E68:E70,FALSE,J68:J70,"Not Blank")</f>
        <v>0</v>
      </c>
      <c r="L67" s="2938" t="str">
        <f xml:space="preserve">
IF(J67&gt;3,"Too Many Entries - Check Red Lines",
IF(AND(E67=FALSE,J67=0,K67=0,E67=TRUE),"Nothing Required Below",
IF(J67&lt;F67,"Valid Entry required below - Check Amber Line/s",
IF(AND(E67=FALSE,J67=0,K67=0),"Nothing Entered below Yet",
IF(AND(J67=0,K67&gt;0),"**Non-Valid Entry/ies below - Check Yellow Line/s",
IF(AND(J67&gt;0,K67&gt;0),"**Valid and Non-Valid Entries made below - Check Yellow Line/s",
IF(AND(E67=FALSE,J67&lt;3),"Not all requirements addressed below - Check Pink Line/s",
IF(AND(E67=FALSE,J67&lt;3,J67&gt;0,K67=0),"More entries to come",
IF(AND(E67,TRUE,J67=3,K67=0),"Valid Entries made below"
)))))))))</f>
        <v>Nothing Entered below Yet</v>
      </c>
      <c r="M67" s="2364"/>
      <c r="N67" s="4446" t="s">
        <v>3</v>
      </c>
      <c r="O67" s="4629" t="b">
        <f>IF(OR(N67="Compliant",N67="FE with work-a-round",N67="Functionally Equivalent"),TRUE,FALSE)</f>
        <v>0</v>
      </c>
      <c r="P67" s="2249"/>
      <c r="Q67" s="4135" t="s">
        <v>565</v>
      </c>
      <c r="R67" s="814" t="b">
        <f>IF(AND(R68=TRUE,R69=TRUE,R70=TRUE),TRUE,FALSE)</f>
        <v>0</v>
      </c>
      <c r="S67" s="111"/>
      <c r="T67" s="111"/>
      <c r="U67" s="120"/>
      <c r="V67" s="4446" t="s">
        <v>3</v>
      </c>
      <c r="W67" s="4523" t="b">
        <f>IF(OR(V67="Compliant",V67="FE with work-a-round",V67="Functionally Equivalent",V67="Not Required/Applicable"),TRUE,FALSE)</f>
        <v>0</v>
      </c>
      <c r="X67" s="1449"/>
      <c r="Y67" s="111"/>
      <c r="Z67" s="120"/>
      <c r="AA67" s="65"/>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40"/>
    </row>
    <row r="68" spans="1:84" s="27" customFormat="1" ht="29" x14ac:dyDescent="0.3">
      <c r="A68" s="60"/>
      <c r="B68" s="1504"/>
      <c r="C68" s="2887" t="s">
        <v>1401</v>
      </c>
      <c r="D68" s="1013" t="s">
        <v>3</v>
      </c>
      <c r="E68" s="294" t="b">
        <f>IF(D68="Compliant",TRUE,FALSE)</f>
        <v>0</v>
      </c>
      <c r="F68" s="281"/>
      <c r="G68" s="281" t="str">
        <f>IF(I68&lt;&gt;"", "Not Blank", "")</f>
        <v/>
      </c>
      <c r="H68" s="281"/>
      <c r="I68" s="301"/>
      <c r="J68" s="301" t="str">
        <f>IF(L68&lt;&gt;"", "Not Blank", "")</f>
        <v/>
      </c>
      <c r="K68" s="301"/>
      <c r="L68" s="301"/>
      <c r="M68" s="298"/>
      <c r="N68" s="4447"/>
      <c r="O68" s="4630"/>
      <c r="P68" s="144"/>
      <c r="Q68" s="1863" t="s">
        <v>3</v>
      </c>
      <c r="R68" s="737" t="b">
        <f>IF(OR(Q68="Compliant",Q68="FE with work-a-round",Q68="Functionally Equivalent"),TRUE,FALSE)</f>
        <v>0</v>
      </c>
      <c r="S68" s="44"/>
      <c r="T68" s="44"/>
      <c r="U68" s="68"/>
      <c r="V68" s="4447"/>
      <c r="W68" s="4524"/>
      <c r="X68" s="1267"/>
      <c r="Y68" s="44"/>
      <c r="Z68" s="122"/>
      <c r="AA68" s="65"/>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40"/>
    </row>
    <row r="69" spans="1:84" s="27" customFormat="1" ht="58" x14ac:dyDescent="0.3">
      <c r="A69" s="60"/>
      <c r="B69" s="1504"/>
      <c r="C69" s="2883" t="s">
        <v>1402</v>
      </c>
      <c r="D69" s="319" t="s">
        <v>3</v>
      </c>
      <c r="E69" s="294" t="b">
        <f>IF(D69="Compliant",TRUE,FALSE)</f>
        <v>0</v>
      </c>
      <c r="F69" s="281"/>
      <c r="G69" s="281" t="str">
        <f>IF(I69&lt;&gt;"", "Not Blank", "")</f>
        <v/>
      </c>
      <c r="H69" s="281"/>
      <c r="I69" s="281"/>
      <c r="J69" s="281" t="str">
        <f>IF(L69&lt;&gt;"", "Not Blank", "")</f>
        <v/>
      </c>
      <c r="K69" s="281"/>
      <c r="L69" s="281"/>
      <c r="M69" s="282"/>
      <c r="N69" s="4447"/>
      <c r="O69" s="4630"/>
      <c r="P69" s="68"/>
      <c r="Q69" s="1060" t="s">
        <v>3</v>
      </c>
      <c r="R69" s="737" t="b">
        <f>IF(OR(Q69="Compliant",Q69="FE with work-a-round",Q69="Functionally Equivalent"),TRUE,FALSE)</f>
        <v>0</v>
      </c>
      <c r="S69" s="44"/>
      <c r="T69" s="44"/>
      <c r="U69" s="68"/>
      <c r="V69" s="4447"/>
      <c r="W69" s="4524"/>
      <c r="X69" s="1267"/>
      <c r="Y69" s="44"/>
      <c r="Z69" s="122"/>
      <c r="AA69" s="65"/>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40"/>
    </row>
    <row r="70" spans="1:84" s="27" customFormat="1" ht="58.5" thickBot="1" x14ac:dyDescent="0.35">
      <c r="A70" s="60"/>
      <c r="B70" s="1508"/>
      <c r="C70" s="2883" t="s">
        <v>1403</v>
      </c>
      <c r="D70" s="230" t="s">
        <v>3</v>
      </c>
      <c r="E70" s="294" t="b">
        <f>IF(D70="Compliant",TRUE,FALSE)</f>
        <v>0</v>
      </c>
      <c r="F70" s="281"/>
      <c r="G70" s="281" t="str">
        <f>IF(I70&lt;&gt;"", "Not Blank", "")</f>
        <v/>
      </c>
      <c r="H70" s="281"/>
      <c r="I70" s="281"/>
      <c r="J70" s="281" t="str">
        <f>IF(L70&lt;&gt;"", "Not Blank", "")</f>
        <v/>
      </c>
      <c r="K70" s="281"/>
      <c r="L70" s="281"/>
      <c r="M70" s="282"/>
      <c r="N70" s="4448"/>
      <c r="O70" s="4631"/>
      <c r="P70" s="68"/>
      <c r="Q70" s="1017" t="s">
        <v>3</v>
      </c>
      <c r="R70" s="737" t="b">
        <f>IF(OR(Q70="Compliant",Q70="FE with work-a-round",Q70="Functionally Equivalent"),TRUE,FALSE)</f>
        <v>0</v>
      </c>
      <c r="S70" s="44"/>
      <c r="T70" s="44"/>
      <c r="U70" s="68"/>
      <c r="V70" s="4448"/>
      <c r="W70" s="4525"/>
      <c r="X70" s="1437"/>
      <c r="Y70" s="124"/>
      <c r="Z70" s="125"/>
      <c r="AA70" s="65"/>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40"/>
    </row>
    <row r="71" spans="1:84" s="27" customFormat="1" ht="32.15" customHeight="1" thickTop="1" x14ac:dyDescent="0.3">
      <c r="A71" s="60">
        <v>7.3</v>
      </c>
      <c r="B71" s="2882" t="s">
        <v>1674</v>
      </c>
      <c r="C71" s="2360" t="s">
        <v>594</v>
      </c>
      <c r="D71" s="2920" t="s">
        <v>565</v>
      </c>
      <c r="E71" s="2939" t="b">
        <f>IF(AND(E72=TRUE,E73=TRUE,E74=TRUE),TRUE,FALSE)</f>
        <v>0</v>
      </c>
      <c r="F71" s="2940">
        <f>COUNTIF(E72:E74,TRUE)</f>
        <v>0</v>
      </c>
      <c r="G71" s="2941">
        <f>COUNTIFS(E72:E74,TRUE,G72:G74,"Not Blank")</f>
        <v>0</v>
      </c>
      <c r="H71" s="2941">
        <f>COUNTIFS(E72:E74,FALSE,G72:G74,"Not Blank")</f>
        <v>0</v>
      </c>
      <c r="I71" s="2365" t="str">
        <f xml:space="preserve">
IF(F71&gt;3,"Too Many Entries - Check Red Lines",
IF(AND(E71=FALSE,G71=0,H71=0),"Nothing Entered below Yet",
IF(AND(G71=0,H71&gt;0),"**Non-Valid Entry/ies below - Check Yellow Line/s",
IF(G71&lt;F71,"Valid Entry required below - Check Amber box",
IF(AND(G71&gt;0,H71&gt;0),"**Valid and Non-Valid Entries made below - Check Yellow Line/s",
IF(AND(E71=FALSE,F71&lt;3),"Not all requirements addressed below - Check Pink Line/s",
IF(AND(E71=FALSE,G71&lt;3,G71&gt;0,H71=0),"More entries to come",
IF(AND(E71,TRUE,G71=3,H71=0),"Valid Entries made below"
))))))))</f>
        <v>Nothing Entered below Yet</v>
      </c>
      <c r="J71" s="1838">
        <f>COUNTIFS(E72:E74,TRUE,J72:J74,"Not Blank")</f>
        <v>0</v>
      </c>
      <c r="K71" s="1838">
        <f>COUNTIFS(E72:E74,FALSE,J72:J74,"Not Blank")</f>
        <v>0</v>
      </c>
      <c r="L71" s="1865" t="str">
        <f xml:space="preserve">
IF(J71&gt;3,"Too Many Entries - Check Red Lines",
IF(AND(E71=FALSE,J71=0,K71=0,E71=TRUE),"Nothing Required Below",
IF(J71&lt;F71,"Valid Entry required below - Check Amber Line/s",
IF(AND(E71=FALSE,J71=0,K71=0),"Nothing Entered below Yet",
IF(AND(J71=0,K71&gt;0),"**Non-Valid Entry/ies below - Check Yellow Line/s",
IF(AND(J71&gt;0,K71&gt;0),"**Valid and Non-Valid Entries made below - Check Yellow Line/s",
IF(AND(E71=FALSE,J71&lt;3),"Not all requirements addressed below - Check Pink Line/s",
IF(AND(E71=FALSE,J71&lt;3,J71&gt;0,K71=0),"More entries to come",
IF(AND(E71,TRUE,J71=3,K71=0),"Valid Entries made below"
)))))))))</f>
        <v>Nothing Entered below Yet</v>
      </c>
      <c r="M71" s="2352"/>
      <c r="N71" s="4446" t="s">
        <v>3</v>
      </c>
      <c r="O71" s="4629" t="b">
        <f>IF(OR(N71="Compliant",N71="FE with work-a-round",N71="Functionally Equivalent"),TRUE,FALSE)</f>
        <v>0</v>
      </c>
      <c r="P71" s="861"/>
      <c r="Q71" s="4135" t="s">
        <v>565</v>
      </c>
      <c r="R71" s="814" t="b">
        <f>IF(AND(R72=TRUE,R73=TRUE,R74=TRUE),TRUE,FALSE)</f>
        <v>0</v>
      </c>
      <c r="S71" s="111"/>
      <c r="T71" s="111"/>
      <c r="U71" s="120"/>
      <c r="V71" s="4446" t="s">
        <v>3</v>
      </c>
      <c r="W71" s="4523" t="b">
        <f>IF(OR(V71="Compliant",V71="FE with work-a-round",V71="Functionally Equivalent",V71="Not Required/Applicable"),TRUE,FALSE)</f>
        <v>0</v>
      </c>
      <c r="X71" s="1449"/>
      <c r="Y71" s="111"/>
      <c r="Z71" s="120"/>
      <c r="AA71" s="65"/>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40"/>
    </row>
    <row r="72" spans="1:84" s="27" customFormat="1" ht="43.5" x14ac:dyDescent="0.3">
      <c r="A72" s="60"/>
      <c r="B72" s="1504"/>
      <c r="C72" s="2887" t="s">
        <v>1404</v>
      </c>
      <c r="D72" s="1013" t="s">
        <v>3</v>
      </c>
      <c r="E72" s="315" t="b">
        <f>IF(D72="Compliant",TRUE,FALSE)</f>
        <v>0</v>
      </c>
      <c r="F72" s="301"/>
      <c r="G72" s="301" t="str">
        <f>IF(I72&lt;&gt;"", "Not Blank", "")</f>
        <v/>
      </c>
      <c r="H72" s="301"/>
      <c r="I72" s="301"/>
      <c r="J72" s="281" t="str">
        <f>IF(L72&lt;&gt;"", "Not Blank", "")</f>
        <v/>
      </c>
      <c r="K72" s="281"/>
      <c r="L72" s="2366"/>
      <c r="M72" s="298"/>
      <c r="N72" s="4447"/>
      <c r="O72" s="4630"/>
      <c r="P72" s="2177"/>
      <c r="Q72" s="1863" t="s">
        <v>3</v>
      </c>
      <c r="R72" s="737" t="b">
        <f>IF(OR(Q72="Compliant",Q72="FE with work-a-round",Q72="Functionally Equivalent"),TRUE,FALSE)</f>
        <v>0</v>
      </c>
      <c r="S72" s="44"/>
      <c r="T72" s="44"/>
      <c r="U72" s="68"/>
      <c r="V72" s="4447"/>
      <c r="W72" s="4524"/>
      <c r="X72" s="1267"/>
      <c r="Y72" s="44"/>
      <c r="Z72" s="122"/>
      <c r="AA72" s="65"/>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40"/>
    </row>
    <row r="73" spans="1:84" s="27" customFormat="1" ht="58" x14ac:dyDescent="0.3">
      <c r="A73" s="60"/>
      <c r="B73" s="1504"/>
      <c r="C73" s="2883" t="s">
        <v>1405</v>
      </c>
      <c r="D73" s="319" t="s">
        <v>3</v>
      </c>
      <c r="E73" s="294" t="b">
        <f>IF(D73="Compliant",TRUE,FALSE)</f>
        <v>0</v>
      </c>
      <c r="F73" s="281"/>
      <c r="G73" s="281" t="str">
        <f>IF(I73&lt;&gt;"", "Not Blank", "")</f>
        <v/>
      </c>
      <c r="H73" s="281"/>
      <c r="I73" s="281"/>
      <c r="J73" s="281" t="str">
        <f>IF(L73&lt;&gt;"", "Not Blank", "")</f>
        <v/>
      </c>
      <c r="K73" s="281"/>
      <c r="L73" s="281"/>
      <c r="M73" s="282"/>
      <c r="N73" s="4447"/>
      <c r="O73" s="4630"/>
      <c r="P73" s="68"/>
      <c r="Q73" s="1060" t="s">
        <v>3</v>
      </c>
      <c r="R73" s="737" t="b">
        <f>IF(OR(Q73="Compliant",Q73="FE with work-a-round",Q73="Functionally Equivalent"),TRUE,FALSE)</f>
        <v>0</v>
      </c>
      <c r="S73" s="44"/>
      <c r="T73" s="44"/>
      <c r="U73" s="68"/>
      <c r="V73" s="4447"/>
      <c r="W73" s="4524"/>
      <c r="X73" s="1267"/>
      <c r="Y73" s="44"/>
      <c r="Z73" s="122"/>
      <c r="AA73" s="65"/>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40"/>
    </row>
    <row r="74" spans="1:84" s="27" customFormat="1" ht="44" thickBot="1" x14ac:dyDescent="0.35">
      <c r="A74" s="60"/>
      <c r="B74" s="1504"/>
      <c r="C74" s="2885" t="s">
        <v>1406</v>
      </c>
      <c r="D74" s="230" t="s">
        <v>3</v>
      </c>
      <c r="E74" s="295" t="b">
        <f>IF(D74="Compliant",TRUE,FALSE)</f>
        <v>0</v>
      </c>
      <c r="F74" s="283"/>
      <c r="G74" s="283" t="str">
        <f>IF(I74&lt;&gt;"", "Not Blank", "")</f>
        <v/>
      </c>
      <c r="H74" s="283"/>
      <c r="I74" s="283"/>
      <c r="J74" s="283" t="str">
        <f>IF(L74&lt;&gt;"", "Not Blank", "")</f>
        <v/>
      </c>
      <c r="K74" s="283"/>
      <c r="L74" s="283"/>
      <c r="M74" s="284"/>
      <c r="N74" s="4448"/>
      <c r="O74" s="4631"/>
      <c r="P74" s="68"/>
      <c r="Q74" s="1017" t="s">
        <v>3</v>
      </c>
      <c r="R74" s="737" t="b">
        <f>IF(OR(Q74="Compliant",Q74="FE with work-a-round",Q74="Functionally Equivalent"),TRUE,FALSE)</f>
        <v>0</v>
      </c>
      <c r="S74" s="44"/>
      <c r="T74" s="44"/>
      <c r="U74" s="68"/>
      <c r="V74" s="4448"/>
      <c r="W74" s="4525"/>
      <c r="X74" s="1437"/>
      <c r="Y74" s="124"/>
      <c r="Z74" s="125"/>
      <c r="AA74" s="65"/>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40"/>
    </row>
    <row r="75" spans="1:84" s="27" customFormat="1" ht="32.15" customHeight="1" thickTop="1" x14ac:dyDescent="0.3">
      <c r="A75" s="60">
        <v>7.4</v>
      </c>
      <c r="B75" s="2894" t="s">
        <v>1836</v>
      </c>
      <c r="C75" s="2360" t="s">
        <v>595</v>
      </c>
      <c r="D75" s="2920" t="s">
        <v>565</v>
      </c>
      <c r="E75" s="1850" t="b">
        <f>IF(AND(E76=TRUE,E77=TRUE,E78=TRUE),TRUE,FALSE)</f>
        <v>0</v>
      </c>
      <c r="F75" s="1851">
        <f>COUNTIF(E76:E78,TRUE)</f>
        <v>0</v>
      </c>
      <c r="G75" s="2942">
        <f>COUNTIFS(E76:E78,TRUE,G76:G78,"Not Blank")</f>
        <v>0</v>
      </c>
      <c r="H75" s="2942">
        <f>COUNTIFS(E76:E78,FALSE,G76:G78,"Not Blank")</f>
        <v>0</v>
      </c>
      <c r="I75" s="2365" t="str">
        <f xml:space="preserve">
IF(F75&gt;3,"Too Many Entries - Check Red Lines",
IF(AND(E75=FALSE,G75=0,H75=0),"Nothing Entered below Yet",
IF(AND(G75=0,H75&gt;0),"**Non-Valid Entry/ies below - Check Yellow Line/s",
IF(G75&lt;F75,"Valid Entry required below - Check Amber box",
IF(AND(G75&gt;0,H75&gt;0),"**Valid and Non-Valid Entries made below - Check Yellow Line/s",
IF(AND(E75=FALSE,F75&lt;3),"Not all requirements addressed below - Check Pink Line/s",
IF(AND(E75=FALSE,G75&lt;3,G75&gt;0,H75=0),"More entries to come",
IF(AND(E75,TRUE,G75=3,H75=0),"Valid Entries made below"
))))))))</f>
        <v>Nothing Entered below Yet</v>
      </c>
      <c r="J75" s="2365">
        <f>COUNTIFS(E76:E78,TRUE,J76:J78,"Not Blank")</f>
        <v>0</v>
      </c>
      <c r="K75" s="2365">
        <f>COUNTIFS(E76:E78,FALSE,J76:J78,"Not Blank")</f>
        <v>0</v>
      </c>
      <c r="L75" s="2365" t="str">
        <f xml:space="preserve">
IF(J75&gt;3,"Too Many Entries - Check Red Lines",
IF(AND(E75=FALSE,J75=0,K75=0,E75=TRUE),"Nothing Required Below",
IF(J75&lt;F75,"Valid Entry required below - Check Amber Line/s",
IF(AND(E75=FALSE,J75=0,K75=0),"Nothing Entered below Yet",
IF(AND(J75=0,K75&gt;0),"**Non-Valid Entry/ies below - Check Yellow Line/s",
IF(AND(J75&gt;0,K75&gt;0),"**Valid and Non-Valid Entries made below - Check Yellow Line/s",
IF(AND(E75=FALSE,J75&lt;3),"Not all requirements addressed below - Check Pink Line/s",
IF(AND(E75=FALSE,J75&lt;3,J75&gt;0,K75=0),"More entries to come",
IF(AND(E75,TRUE,J75=3,K75=0),"Valid Entries made below"
)))))))))</f>
        <v>Nothing Entered below Yet</v>
      </c>
      <c r="M75" s="2367"/>
      <c r="N75" s="4446" t="s">
        <v>3</v>
      </c>
      <c r="O75" s="4629" t="b">
        <f>IF(OR(N75="Compliant",N75="FE with work-a-round",N75="Functionally Equivalent"),TRUE,FALSE)</f>
        <v>0</v>
      </c>
      <c r="P75" s="861"/>
      <c r="Q75" s="4135" t="s">
        <v>565</v>
      </c>
      <c r="R75" s="814" t="b">
        <f>IF(AND(R76=TRUE,R77=TRUE,R78=TRUE),TRUE,FALSE)</f>
        <v>0</v>
      </c>
      <c r="S75" s="111"/>
      <c r="T75" s="111"/>
      <c r="U75" s="120"/>
      <c r="V75" s="4446" t="s">
        <v>3</v>
      </c>
      <c r="W75" s="4523" t="b">
        <f>IF(OR(V75="Compliant",V75="FE with work-a-round",V75="Functionally Equivalent",V75="Not Required/Applicable"),TRUE,FALSE)</f>
        <v>0</v>
      </c>
      <c r="X75" s="1449"/>
      <c r="Y75" s="111"/>
      <c r="Z75" s="120"/>
      <c r="AA75" s="65"/>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40"/>
    </row>
    <row r="76" spans="1:84" s="27" customFormat="1" ht="15.5" x14ac:dyDescent="0.3">
      <c r="A76" s="60"/>
      <c r="B76" s="1504"/>
      <c r="C76" s="2887" t="s">
        <v>1407</v>
      </c>
      <c r="D76" s="1013" t="s">
        <v>3</v>
      </c>
      <c r="E76" s="294" t="b">
        <f>IF(D76="Compliant",TRUE,FALSE)</f>
        <v>0</v>
      </c>
      <c r="F76" s="281"/>
      <c r="G76" s="281" t="str">
        <f>IF(I76&lt;&gt;"", "Not Blank", "")</f>
        <v/>
      </c>
      <c r="H76" s="281"/>
      <c r="I76" s="301"/>
      <c r="J76" s="301" t="str">
        <f>IF(L76&lt;&gt;"", "Not Blank", "")</f>
        <v/>
      </c>
      <c r="K76" s="301"/>
      <c r="L76" s="301"/>
      <c r="M76" s="2361"/>
      <c r="N76" s="4447"/>
      <c r="O76" s="4630"/>
      <c r="P76" s="2177"/>
      <c r="Q76" s="1863" t="s">
        <v>3</v>
      </c>
      <c r="R76" s="737" t="b">
        <f>IF(OR(Q76="Compliant",Q76="FE with work-a-round",Q76="Functionally Equivalent"),TRUE,FALSE)</f>
        <v>0</v>
      </c>
      <c r="S76" s="44"/>
      <c r="T76" s="44"/>
      <c r="U76" s="68"/>
      <c r="V76" s="4447"/>
      <c r="W76" s="4524"/>
      <c r="X76" s="1267"/>
      <c r="Y76" s="44"/>
      <c r="Z76" s="122"/>
      <c r="AA76" s="65"/>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40"/>
    </row>
    <row r="77" spans="1:84" s="27" customFormat="1" ht="29" x14ac:dyDescent="0.3">
      <c r="A77" s="60"/>
      <c r="B77" s="1508"/>
      <c r="C77" s="2888" t="s">
        <v>1408</v>
      </c>
      <c r="D77" s="319" t="s">
        <v>3</v>
      </c>
      <c r="E77" s="191" t="b">
        <f>IF(D77="Compliant",TRUE,FALSE)</f>
        <v>0</v>
      </c>
      <c r="F77" s="296"/>
      <c r="G77" s="296" t="str">
        <f>IF(I77&lt;&gt;"", "Not Blank", "")</f>
        <v/>
      </c>
      <c r="H77" s="296"/>
      <c r="I77" s="296"/>
      <c r="J77" s="296"/>
      <c r="K77" s="296"/>
      <c r="L77" s="296"/>
      <c r="M77" s="297"/>
      <c r="N77" s="4447"/>
      <c r="O77" s="4630"/>
      <c r="P77" s="68"/>
      <c r="Q77" s="1060" t="s">
        <v>3</v>
      </c>
      <c r="R77" s="737" t="b">
        <f>IF(OR(Q77="Compliant",Q77="FE with work-a-round",Q77="Functionally Equivalent"),TRUE,FALSE)</f>
        <v>0</v>
      </c>
      <c r="S77" s="44"/>
      <c r="T77" s="44"/>
      <c r="U77" s="68"/>
      <c r="V77" s="4447"/>
      <c r="W77" s="4524"/>
      <c r="X77" s="1267"/>
      <c r="Y77" s="44"/>
      <c r="Z77" s="122"/>
      <c r="AA77" s="65"/>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40"/>
    </row>
    <row r="78" spans="1:84" s="27" customFormat="1" ht="44" thickBot="1" x14ac:dyDescent="0.35">
      <c r="A78" s="60"/>
      <c r="B78" s="1508"/>
      <c r="C78" s="2885" t="s">
        <v>1409</v>
      </c>
      <c r="D78" s="230" t="s">
        <v>3</v>
      </c>
      <c r="E78" s="295" t="b">
        <f>IF(D78="Compliant",TRUE,FALSE)</f>
        <v>0</v>
      </c>
      <c r="F78" s="283"/>
      <c r="G78" s="283" t="str">
        <f>IF(I78&lt;&gt;"", "Not Blank", "")</f>
        <v/>
      </c>
      <c r="H78" s="283"/>
      <c r="I78" s="283"/>
      <c r="J78" s="283" t="str">
        <f>IF(L78&lt;&gt;"", "Not Blank", "")</f>
        <v/>
      </c>
      <c r="K78" s="283"/>
      <c r="L78" s="283"/>
      <c r="M78" s="284"/>
      <c r="N78" s="4448"/>
      <c r="O78" s="4631"/>
      <c r="P78" s="68"/>
      <c r="Q78" s="1017" t="s">
        <v>3</v>
      </c>
      <c r="R78" s="737" t="b">
        <f>IF(OR(Q78="Compliant",Q78="FE with work-a-round",Q78="Functionally Equivalent"),TRUE,FALSE)</f>
        <v>0</v>
      </c>
      <c r="S78" s="44"/>
      <c r="T78" s="44"/>
      <c r="U78" s="68"/>
      <c r="V78" s="4448"/>
      <c r="W78" s="4525"/>
      <c r="X78" s="1437"/>
      <c r="Y78" s="124"/>
      <c r="Z78" s="125"/>
      <c r="AA78" s="65"/>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40"/>
    </row>
    <row r="79" spans="1:84" s="27" customFormat="1" ht="102" thickTop="1" x14ac:dyDescent="0.3">
      <c r="A79" s="60">
        <v>7.5</v>
      </c>
      <c r="B79" s="2882" t="s">
        <v>1710</v>
      </c>
      <c r="C79" s="1864" t="s">
        <v>1412</v>
      </c>
      <c r="D79" s="2916" t="s">
        <v>565</v>
      </c>
      <c r="E79" s="1850" t="b">
        <f>IF(AND(E80=TRUE,E81=TRUE),TRUE,FALSE)</f>
        <v>0</v>
      </c>
      <c r="F79" s="1851">
        <f>COUNTIF(E80:E81,TRUE)</f>
        <v>0</v>
      </c>
      <c r="G79" s="2942">
        <f>COUNTIFS(E80:E81,TRUE,G80:G81,"Not Blank")</f>
        <v>0</v>
      </c>
      <c r="H79" s="2942">
        <f>COUNTIFS(E80:E81,FALSE,G80:G81,"Not Blank")</f>
        <v>0</v>
      </c>
      <c r="I79" s="2365" t="str">
        <f xml:space="preserve">
IF(F79&gt;2,"Too Many Entries - Check Red Lines",
IF(AND(E79=FALSE,G79=0,H79=0),"Nothing Entered below Yet",
IF(AND(G79=0,H79&gt;0),"**Non-Valid Entry/ies below - Check Yellow Line/s",
IF(G79&lt;F79,"Valid Entry required below - Check Amber box",
IF(AND(G79&gt;0,H79&gt;0),"**Valid and Non-Valid Entries made below - Check Yellow Line/s",
IF(AND(E79=FALSE,F79&lt;2),"Not all requirements addressed below - Check Pink Line/s",
IF(AND(E79=FALSE,G79&lt;2,G79&gt;0,H79=0),"More entries to come",
IF(AND(E79,TRUE,G79=2,H79=0),"Valid Entries made below"
))))))))</f>
        <v>Nothing Entered below Yet</v>
      </c>
      <c r="J79" s="2365">
        <f>COUNTIFS(E80:E81,TRUE,J80:J81,"Not Blank")</f>
        <v>0</v>
      </c>
      <c r="K79" s="2365">
        <f>COUNTIFS(E80:E81,FALSE,J80:J81,"Not Blank")</f>
        <v>0</v>
      </c>
      <c r="L79" s="2365" t="str">
        <f xml:space="preserve">
IF(J79&gt;2,"Too Many Entries - Check Red Lines",
IF(AND(E79=FALSE,J79=0,K79=0,E79=TRUE),"Nothing Required Below",
IF(J79&lt;F79,"Valid Entry required below - Check Amber Line/s",
IF(AND(E79=FALSE,J79=0,K79=0),"Nothing Entered below Yet",
IF(AND(J79=0,K79&gt;0),"**Non-Valid Entry/ies below - Check Yellow Line/s",
IF(AND(J79&gt;0,K79&gt;0),"**Valid and Non-Valid Entries made below - Check Yellow Line/s",
IF(AND(E79=FALSE,J79&lt;2),"Not all requirements addressed below - Check Pink Line/s",
IF(AND(E79=FALSE,J79&lt;2,J79&gt;0,K79=0),"More entries to come",
IF(AND(E79,TRUE,J79=2,K79=0),"Valid Entries made below"
)))))))))</f>
        <v>Nothing Entered below Yet</v>
      </c>
      <c r="M79" s="2367"/>
      <c r="N79" s="4446" t="s">
        <v>3</v>
      </c>
      <c r="O79" s="4629" t="b">
        <f>IF(OR(N79="Compliant",N79="FE with work-a-round",N79="Functionally Equivalent"),TRUE,FALSE)</f>
        <v>0</v>
      </c>
      <c r="P79" s="2249"/>
      <c r="Q79" s="4135" t="s">
        <v>565</v>
      </c>
      <c r="R79" s="814" t="b">
        <f>IF(AND(R80=TRUE,R81=TRUE),TRUE,FALSE)</f>
        <v>0</v>
      </c>
      <c r="S79" s="111"/>
      <c r="T79" s="111"/>
      <c r="U79" s="120"/>
      <c r="V79" s="4446" t="s">
        <v>3</v>
      </c>
      <c r="W79" s="4523" t="b">
        <f>IF(OR(V79="Compliant",V79="FE with work-a-round",V79="Functionally Equivalent",V79="Not Required/Applicable"),TRUE,FALSE)</f>
        <v>0</v>
      </c>
      <c r="X79" s="1449"/>
      <c r="Y79" s="111"/>
      <c r="Z79" s="120"/>
      <c r="AA79" s="65"/>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40"/>
    </row>
    <row r="80" spans="1:84" s="27" customFormat="1" ht="58" x14ac:dyDescent="0.3">
      <c r="A80" s="60"/>
      <c r="B80" s="1504"/>
      <c r="C80" s="2895" t="s">
        <v>1410</v>
      </c>
      <c r="D80" s="2168" t="s">
        <v>3</v>
      </c>
      <c r="E80" s="294" t="b">
        <f t="shared" ref="E80:E87" si="4">IF(D80="Compliant",TRUE,FALSE)</f>
        <v>0</v>
      </c>
      <c r="F80" s="281"/>
      <c r="G80" s="281" t="str">
        <f>IF(I80&lt;&gt;"", "Not Blank", "")</f>
        <v/>
      </c>
      <c r="H80" s="281"/>
      <c r="I80" s="301"/>
      <c r="J80" s="301" t="str">
        <f t="shared" ref="J80:J87" si="5">IF(L80&lt;&gt;"", "Not Blank", "")</f>
        <v/>
      </c>
      <c r="K80" s="301"/>
      <c r="L80" s="301"/>
      <c r="M80" s="2361"/>
      <c r="N80" s="4447"/>
      <c r="O80" s="4630"/>
      <c r="P80" s="144"/>
      <c r="Q80" s="1863" t="s">
        <v>3</v>
      </c>
      <c r="R80" s="737" t="b">
        <f>IF(OR(Q80="Compliant",Q80="FE with work-a-round",Q80="Functionally Equivalent"),TRUE,FALSE)</f>
        <v>0</v>
      </c>
      <c r="S80" s="44"/>
      <c r="T80" s="44"/>
      <c r="U80" s="68"/>
      <c r="V80" s="4447"/>
      <c r="W80" s="4524"/>
      <c r="X80" s="1267"/>
      <c r="Y80" s="44"/>
      <c r="Z80" s="122"/>
      <c r="AA80" s="65"/>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40"/>
    </row>
    <row r="81" spans="1:84" s="27" customFormat="1" ht="16" thickBot="1" x14ac:dyDescent="0.35">
      <c r="A81" s="60"/>
      <c r="B81" s="1508"/>
      <c r="C81" s="2896" t="s">
        <v>1411</v>
      </c>
      <c r="D81" s="230" t="s">
        <v>3</v>
      </c>
      <c r="E81" s="191" t="b">
        <f t="shared" si="4"/>
        <v>0</v>
      </c>
      <c r="F81" s="296"/>
      <c r="G81" s="296" t="str">
        <f>IF(I81&lt;&gt;"", "Not Blank", "")</f>
        <v/>
      </c>
      <c r="H81" s="296"/>
      <c r="I81" s="296"/>
      <c r="J81" s="296" t="str">
        <f t="shared" si="5"/>
        <v/>
      </c>
      <c r="K81" s="296"/>
      <c r="L81" s="296"/>
      <c r="M81" s="297"/>
      <c r="N81" s="4448"/>
      <c r="O81" s="4631"/>
      <c r="P81" s="68"/>
      <c r="Q81" s="1017" t="s">
        <v>3</v>
      </c>
      <c r="R81" s="67" t="b">
        <f>IF(OR(Q81="Compliant",Q81="FE with work-a-round",Q81="Functionally Equivalent"),TRUE,FALSE)</f>
        <v>0</v>
      </c>
      <c r="S81" s="44"/>
      <c r="T81" s="44"/>
      <c r="U81" s="68"/>
      <c r="V81" s="4448"/>
      <c r="W81" s="4525"/>
      <c r="X81" s="1437"/>
      <c r="Y81" s="124"/>
      <c r="Z81" s="125"/>
      <c r="AA81" s="65"/>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40"/>
    </row>
    <row r="82" spans="1:84" s="27" customFormat="1" ht="44.5" thickTop="1" thickBot="1" x14ac:dyDescent="0.35">
      <c r="A82" s="60">
        <v>7.6</v>
      </c>
      <c r="B82" s="1504"/>
      <c r="C82" s="1809" t="s">
        <v>1413</v>
      </c>
      <c r="D82" s="102" t="s">
        <v>3</v>
      </c>
      <c r="E82" s="132" t="b">
        <f t="shared" si="4"/>
        <v>0</v>
      </c>
      <c r="F82" s="133"/>
      <c r="G82" s="133" t="str">
        <f t="shared" ref="G82:G87" si="6">IF(I82&lt;&gt;"", "Not Blank", "")</f>
        <v/>
      </c>
      <c r="H82" s="133"/>
      <c r="I82" s="133"/>
      <c r="J82" s="133" t="str">
        <f t="shared" si="5"/>
        <v/>
      </c>
      <c r="K82" s="133"/>
      <c r="L82" s="133"/>
      <c r="M82" s="134"/>
      <c r="N82" s="1134" t="s">
        <v>3</v>
      </c>
      <c r="O82" s="994" t="b">
        <f t="shared" ref="O82:O87" si="7">IF(OR(N82="Compliant",N82="FE with work-a-round",N82="Functionally Equivalent"),TRUE,FALSE)</f>
        <v>0</v>
      </c>
      <c r="P82" s="111"/>
      <c r="Q82" s="1135" t="s">
        <v>3</v>
      </c>
      <c r="R82" s="737" t="b">
        <f t="shared" ref="R82:R87" si="8">IF(OR(Q82="Compliant",Q82="FE with work-a-round",Q82="Functionally Equivalent"),TRUE,FALSE)</f>
        <v>0</v>
      </c>
      <c r="S82" s="111"/>
      <c r="T82" s="111"/>
      <c r="U82" s="120"/>
      <c r="V82" s="1134" t="s">
        <v>3</v>
      </c>
      <c r="W82" s="2142" t="b">
        <f t="shared" ref="W82:W87" si="9">IF(OR(V82="Compliant",V82="FE with work-a-round",V82="Functionally Equivalent",V82="Not Required/Applicable"),TRUE,FALSE)</f>
        <v>0</v>
      </c>
      <c r="X82" s="1449"/>
      <c r="Y82" s="133"/>
      <c r="Z82" s="134"/>
      <c r="AA82" s="65"/>
      <c r="AB82" s="28"/>
      <c r="AC82" s="28"/>
      <c r="AD82" s="28"/>
      <c r="AE82" s="28"/>
      <c r="AF82" s="28"/>
      <c r="AG82" s="28"/>
      <c r="AH82" s="28"/>
      <c r="AI82" s="28"/>
      <c r="AJ82" s="28"/>
      <c r="AK82" s="28"/>
      <c r="AL82" s="28"/>
      <c r="AM82" s="28"/>
      <c r="AN82" s="28"/>
      <c r="AO82" s="28"/>
      <c r="AP82" s="28"/>
      <c r="AQ82" s="28"/>
      <c r="AR82" s="28"/>
      <c r="AS82" s="28"/>
      <c r="AT82" s="28"/>
      <c r="AU82" s="28"/>
      <c r="AV82" s="28"/>
      <c r="AW82" s="41"/>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3"/>
    </row>
    <row r="83" spans="1:84" s="27" customFormat="1" ht="73.5" thickTop="1" thickBot="1" x14ac:dyDescent="0.35">
      <c r="A83" s="60">
        <v>7.7</v>
      </c>
      <c r="B83" s="1504"/>
      <c r="C83" s="1809" t="s">
        <v>1414</v>
      </c>
      <c r="D83" s="102" t="s">
        <v>3</v>
      </c>
      <c r="E83" s="132" t="b">
        <f t="shared" si="4"/>
        <v>0</v>
      </c>
      <c r="F83" s="133"/>
      <c r="G83" s="133" t="str">
        <f t="shared" si="6"/>
        <v/>
      </c>
      <c r="H83" s="133"/>
      <c r="I83" s="133"/>
      <c r="J83" s="133" t="str">
        <f t="shared" si="5"/>
        <v/>
      </c>
      <c r="K83" s="133"/>
      <c r="L83" s="133"/>
      <c r="M83" s="134"/>
      <c r="N83" s="1134" t="s">
        <v>3</v>
      </c>
      <c r="O83" s="994" t="b">
        <f t="shared" si="7"/>
        <v>0</v>
      </c>
      <c r="P83" s="111"/>
      <c r="Q83" s="1135" t="s">
        <v>3</v>
      </c>
      <c r="R83" s="737" t="b">
        <f t="shared" si="8"/>
        <v>0</v>
      </c>
      <c r="S83" s="111"/>
      <c r="T83" s="111"/>
      <c r="U83" s="120"/>
      <c r="V83" s="1134" t="s">
        <v>3</v>
      </c>
      <c r="W83" s="2142" t="b">
        <f t="shared" si="9"/>
        <v>0</v>
      </c>
      <c r="X83" s="1449"/>
      <c r="Y83" s="133"/>
      <c r="Z83" s="134"/>
      <c r="AA83" s="65"/>
      <c r="AB83" s="28"/>
      <c r="AC83" s="28"/>
      <c r="AD83" s="28"/>
      <c r="AE83" s="28"/>
      <c r="AF83" s="28"/>
      <c r="AG83" s="28"/>
      <c r="AH83" s="28"/>
      <c r="AI83" s="28"/>
      <c r="AJ83" s="28"/>
      <c r="AK83" s="28"/>
      <c r="AL83" s="28"/>
      <c r="AM83" s="28"/>
      <c r="AN83" s="28"/>
      <c r="AO83" s="28"/>
      <c r="AP83" s="28"/>
      <c r="AQ83" s="28"/>
      <c r="AR83" s="28"/>
      <c r="AS83" s="28"/>
      <c r="AT83" s="28"/>
      <c r="AU83" s="28"/>
      <c r="AV83" s="28"/>
      <c r="AW83" s="41"/>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3"/>
    </row>
    <row r="84" spans="1:84" s="27" customFormat="1" ht="73.5" thickTop="1" thickBot="1" x14ac:dyDescent="0.35">
      <c r="A84" s="60">
        <v>7.8</v>
      </c>
      <c r="B84" s="1504"/>
      <c r="C84" s="1809" t="s">
        <v>1415</v>
      </c>
      <c r="D84" s="102" t="s">
        <v>3</v>
      </c>
      <c r="E84" s="132" t="b">
        <f t="shared" si="4"/>
        <v>0</v>
      </c>
      <c r="F84" s="133"/>
      <c r="G84" s="133" t="str">
        <f t="shared" si="6"/>
        <v/>
      </c>
      <c r="H84" s="133"/>
      <c r="I84" s="133"/>
      <c r="J84" s="133" t="str">
        <f t="shared" si="5"/>
        <v/>
      </c>
      <c r="K84" s="133"/>
      <c r="L84" s="133"/>
      <c r="M84" s="134"/>
      <c r="N84" s="1134" t="s">
        <v>3</v>
      </c>
      <c r="O84" s="994" t="b">
        <f t="shared" si="7"/>
        <v>0</v>
      </c>
      <c r="P84" s="111"/>
      <c r="Q84" s="1135" t="s">
        <v>3</v>
      </c>
      <c r="R84" s="737" t="b">
        <f t="shared" si="8"/>
        <v>0</v>
      </c>
      <c r="S84" s="111"/>
      <c r="T84" s="111"/>
      <c r="U84" s="120"/>
      <c r="V84" s="1134" t="s">
        <v>3</v>
      </c>
      <c r="W84" s="2142" t="b">
        <f t="shared" si="9"/>
        <v>0</v>
      </c>
      <c r="X84" s="1449"/>
      <c r="Y84" s="133"/>
      <c r="Z84" s="134"/>
      <c r="AA84" s="65"/>
      <c r="AB84" s="28"/>
      <c r="AC84" s="28"/>
      <c r="AD84" s="28"/>
      <c r="AE84" s="28"/>
      <c r="AF84" s="28"/>
      <c r="AG84" s="28"/>
      <c r="AH84" s="28"/>
      <c r="AI84" s="28"/>
      <c r="AJ84" s="28"/>
      <c r="AK84" s="28"/>
      <c r="AL84" s="28"/>
      <c r="AM84" s="28"/>
      <c r="AN84" s="28"/>
      <c r="AO84" s="28"/>
      <c r="AP84" s="28"/>
      <c r="AQ84" s="28"/>
      <c r="AR84" s="28"/>
      <c r="AS84" s="28"/>
      <c r="AT84" s="28"/>
      <c r="AU84" s="28"/>
      <c r="AV84" s="28"/>
      <c r="AW84" s="41"/>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3"/>
    </row>
    <row r="85" spans="1:84" s="27" customFormat="1" ht="276.5" thickTop="1" thickBot="1" x14ac:dyDescent="0.35">
      <c r="A85" s="60">
        <v>7.9</v>
      </c>
      <c r="B85" s="1504"/>
      <c r="C85" s="1809" t="s">
        <v>1519</v>
      </c>
      <c r="D85" s="102" t="s">
        <v>3</v>
      </c>
      <c r="E85" s="132" t="b">
        <f t="shared" si="4"/>
        <v>0</v>
      </c>
      <c r="F85" s="133"/>
      <c r="G85" s="133" t="str">
        <f t="shared" si="6"/>
        <v/>
      </c>
      <c r="H85" s="133"/>
      <c r="I85" s="133"/>
      <c r="J85" s="133" t="str">
        <f t="shared" si="5"/>
        <v/>
      </c>
      <c r="K85" s="133"/>
      <c r="L85" s="133"/>
      <c r="M85" s="134"/>
      <c r="N85" s="1134" t="s">
        <v>3</v>
      </c>
      <c r="O85" s="994" t="b">
        <f t="shared" si="7"/>
        <v>0</v>
      </c>
      <c r="P85" s="111"/>
      <c r="Q85" s="1135" t="s">
        <v>3</v>
      </c>
      <c r="R85" s="737" t="b">
        <f t="shared" si="8"/>
        <v>0</v>
      </c>
      <c r="S85" s="111"/>
      <c r="T85" s="111"/>
      <c r="U85" s="120"/>
      <c r="V85" s="1134" t="s">
        <v>3</v>
      </c>
      <c r="W85" s="2142" t="b">
        <f t="shared" si="9"/>
        <v>0</v>
      </c>
      <c r="X85" s="1449"/>
      <c r="Y85" s="133"/>
      <c r="Z85" s="134"/>
      <c r="AA85" s="65"/>
      <c r="AB85" s="28"/>
      <c r="AC85" s="28"/>
      <c r="AD85" s="28"/>
      <c r="AE85" s="28"/>
      <c r="AF85" s="28"/>
      <c r="AG85" s="28"/>
      <c r="AH85" s="28"/>
      <c r="AI85" s="28"/>
      <c r="AJ85" s="28"/>
      <c r="AK85" s="28"/>
      <c r="AL85" s="28"/>
      <c r="AM85" s="28"/>
      <c r="AN85" s="28"/>
      <c r="AO85" s="28"/>
      <c r="AP85" s="28"/>
      <c r="AQ85" s="28"/>
      <c r="AR85" s="28"/>
      <c r="AS85" s="28"/>
      <c r="AT85" s="28"/>
      <c r="AU85" s="28"/>
      <c r="AV85" s="28"/>
      <c r="AW85" s="41"/>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3"/>
    </row>
    <row r="86" spans="1:84" s="27" customFormat="1" ht="88" thickTop="1" thickBot="1" x14ac:dyDescent="0.35">
      <c r="A86" s="60">
        <v>7.1</v>
      </c>
      <c r="B86" s="1504"/>
      <c r="C86" s="1809" t="s">
        <v>1416</v>
      </c>
      <c r="D86" s="102" t="s">
        <v>3</v>
      </c>
      <c r="E86" s="132" t="b">
        <f t="shared" si="4"/>
        <v>0</v>
      </c>
      <c r="F86" s="133"/>
      <c r="G86" s="133" t="str">
        <f t="shared" si="6"/>
        <v/>
      </c>
      <c r="H86" s="133"/>
      <c r="I86" s="133"/>
      <c r="J86" s="133" t="str">
        <f t="shared" si="5"/>
        <v/>
      </c>
      <c r="K86" s="133"/>
      <c r="L86" s="133"/>
      <c r="M86" s="134"/>
      <c r="N86" s="1134" t="s">
        <v>3</v>
      </c>
      <c r="O86" s="994" t="b">
        <f t="shared" si="7"/>
        <v>0</v>
      </c>
      <c r="P86" s="111"/>
      <c r="Q86" s="1135" t="s">
        <v>3</v>
      </c>
      <c r="R86" s="737" t="b">
        <f t="shared" si="8"/>
        <v>0</v>
      </c>
      <c r="S86" s="111"/>
      <c r="T86" s="111"/>
      <c r="U86" s="120"/>
      <c r="V86" s="1134" t="s">
        <v>3</v>
      </c>
      <c r="W86" s="2142" t="b">
        <f t="shared" si="9"/>
        <v>0</v>
      </c>
      <c r="X86" s="1449"/>
      <c r="Y86" s="133"/>
      <c r="Z86" s="134"/>
      <c r="AA86" s="65"/>
      <c r="AB86" s="28"/>
      <c r="AC86" s="28"/>
      <c r="AD86" s="28"/>
      <c r="AE86" s="28"/>
      <c r="AF86" s="28"/>
      <c r="AG86" s="28"/>
      <c r="AH86" s="28"/>
      <c r="AI86" s="28"/>
      <c r="AJ86" s="28"/>
      <c r="AK86" s="28"/>
      <c r="AL86" s="28"/>
      <c r="AM86" s="28"/>
      <c r="AN86" s="28"/>
      <c r="AO86" s="28"/>
      <c r="AP86" s="28"/>
      <c r="AQ86" s="28"/>
      <c r="AR86" s="28"/>
      <c r="AS86" s="28"/>
      <c r="AT86" s="28"/>
      <c r="AU86" s="28"/>
      <c r="AV86" s="28"/>
      <c r="AW86" s="41"/>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3"/>
    </row>
    <row r="87" spans="1:84" s="27" customFormat="1" ht="102.5" thickTop="1" thickBot="1" x14ac:dyDescent="0.35">
      <c r="A87" s="60">
        <v>7.11</v>
      </c>
      <c r="B87" s="1508"/>
      <c r="C87" s="2887" t="s">
        <v>1417</v>
      </c>
      <c r="D87" s="102" t="s">
        <v>3</v>
      </c>
      <c r="E87" s="132" t="b">
        <f t="shared" si="4"/>
        <v>0</v>
      </c>
      <c r="F87" s="133"/>
      <c r="G87" s="133" t="str">
        <f t="shared" si="6"/>
        <v/>
      </c>
      <c r="H87" s="133"/>
      <c r="I87" s="133"/>
      <c r="J87" s="133" t="str">
        <f t="shared" si="5"/>
        <v/>
      </c>
      <c r="K87" s="133"/>
      <c r="L87" s="133"/>
      <c r="M87" s="134"/>
      <c r="N87" s="1134" t="s">
        <v>3</v>
      </c>
      <c r="O87" s="994" t="b">
        <f t="shared" si="7"/>
        <v>0</v>
      </c>
      <c r="P87" s="111"/>
      <c r="Q87" s="1135" t="s">
        <v>3</v>
      </c>
      <c r="R87" s="737" t="b">
        <f t="shared" si="8"/>
        <v>0</v>
      </c>
      <c r="S87" s="111"/>
      <c r="T87" s="111"/>
      <c r="U87" s="120"/>
      <c r="V87" s="1134" t="s">
        <v>3</v>
      </c>
      <c r="W87" s="2142" t="b">
        <f t="shared" si="9"/>
        <v>0</v>
      </c>
      <c r="X87" s="1449"/>
      <c r="Y87" s="133"/>
      <c r="Z87" s="134"/>
      <c r="AA87" s="65"/>
      <c r="AB87" s="28"/>
      <c r="AC87" s="28"/>
      <c r="AD87" s="28"/>
      <c r="AE87" s="28"/>
      <c r="AF87" s="28"/>
      <c r="AG87" s="28"/>
      <c r="AH87" s="28"/>
      <c r="AI87" s="28"/>
      <c r="AJ87" s="28"/>
      <c r="AK87" s="28"/>
      <c r="AL87" s="28"/>
      <c r="AM87" s="28"/>
      <c r="AN87" s="28"/>
      <c r="AO87" s="28"/>
      <c r="AP87" s="28"/>
      <c r="AQ87" s="28"/>
      <c r="AR87" s="28"/>
      <c r="AS87" s="28"/>
      <c r="AT87" s="28"/>
      <c r="AU87" s="28"/>
      <c r="AV87" s="28"/>
      <c r="AW87" s="41"/>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3"/>
    </row>
    <row r="88" spans="1:84" s="27" customFormat="1" ht="30" thickTop="1" thickBot="1" x14ac:dyDescent="0.35">
      <c r="A88" s="60">
        <v>8</v>
      </c>
      <c r="B88" s="2897" t="s">
        <v>1837</v>
      </c>
      <c r="C88" s="1830" t="s">
        <v>1418</v>
      </c>
      <c r="D88" s="1870" t="s">
        <v>565</v>
      </c>
      <c r="E88" s="2943" t="b">
        <f>IF(AND(E89=TRUE,E94=TRUE,E95=TRUE,E96=TRUE,E97=TRUE,OR(E98=TRUE,E99=TRUE)),TRUE,FALSE)</f>
        <v>0</v>
      </c>
      <c r="F88" s="2944">
        <f>COUNTIF(E90:E99,TRUE)</f>
        <v>0</v>
      </c>
      <c r="G88" s="2945">
        <f>COUNTIFS(E90:E99,TRUE,G90:G99,"Not Blank")</f>
        <v>0</v>
      </c>
      <c r="H88" s="2945">
        <f>COUNTIFS(E90:E99,FALSE,G90:G99,"Not Blank")</f>
        <v>0</v>
      </c>
      <c r="I88" s="2946" t="str">
        <f xml:space="preserve">
IF(F88&gt;9,"Too Many Entries - Check Red Lines",
IF(AND(E88=FALSE,G88=0,H88=0),"Nothing Entered below Yet",
IF(AND(G88=0,H88&gt;0),"**Non-Valid Entry/ies below - Check Yellow Line/s",
IF(G88&lt;F88,"Valid Entry required below - Check Amber box",
IF(AND(G88&gt;0,H88&gt;0),"**Valid and Non-Valid Entries made below - Check Yellow Line/s",
IF(AND(E88=FALSE,F88&lt;9),"Not all requirements addressed below - Check Pink Line/s",
IF(AND(E88=FALSE,G88&lt;9,G88&gt;0,H88=0),"More entries to come",
IF(AND(E88,TRUE,G88=9,H88=0),"Valid Entries made below"
))))))))</f>
        <v>Nothing Entered below Yet</v>
      </c>
      <c r="J88" s="2946">
        <f>COUNTIFS(E90:E99,TRUE,J90:J99,"Not Blank")</f>
        <v>0</v>
      </c>
      <c r="K88" s="2946">
        <f>COUNTIFS(E90:E99,FALSE,J90:J99,"Not Blank")</f>
        <v>0</v>
      </c>
      <c r="L88" s="2946" t="str">
        <f xml:space="preserve">
IF(J88&gt;9,"Too Many Entries - Check Red Lines",
IF(AND(E88=FALSE,J88=0,K88=0,E88=TRUE),"Nothing Required Below",
IF(J88&lt;F88,"Valid Entry required below - Check Amber Line/s",
IF(AND(E88=FALSE,J88=0,K88=0),"Nothing Entered below Yet",
IF(AND(J88=0,K88&gt;0),"**Non-Valid Entry/ies below - Check Yellow Line/s",
IF(AND(J88&gt;0,K88&gt;0),"**Valid and Non-Valid Entries made below - Check Yellow Line/s",
IF(AND(E88=FALSE,J88&lt;9),"Not all requirements addressed below - Check Pink Line/s",
IF(AND(E88=FALSE,J88&lt;9,J88&gt;0,K88=0),"More entries to come",
IF(AND(E88,TRUE,J88=9,K88=0),"Valid Entries made below"
)))))))))</f>
        <v>Nothing Entered below Yet</v>
      </c>
      <c r="M88" s="298"/>
      <c r="N88" s="4109" t="s">
        <v>565</v>
      </c>
      <c r="O88" s="132" t="b">
        <f>IF(AND(O89=TRUE,O94=TRUE,O98=TRUE),TRUE,FALSE)</f>
        <v>0</v>
      </c>
      <c r="P88" s="640"/>
      <c r="Q88" s="4109" t="s">
        <v>565</v>
      </c>
      <c r="R88" s="814" t="b">
        <f>IF(AND(R89=TRUE,R94=TRUE,R95=TRUE,R96=TRUE,R97=TRUE,OR(R98=TRUE,R99=TRUE)),TRUE,FALSE)</f>
        <v>0</v>
      </c>
      <c r="S88" s="186"/>
      <c r="T88" s="186"/>
      <c r="U88" s="459"/>
      <c r="V88" s="4109" t="s">
        <v>565</v>
      </c>
      <c r="W88" s="1773" t="b">
        <f>IF(AND(W89=TRUE,W94=TRUE,W98=TRUE),TRUE,FALSE)</f>
        <v>0</v>
      </c>
      <c r="X88" s="1565"/>
      <c r="Y88" s="133"/>
      <c r="Z88" s="134"/>
      <c r="AA88" s="65"/>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40"/>
    </row>
    <row r="89" spans="1:84" s="27" customFormat="1" ht="44" thickTop="1" x14ac:dyDescent="0.3">
      <c r="A89" s="60">
        <v>8.1</v>
      </c>
      <c r="B89" s="2882" t="s">
        <v>1711</v>
      </c>
      <c r="C89" s="2360" t="s">
        <v>1419</v>
      </c>
      <c r="D89" s="2920" t="s">
        <v>565</v>
      </c>
      <c r="E89" s="1850" t="b">
        <f>IF(AND(E90=TRUE,E91=TRUE,E92=TRUE,E93=TRUE),TRUE,FALSE)</f>
        <v>0</v>
      </c>
      <c r="F89" s="1851">
        <f>COUNTIF(E90:E93,TRUE)</f>
        <v>0</v>
      </c>
      <c r="G89" s="2942">
        <f>COUNTIFS(E90:E93,TRUE,G90:G93,"Not Blank")</f>
        <v>0</v>
      </c>
      <c r="H89" s="2942">
        <f>COUNTIFS(E90:E93,FALSE,G90:G93,"Not Blank")</f>
        <v>0</v>
      </c>
      <c r="I89" s="2365" t="str">
        <f xml:space="preserve">
IF(F89&gt;4,"Too Many Entries - Check Red Lines",
IF(AND(E89=FALSE,G89=0,H89=0),"Nothing Entered below Yet",
IF(AND(G89=0,H89&gt;0),"**Non-Valid Entry/ies below - Check Yellow Line/s",
IF(G89&lt;F89,"Valid Entry required below - Check Amber box",
IF(AND(G89&gt;0,H89&gt;0),"**Valid and Non-Valid Entries made below - Check Yellow Line/s",
IF(AND(E89=FALSE,F89&lt;4),"Not all requirements addressed below - Check Pink Line/s",
IF(AND(E89=FALSE,G89&lt;4,G89&gt;0,H89=0),"More entries to come",
IF(AND(E89,TRUE,G89=4,H89=0),"Valid Entries made below"
))))))))</f>
        <v>Nothing Entered below Yet</v>
      </c>
      <c r="J89" s="2365">
        <f>COUNTIFS(E90:E93,TRUE,J90:J93,"Not Blank")</f>
        <v>0</v>
      </c>
      <c r="K89" s="2365">
        <f>COUNTIFS(E90:E93,FALSE,J90:J93,"Not Blank")</f>
        <v>0</v>
      </c>
      <c r="L89" s="2365" t="str">
        <f xml:space="preserve">
IF(J89&gt;4,"Too Many Entries - Check Red Lines",
IF(AND(E89=FALSE,J89=0,K89=0,E89=TRUE),"Nothing Required Below",
IF(J89&lt;F89,"Valid Entry required below - Check Amber Line/s",
IF(AND(E89=FALSE,J89=0,K89=0),"Nothing Entered below Yet",
IF(AND(J89=0,K89&gt;0),"**Non-Valid Entry/ies below - Check Yellow Line/s",
IF(AND(J89&gt;0,K89&gt;0),"**Valid and Non-Valid Entries made below - Check Yellow Line/s",
IF(AND(E89=FALSE,J89&lt;4),"Not all requirements addressed below - Check Pink Line/s",
IF(AND(E89=FALSE,J89&lt;4,J89&gt;0,K89=0),"More entries to come",
IF(AND(E89,TRUE,J89=4,K89=0),"Valid Entries made below"
)))))))))</f>
        <v>Nothing Entered below Yet</v>
      </c>
      <c r="M89" s="2352"/>
      <c r="N89" s="4446" t="s">
        <v>3</v>
      </c>
      <c r="O89" s="4629" t="b">
        <f>IF(OR(N89="Compliant",N89="FE with work-a-round",N89="Functionally Equivalent"),TRUE,FALSE)</f>
        <v>0</v>
      </c>
      <c r="P89" s="2176"/>
      <c r="Q89" s="4135" t="s">
        <v>565</v>
      </c>
      <c r="R89" s="814" t="b">
        <f>IF(AND(R90=TRUE,R91=TRUE,R92=TRUE,R93=TRUE),TRUE,FALSE)</f>
        <v>0</v>
      </c>
      <c r="S89" s="111"/>
      <c r="T89" s="111"/>
      <c r="U89" s="120"/>
      <c r="V89" s="4446" t="s">
        <v>3</v>
      </c>
      <c r="W89" s="4499" t="b">
        <f>IF(OR(V89="Compliant",V89="FE with work-a-round",V89="Functionally Equivalent",V89="Not Required/Applicable"),TRUE,FALSE)</f>
        <v>0</v>
      </c>
      <c r="X89" s="2146"/>
      <c r="Y89" s="42"/>
      <c r="Z89" s="128"/>
      <c r="AA89" s="65"/>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40"/>
    </row>
    <row r="90" spans="1:84" s="27" customFormat="1" ht="58" x14ac:dyDescent="0.3">
      <c r="A90" s="60"/>
      <c r="B90" s="1504"/>
      <c r="C90" s="2887" t="s">
        <v>1420</v>
      </c>
      <c r="D90" s="1013" t="s">
        <v>3</v>
      </c>
      <c r="E90" s="294" t="b">
        <f t="shared" ref="E90:E97" si="10">IF(D90="Compliant",TRUE,FALSE)</f>
        <v>0</v>
      </c>
      <c r="F90" s="281"/>
      <c r="G90" s="281" t="str">
        <f>IF(I90&lt;&gt;"", "Not Blank", "")</f>
        <v/>
      </c>
      <c r="H90" s="281"/>
      <c r="I90" s="301"/>
      <c r="J90" s="301" t="str">
        <f t="shared" ref="J90:J97" si="11">IF(L90&lt;&gt;"", "Not Blank", "")</f>
        <v/>
      </c>
      <c r="K90" s="301"/>
      <c r="L90" s="301"/>
      <c r="M90" s="298"/>
      <c r="N90" s="4447"/>
      <c r="O90" s="4630"/>
      <c r="P90" s="128"/>
      <c r="Q90" s="1863" t="s">
        <v>3</v>
      </c>
      <c r="R90" s="737" t="b">
        <f>IF(OR(Q90="Compliant",Q90="FE with work-a-round",Q90="Functionally Equivalent"),TRUE,FALSE)</f>
        <v>0</v>
      </c>
      <c r="S90" s="44"/>
      <c r="T90" s="44"/>
      <c r="U90" s="68"/>
      <c r="V90" s="4447"/>
      <c r="W90" s="4500"/>
      <c r="X90" s="2146"/>
      <c r="Y90" s="44"/>
      <c r="Z90" s="122"/>
      <c r="AA90" s="65"/>
      <c r="AB90" s="28"/>
      <c r="AC90" s="28"/>
      <c r="AD90" s="28"/>
      <c r="AE90" s="28"/>
      <c r="AF90" s="28"/>
      <c r="AG90" s="28"/>
      <c r="AH90" s="28"/>
      <c r="AI90" s="28"/>
      <c r="AJ90" s="28"/>
      <c r="AK90" s="28"/>
      <c r="AL90" s="28"/>
      <c r="AM90" s="28"/>
      <c r="AN90" s="28"/>
      <c r="AO90" s="28"/>
      <c r="AP90" s="28"/>
      <c r="AQ90" s="28"/>
      <c r="AR90" s="28"/>
      <c r="AS90" s="28"/>
      <c r="AT90" s="28"/>
      <c r="AU90" s="28"/>
      <c r="AV90" s="28"/>
      <c r="AW90" s="41"/>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3"/>
    </row>
    <row r="91" spans="1:84" s="27" customFormat="1" ht="43.5" x14ac:dyDescent="0.3">
      <c r="A91" s="60"/>
      <c r="B91" s="1504"/>
      <c r="C91" s="2883" t="s">
        <v>874</v>
      </c>
      <c r="D91" s="319" t="s">
        <v>3</v>
      </c>
      <c r="E91" s="294" t="b">
        <f t="shared" si="10"/>
        <v>0</v>
      </c>
      <c r="F91" s="281"/>
      <c r="G91" s="281" t="str">
        <f>IF(I91&lt;&gt;"", "Not Blank", "")</f>
        <v/>
      </c>
      <c r="H91" s="281"/>
      <c r="I91" s="281"/>
      <c r="J91" s="281" t="str">
        <f t="shared" si="11"/>
        <v/>
      </c>
      <c r="K91" s="281"/>
      <c r="L91" s="281"/>
      <c r="M91" s="282"/>
      <c r="N91" s="4447"/>
      <c r="O91" s="4630"/>
      <c r="P91" s="122"/>
      <c r="Q91" s="1060" t="s">
        <v>3</v>
      </c>
      <c r="R91" s="737" t="b">
        <f t="shared" ref="R91:R99" si="12">IF(OR(Q91="Compliant",Q91="FE with work-a-round",Q91="Functionally Equivalent"),TRUE,FALSE)</f>
        <v>0</v>
      </c>
      <c r="S91" s="44"/>
      <c r="T91" s="44"/>
      <c r="U91" s="68"/>
      <c r="V91" s="4447"/>
      <c r="W91" s="4500"/>
      <c r="X91" s="2146"/>
      <c r="Y91" s="44"/>
      <c r="Z91" s="122"/>
      <c r="AA91" s="28"/>
      <c r="AB91" s="28"/>
      <c r="AC91" s="28"/>
      <c r="AD91" s="28"/>
      <c r="AE91" s="28"/>
      <c r="AF91" s="28"/>
      <c r="AG91" s="28"/>
      <c r="AH91" s="28"/>
      <c r="AI91" s="28"/>
      <c r="AJ91" s="28"/>
      <c r="AK91" s="28"/>
      <c r="AL91" s="28"/>
      <c r="AM91" s="28"/>
      <c r="AN91" s="28"/>
      <c r="AO91" s="28"/>
      <c r="AP91" s="28"/>
      <c r="AQ91" s="28"/>
      <c r="AR91" s="28"/>
      <c r="AS91" s="28"/>
      <c r="AT91" s="28"/>
      <c r="AU91" s="28"/>
      <c r="AV91" s="28"/>
      <c r="AW91" s="67"/>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5"/>
    </row>
    <row r="92" spans="1:84" s="27" customFormat="1" ht="58" x14ac:dyDescent="0.3">
      <c r="A92" s="60"/>
      <c r="B92" s="1504"/>
      <c r="C92" s="2883" t="s">
        <v>1421</v>
      </c>
      <c r="D92" s="319" t="s">
        <v>3</v>
      </c>
      <c r="E92" s="294" t="b">
        <f t="shared" si="10"/>
        <v>0</v>
      </c>
      <c r="F92" s="281"/>
      <c r="G92" s="281" t="str">
        <f t="shared" ref="G92:G97" si="13">IF(I92&lt;&gt;"", "Not Blank", "")</f>
        <v/>
      </c>
      <c r="H92" s="281"/>
      <c r="I92" s="281"/>
      <c r="J92" s="281" t="str">
        <f t="shared" si="11"/>
        <v/>
      </c>
      <c r="K92" s="281"/>
      <c r="L92" s="281"/>
      <c r="M92" s="282"/>
      <c r="N92" s="4447"/>
      <c r="O92" s="4630"/>
      <c r="P92" s="122"/>
      <c r="Q92" s="1060" t="s">
        <v>3</v>
      </c>
      <c r="R92" s="737" t="b">
        <f t="shared" si="12"/>
        <v>0</v>
      </c>
      <c r="S92" s="44"/>
      <c r="T92" s="44"/>
      <c r="U92" s="68"/>
      <c r="V92" s="4447"/>
      <c r="W92" s="4500"/>
      <c r="X92" s="2146"/>
      <c r="Y92" s="44"/>
      <c r="Z92" s="122"/>
      <c r="AA92" s="28"/>
      <c r="AB92" s="28"/>
      <c r="AC92" s="28"/>
      <c r="AD92" s="28"/>
      <c r="AE92" s="28"/>
      <c r="AF92" s="28"/>
      <c r="AG92" s="28"/>
      <c r="AH92" s="28"/>
      <c r="AI92" s="28"/>
      <c r="AJ92" s="28"/>
      <c r="AK92" s="28"/>
      <c r="AL92" s="28"/>
      <c r="AM92" s="28"/>
      <c r="AN92" s="28"/>
      <c r="AO92" s="28"/>
      <c r="AP92" s="28"/>
      <c r="AQ92" s="28"/>
      <c r="AR92" s="28"/>
      <c r="AS92" s="28"/>
      <c r="AT92" s="28"/>
      <c r="AU92" s="28"/>
      <c r="AV92" s="28"/>
      <c r="AW92" s="67"/>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5"/>
    </row>
    <row r="93" spans="1:84" s="27" customFormat="1" ht="73" thickBot="1" x14ac:dyDescent="0.35">
      <c r="A93" s="60"/>
      <c r="B93" s="1504"/>
      <c r="C93" s="2896" t="s">
        <v>1422</v>
      </c>
      <c r="D93" s="230" t="s">
        <v>3</v>
      </c>
      <c r="E93" s="191" t="b">
        <f t="shared" si="10"/>
        <v>0</v>
      </c>
      <c r="F93" s="296"/>
      <c r="G93" s="296" t="str">
        <f t="shared" si="13"/>
        <v/>
      </c>
      <c r="H93" s="296"/>
      <c r="I93" s="296"/>
      <c r="J93" s="296" t="str">
        <f t="shared" si="11"/>
        <v/>
      </c>
      <c r="K93" s="296"/>
      <c r="L93" s="296"/>
      <c r="M93" s="297"/>
      <c r="N93" s="4448"/>
      <c r="O93" s="4631"/>
      <c r="P93" s="125"/>
      <c r="Q93" s="1017" t="s">
        <v>3</v>
      </c>
      <c r="R93" s="1543" t="b">
        <f t="shared" si="12"/>
        <v>0</v>
      </c>
      <c r="S93" s="79"/>
      <c r="T93" s="79"/>
      <c r="U93" s="143"/>
      <c r="V93" s="4448"/>
      <c r="W93" s="4501"/>
      <c r="X93" s="2146"/>
      <c r="Y93" s="79"/>
      <c r="Z93" s="127"/>
      <c r="AA93" s="28"/>
      <c r="AB93" s="28"/>
      <c r="AC93" s="28"/>
      <c r="AD93" s="28"/>
      <c r="AE93" s="28"/>
      <c r="AF93" s="28"/>
      <c r="AG93" s="28"/>
      <c r="AH93" s="28"/>
      <c r="AI93" s="28"/>
      <c r="AJ93" s="28"/>
      <c r="AK93" s="28"/>
      <c r="AL93" s="28"/>
      <c r="AM93" s="28"/>
      <c r="AN93" s="28"/>
      <c r="AO93" s="28"/>
      <c r="AP93" s="28"/>
      <c r="AQ93" s="28"/>
      <c r="AR93" s="28"/>
      <c r="AS93" s="28"/>
      <c r="AT93" s="28"/>
      <c r="AU93" s="28"/>
      <c r="AV93" s="28"/>
      <c r="AW93" s="67"/>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5"/>
    </row>
    <row r="94" spans="1:84" s="27" customFormat="1" ht="59" thickTop="1" thickBot="1" x14ac:dyDescent="0.35">
      <c r="A94" s="60">
        <v>8.1999999999999993</v>
      </c>
      <c r="B94" s="1504"/>
      <c r="C94" s="1867" t="s">
        <v>1423</v>
      </c>
      <c r="D94" s="102" t="s">
        <v>3</v>
      </c>
      <c r="E94" s="132" t="b">
        <f t="shared" si="10"/>
        <v>0</v>
      </c>
      <c r="F94" s="133"/>
      <c r="G94" s="133" t="str">
        <f t="shared" si="13"/>
        <v/>
      </c>
      <c r="H94" s="133"/>
      <c r="I94" s="133"/>
      <c r="J94" s="133" t="str">
        <f t="shared" si="11"/>
        <v/>
      </c>
      <c r="K94" s="133"/>
      <c r="L94" s="133"/>
      <c r="M94" s="134"/>
      <c r="N94" s="4446" t="s">
        <v>3</v>
      </c>
      <c r="O94" s="4629" t="b">
        <f>IF(OR(N94="Compliant",N94="FE with work-a-round",N94="Functionally Equivalent"),TRUE,FALSE)</f>
        <v>0</v>
      </c>
      <c r="P94" s="134"/>
      <c r="Q94" s="1135" t="s">
        <v>3</v>
      </c>
      <c r="R94" s="816" t="b">
        <f t="shared" si="12"/>
        <v>0</v>
      </c>
      <c r="S94" s="133"/>
      <c r="T94" s="133"/>
      <c r="U94" s="134"/>
      <c r="V94" s="4446" t="s">
        <v>3</v>
      </c>
      <c r="W94" s="4499" t="b">
        <f>IF(OR(V94="Compliant",V94="FE with work-a-round",V94="Functionally Equivalent",V94="Not Required/Applicable"),TRUE,FALSE)</f>
        <v>0</v>
      </c>
      <c r="X94" s="821"/>
      <c r="Y94" s="133"/>
      <c r="Z94" s="134"/>
      <c r="AA94" s="28"/>
      <c r="AB94" s="28"/>
      <c r="AC94" s="28"/>
      <c r="AD94" s="28"/>
      <c r="AE94" s="28"/>
      <c r="AF94" s="28"/>
      <c r="AG94" s="28"/>
      <c r="AH94" s="28"/>
      <c r="AI94" s="28"/>
      <c r="AJ94" s="28"/>
      <c r="AK94" s="28"/>
      <c r="AL94" s="28"/>
      <c r="AM94" s="28"/>
      <c r="AN94" s="28"/>
      <c r="AO94" s="28"/>
      <c r="AP94" s="28"/>
      <c r="AQ94" s="28"/>
      <c r="AR94" s="28"/>
      <c r="AS94" s="28"/>
      <c r="AT94" s="28"/>
      <c r="AU94" s="28"/>
      <c r="AV94" s="28"/>
      <c r="AW94" s="67"/>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5"/>
    </row>
    <row r="95" spans="1:84" s="27" customFormat="1" ht="102.5" thickTop="1" thickBot="1" x14ac:dyDescent="0.35">
      <c r="A95" s="60">
        <v>8.3000000000000007</v>
      </c>
      <c r="B95" s="2898"/>
      <c r="C95" s="1809" t="s">
        <v>1424</v>
      </c>
      <c r="D95" s="102" t="s">
        <v>3</v>
      </c>
      <c r="E95" s="132" t="b">
        <f t="shared" si="10"/>
        <v>0</v>
      </c>
      <c r="F95" s="133"/>
      <c r="G95" s="133" t="str">
        <f t="shared" si="13"/>
        <v/>
      </c>
      <c r="H95" s="133"/>
      <c r="I95" s="133"/>
      <c r="J95" s="133" t="str">
        <f t="shared" si="11"/>
        <v/>
      </c>
      <c r="K95" s="133"/>
      <c r="L95" s="133"/>
      <c r="M95" s="134"/>
      <c r="N95" s="4447"/>
      <c r="O95" s="4630"/>
      <c r="P95" s="134"/>
      <c r="Q95" s="1135" t="s">
        <v>3</v>
      </c>
      <c r="R95" s="816" t="b">
        <f t="shared" si="12"/>
        <v>0</v>
      </c>
      <c r="S95" s="133"/>
      <c r="T95" s="133"/>
      <c r="U95" s="134"/>
      <c r="V95" s="4447"/>
      <c r="W95" s="4500"/>
      <c r="X95" s="821"/>
      <c r="Y95" s="133"/>
      <c r="Z95" s="134"/>
      <c r="AA95" s="28"/>
      <c r="AB95" s="28"/>
      <c r="AC95" s="28"/>
      <c r="AD95" s="28"/>
      <c r="AE95" s="28"/>
      <c r="AF95" s="28"/>
      <c r="AG95" s="28"/>
      <c r="AH95" s="28"/>
      <c r="AI95" s="28"/>
      <c r="AJ95" s="28"/>
      <c r="AK95" s="28"/>
      <c r="AL95" s="28"/>
      <c r="AM95" s="28"/>
      <c r="AN95" s="28"/>
      <c r="AO95" s="28"/>
      <c r="AP95" s="28"/>
      <c r="AQ95" s="28"/>
      <c r="AR95" s="28"/>
      <c r="AS95" s="28"/>
      <c r="AT95" s="28"/>
      <c r="AU95" s="28"/>
      <c r="AV95" s="28"/>
      <c r="AW95" s="67"/>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5"/>
    </row>
    <row r="96" spans="1:84" s="27" customFormat="1" ht="73.5" thickTop="1" thickBot="1" x14ac:dyDescent="0.35">
      <c r="A96" s="60">
        <v>8.4</v>
      </c>
      <c r="B96" s="1508"/>
      <c r="C96" s="2899" t="s">
        <v>1425</v>
      </c>
      <c r="D96" s="102" t="s">
        <v>3</v>
      </c>
      <c r="E96" s="132" t="b">
        <f t="shared" si="10"/>
        <v>0</v>
      </c>
      <c r="F96" s="133"/>
      <c r="G96" s="133" t="str">
        <f t="shared" si="13"/>
        <v/>
      </c>
      <c r="H96" s="133"/>
      <c r="I96" s="133"/>
      <c r="J96" s="133" t="str">
        <f t="shared" si="11"/>
        <v/>
      </c>
      <c r="K96" s="133"/>
      <c r="L96" s="133"/>
      <c r="M96" s="134"/>
      <c r="N96" s="4447"/>
      <c r="O96" s="4630"/>
      <c r="P96" s="134"/>
      <c r="Q96" s="1135" t="s">
        <v>3</v>
      </c>
      <c r="R96" s="816" t="b">
        <f t="shared" si="12"/>
        <v>0</v>
      </c>
      <c r="S96" s="133"/>
      <c r="T96" s="133"/>
      <c r="U96" s="134"/>
      <c r="V96" s="4447"/>
      <c r="W96" s="4500"/>
      <c r="X96" s="821"/>
      <c r="Y96" s="133"/>
      <c r="Z96" s="134"/>
      <c r="AA96" s="28"/>
      <c r="AB96" s="28"/>
      <c r="AC96" s="28"/>
      <c r="AD96" s="28"/>
      <c r="AE96" s="28"/>
      <c r="AF96" s="28"/>
      <c r="AG96" s="28"/>
      <c r="AH96" s="28"/>
      <c r="AI96" s="28"/>
      <c r="AJ96" s="28"/>
      <c r="AK96" s="28"/>
      <c r="AL96" s="28"/>
      <c r="AM96" s="28"/>
      <c r="AN96" s="28"/>
      <c r="AO96" s="28"/>
      <c r="AP96" s="28"/>
      <c r="AQ96" s="28"/>
      <c r="AR96" s="28"/>
      <c r="AS96" s="28"/>
      <c r="AT96" s="28"/>
      <c r="AU96" s="28"/>
      <c r="AV96" s="28"/>
      <c r="AW96" s="67"/>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5"/>
    </row>
    <row r="97" spans="1:84" s="27" customFormat="1" ht="30" thickTop="1" thickBot="1" x14ac:dyDescent="0.35">
      <c r="A97" s="60">
        <v>8.5</v>
      </c>
      <c r="B97" s="2898"/>
      <c r="C97" s="1809" t="s">
        <v>607</v>
      </c>
      <c r="D97" s="102" t="s">
        <v>3</v>
      </c>
      <c r="E97" s="132" t="b">
        <f t="shared" si="10"/>
        <v>0</v>
      </c>
      <c r="F97" s="133"/>
      <c r="G97" s="133" t="str">
        <f t="shared" si="13"/>
        <v/>
      </c>
      <c r="H97" s="133"/>
      <c r="I97" s="133"/>
      <c r="J97" s="133" t="str">
        <f t="shared" si="11"/>
        <v/>
      </c>
      <c r="K97" s="133"/>
      <c r="L97" s="133"/>
      <c r="M97" s="134"/>
      <c r="N97" s="4448"/>
      <c r="O97" s="4631"/>
      <c r="P97" s="134"/>
      <c r="Q97" s="1135" t="s">
        <v>3</v>
      </c>
      <c r="R97" s="816" t="b">
        <f t="shared" si="12"/>
        <v>0</v>
      </c>
      <c r="S97" s="133"/>
      <c r="T97" s="133"/>
      <c r="U97" s="134"/>
      <c r="V97" s="4448"/>
      <c r="W97" s="4501"/>
      <c r="X97" s="831"/>
      <c r="Y97" s="133"/>
      <c r="Z97" s="134"/>
      <c r="AA97" s="28"/>
      <c r="AB97" s="28"/>
      <c r="AC97" s="28"/>
      <c r="AD97" s="28"/>
      <c r="AE97" s="28"/>
      <c r="AF97" s="28"/>
      <c r="AG97" s="28"/>
      <c r="AH97" s="28"/>
      <c r="AI97" s="28"/>
      <c r="AJ97" s="28"/>
      <c r="AK97" s="28"/>
      <c r="AL97" s="28"/>
      <c r="AM97" s="28"/>
      <c r="AN97" s="28"/>
      <c r="AO97" s="28"/>
      <c r="AP97" s="28"/>
      <c r="AQ97" s="28"/>
      <c r="AR97" s="28"/>
      <c r="AS97" s="28"/>
      <c r="AT97" s="28"/>
      <c r="AU97" s="28"/>
      <c r="AV97" s="28"/>
      <c r="AW97" s="67"/>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5"/>
    </row>
    <row r="98" spans="1:84" s="27" customFormat="1" ht="59" thickTop="1" thickBot="1" x14ac:dyDescent="0.35">
      <c r="A98" s="60">
        <v>8.6</v>
      </c>
      <c r="B98" s="2900"/>
      <c r="C98" s="2892" t="s">
        <v>1426</v>
      </c>
      <c r="D98" s="102" t="s">
        <v>3</v>
      </c>
      <c r="E98" s="132" t="b">
        <f>IF(D98="Compliant",TRUE,FALSE)</f>
        <v>0</v>
      </c>
      <c r="F98" s="133"/>
      <c r="G98" s="133" t="str">
        <f>IF(I98&lt;&gt;"", "Not Blank", "")</f>
        <v/>
      </c>
      <c r="H98" s="133"/>
      <c r="I98" s="133"/>
      <c r="J98" s="133" t="str">
        <f>IF(L98&lt;&gt;"", "Not Blank", "")</f>
        <v/>
      </c>
      <c r="K98" s="133"/>
      <c r="L98" s="133"/>
      <c r="M98" s="134"/>
      <c r="N98" s="4446" t="s">
        <v>3</v>
      </c>
      <c r="O98" s="4629" t="b">
        <f>IF(OR(N98="Compliant",N98="FE with work-a-round",N98="Functionally Equivalent"),TRUE,FALSE)</f>
        <v>0</v>
      </c>
      <c r="P98" s="134"/>
      <c r="Q98" s="1135" t="s">
        <v>3</v>
      </c>
      <c r="R98" s="816" t="b">
        <f t="shared" si="12"/>
        <v>0</v>
      </c>
      <c r="S98" s="133"/>
      <c r="T98" s="133"/>
      <c r="U98" s="134"/>
      <c r="V98" s="4446" t="s">
        <v>3</v>
      </c>
      <c r="W98" s="4632" t="b">
        <f>IF(OR(V98="Compliant",V98="FE with work-a-round",V98="Functionally Equivalent",V98="Not Required/Applicable"),TRUE,FALSE)</f>
        <v>0</v>
      </c>
      <c r="X98" s="2596"/>
      <c r="Y98" s="133"/>
      <c r="Z98" s="134"/>
      <c r="AA98" s="28"/>
      <c r="AB98" s="28"/>
      <c r="AC98" s="28"/>
      <c r="AD98" s="28"/>
      <c r="AE98" s="28"/>
      <c r="AF98" s="28"/>
      <c r="AG98" s="28"/>
      <c r="AH98" s="28"/>
      <c r="AI98" s="28"/>
      <c r="AJ98" s="28"/>
      <c r="AK98" s="28"/>
      <c r="AL98" s="28"/>
      <c r="AM98" s="28"/>
      <c r="AN98" s="28"/>
      <c r="AO98" s="28"/>
      <c r="AP98" s="28"/>
      <c r="AQ98" s="28"/>
      <c r="AR98" s="28"/>
      <c r="AS98" s="28"/>
      <c r="AT98" s="28"/>
      <c r="AU98" s="28"/>
      <c r="AV98" s="28"/>
      <c r="AW98" s="67"/>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5"/>
    </row>
    <row r="99" spans="1:84" s="27" customFormat="1" ht="59" thickTop="1" thickBot="1" x14ac:dyDescent="0.35">
      <c r="A99" s="60">
        <v>8.6999999999999993</v>
      </c>
      <c r="B99" s="2900"/>
      <c r="C99" s="2899" t="s">
        <v>1427</v>
      </c>
      <c r="D99" s="102" t="s">
        <v>3</v>
      </c>
      <c r="E99" s="904" t="b">
        <f>IF(D99="Compliant",TRUE,FALSE)</f>
        <v>0</v>
      </c>
      <c r="F99" s="905"/>
      <c r="G99" s="905" t="str">
        <f>IF(I99&lt;&gt;"", "Not Blank", "")</f>
        <v/>
      </c>
      <c r="H99" s="905"/>
      <c r="I99" s="905"/>
      <c r="J99" s="905" t="str">
        <f>IF(L99&lt;&gt;"", "Not Blank", "")</f>
        <v/>
      </c>
      <c r="K99" s="905"/>
      <c r="L99" s="905"/>
      <c r="M99" s="906"/>
      <c r="N99" s="4448"/>
      <c r="O99" s="4631"/>
      <c r="P99" s="134"/>
      <c r="Q99" s="1135" t="s">
        <v>3</v>
      </c>
      <c r="R99" s="816" t="b">
        <f t="shared" si="12"/>
        <v>0</v>
      </c>
      <c r="S99" s="133"/>
      <c r="T99" s="133"/>
      <c r="U99" s="134"/>
      <c r="V99" s="4448"/>
      <c r="W99" s="4632"/>
      <c r="X99" s="2596"/>
      <c r="Y99" s="133"/>
      <c r="Z99" s="134"/>
      <c r="AA99" s="28"/>
      <c r="AB99" s="28"/>
      <c r="AC99" s="28"/>
      <c r="AD99" s="28"/>
      <c r="AE99" s="28"/>
      <c r="AF99" s="28"/>
      <c r="AG99" s="28"/>
      <c r="AH99" s="28"/>
      <c r="AI99" s="28"/>
      <c r="AJ99" s="28"/>
      <c r="AK99" s="28"/>
      <c r="AL99" s="28"/>
      <c r="AM99" s="28"/>
      <c r="AN99" s="28"/>
      <c r="AO99" s="28"/>
      <c r="AP99" s="28"/>
      <c r="AQ99" s="28"/>
      <c r="AR99" s="28"/>
      <c r="AS99" s="28"/>
      <c r="AT99" s="28"/>
      <c r="AU99" s="28"/>
      <c r="AV99" s="28"/>
      <c r="AW99" s="67"/>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5"/>
    </row>
    <row r="100" spans="1:84" s="27" customFormat="1" ht="30" thickTop="1" thickBot="1" x14ac:dyDescent="0.35">
      <c r="A100" s="60">
        <v>9</v>
      </c>
      <c r="B100" s="2882" t="s">
        <v>1713</v>
      </c>
      <c r="C100" s="1830" t="s">
        <v>1429</v>
      </c>
      <c r="D100" s="1870" t="s">
        <v>565</v>
      </c>
      <c r="E100" s="1850" t="b">
        <f>IF(AND(E101=TRUE,E104=TRUE,E112=TRUE,E113=TRUE,E110=TRUE,E111=TRUE,E114=TRUE,E115=TRUE),TRUE,FALSE)</f>
        <v>0</v>
      </c>
      <c r="F100" s="1851">
        <f>SUM(F101,F104)+COUNTIF(E110:E115,TRUE)</f>
        <v>0</v>
      </c>
      <c r="G100" s="2942">
        <f>COUNTIFS(E105:E110,TRUE,G105:G110,"Not Blank")</f>
        <v>0</v>
      </c>
      <c r="H100" s="2942">
        <f>COUNTIFS(E105:E110,FALSE,G105:G110,"Not Blank")</f>
        <v>0</v>
      </c>
      <c r="I100" s="1838" t="str">
        <f xml:space="preserve">
IF(F100&gt;13,"Too Many Entries - Check Red Lines",
IF(AND(E100=FALSE,G100=0,H100=0),"Nothing Entered below Yet",
IF(AND(G100=0,H100&gt;0),"**Non-Valid Entry/ies below - Check Yellow Line/s",
IF(G100&lt;F100,"Valid Entry required below - Check Amber box",
IF(AND(G100&gt;0,H100&gt;0),"**Valid and Non-Valid Entries made below - Check Yellow Line/s",
IF(AND(E100=FALSE,F100&lt;13),"Not all requirements addressed below - Check Pink Line/s",
IF(AND(E100=FALSE,G100&lt;13,G100&gt;0,H100=0),"More entries to come",
IF(AND(E100,TRUE,G100=13,H100=0),"Valid Entries made below"
))))))))</f>
        <v>Nothing Entered below Yet</v>
      </c>
      <c r="J100" s="1838">
        <f>COUNTIFS(E105:E110,TRUE,J105:J110,"Not Blank")</f>
        <v>0</v>
      </c>
      <c r="K100" s="1838">
        <f>COUNTIFS(E105:E110,FALSE,J105:J110,"Not Blank")</f>
        <v>0</v>
      </c>
      <c r="L100" s="1838" t="str">
        <f xml:space="preserve">
IF(J100&gt;13,"Too Many Entries - Check Red Lines",
IF(AND(E100=FALSE,J100=0,K100=0,E100=TRUE),"Nothing Required Below",
IF(J100&lt;F100,"Valid Entry required below - Check Amber Line/s",
IF(AND(E100=FALSE,J100=0,K100=0),"Nothing Entered below Yet",
IF(AND(J100=0,K100&gt;0),"**Non-Valid Entry/ies below - Check Yellow Line/s",
IF(AND(J100&gt;0,K100&gt;0),"**Valid and Non-Valid Entries made below - Check Yellow Line/s",
IF(AND(E100=FALSE,J100&lt;13),"Not all requirements addressed below - Check Pink Line/s",
IF(AND(E100=FALSE,J100&lt;13,J100&gt;0,K100=0),"More entries to come",
IF(AND(E100,TRUE,J100=13,K100=0),"Valid Entries made below"
)))))))))</f>
        <v>Nothing Entered below Yet</v>
      </c>
      <c r="M100" s="280"/>
      <c r="N100" s="4109" t="s">
        <v>565</v>
      </c>
      <c r="O100" s="132" t="b">
        <f>IF(AND(O101=TRUE,O104=TRUE,O110=TRUE),TRUE,FALSE)</f>
        <v>0</v>
      </c>
      <c r="P100" s="337"/>
      <c r="Q100" s="4109" t="s">
        <v>565</v>
      </c>
      <c r="R100" s="814" t="b">
        <f>IF(AND(R101=TRUE,R104=TRUE,R112=TRUE,R113=TRUE,R110=TRUE,R111=TRUE,R114=TRUE,R115=TRUE),TRUE,FALSE)</f>
        <v>0</v>
      </c>
      <c r="S100" s="186"/>
      <c r="T100" s="186"/>
      <c r="U100" s="459"/>
      <c r="V100" s="4109" t="s">
        <v>565</v>
      </c>
      <c r="W100" s="395" t="b">
        <f>IF(AND(W101=TRUE,W104=TRUE,W110=TRUE),TRUE,FALSE)</f>
        <v>0</v>
      </c>
      <c r="X100" s="231"/>
      <c r="Y100" s="133"/>
      <c r="Z100" s="134"/>
      <c r="AA100" s="65"/>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40"/>
    </row>
    <row r="101" spans="1:84" s="27" customFormat="1" ht="44" thickTop="1" x14ac:dyDescent="0.3">
      <c r="A101" s="60">
        <v>9.1</v>
      </c>
      <c r="B101" s="2894" t="s">
        <v>1712</v>
      </c>
      <c r="C101" s="2360" t="s">
        <v>1430</v>
      </c>
      <c r="D101" s="2920" t="s">
        <v>565</v>
      </c>
      <c r="E101" s="2939" t="b">
        <f>IF(AND(E102=TRUE,E103=TRUE),TRUE,FALSE)</f>
        <v>0</v>
      </c>
      <c r="F101" s="2940">
        <f>COUNTIF(E102:E103,TRUE)</f>
        <v>0</v>
      </c>
      <c r="G101" s="2941">
        <f>COUNTIFS(E102:E103,TRUE,G102:G103,"Not Blank")</f>
        <v>0</v>
      </c>
      <c r="H101" s="2941">
        <f>COUNTIFS(E102:E103,FALSE,G102:G103,"Not Blank")</f>
        <v>0</v>
      </c>
      <c r="I101" s="2365" t="str">
        <f xml:space="preserve">
IF(F101&gt;2,"Too Many Entries - Check Red Lines",
IF(AND(E101=FALSE,G101=0,H101=0),"Nothing Entered below Yet",
IF(AND(G101=0,H101&gt;0),"**Non-Valid Entry/ies below - Check Yellow Line/s",
IF(G101&lt;F101,"Valid Entry required below - Check Amber box",
IF(AND(G101&gt;0,H101&gt;0),"**Valid and Non-Valid Entries made below - Check Yellow Line/s",
IF(AND(E101=FALSE,F101&lt;2),"Not all requirements addressed below - Check Pink Line/s",
IF(AND(E101=FALSE,G101&lt;2,G101&gt;0,H101=0),"More entries to come",
IF(AND(E101,TRUE,G101=2,H101=0),"Valid Entries made below"
))))))))</f>
        <v>Nothing Entered below Yet</v>
      </c>
      <c r="J101" s="2365">
        <f>COUNTIFS(E102:E103,TRUE,J102:J103,"Not Blank")</f>
        <v>0</v>
      </c>
      <c r="K101" s="2365">
        <f>COUNTIFS(E102:E103,FALSE,J102:J103,"Not Blank")</f>
        <v>0</v>
      </c>
      <c r="L101" s="2365" t="str">
        <f xml:space="preserve">
IF(J101&gt;2,"Too Many Entries - Check Red Lines",
IF(AND(E101=FALSE,J101=0,K101=0,E101=TRUE),"Nothing Required Below",
IF(J101&lt;F101,"Valid Entry required below - Check Amber Line/s",
IF(AND(E101=FALSE,J101=0,K101=0),"Nothing Entered below Yet",
IF(AND(J101=0,K101&gt;0),"**Non-Valid Entry/ies below - Check Yellow Line/s",
IF(AND(J101&gt;0,K101&gt;0),"**Valid and Non-Valid Entries made below - Check Yellow Line/s",
IF(AND(E101=FALSE,J101&lt;2),"Not all requirements addressed below - Check Pink Line/s",
IF(AND(E101=FALSE,J101&lt;2,J101&gt;0,K101=0),"More entries to come",
IF(AND(E101,TRUE,J101=2,K101=0),"Valid Entries made below"
)))))))))</f>
        <v>Nothing Entered below Yet</v>
      </c>
      <c r="M101" s="2352"/>
      <c r="N101" s="4446" t="s">
        <v>3</v>
      </c>
      <c r="O101" s="4477" t="b">
        <f>IF(OR(N101="Compliant",N101="FE with work-a-round",N101="Functionally Equivalent"),TRUE,FALSE)</f>
        <v>0</v>
      </c>
      <c r="P101" s="807"/>
      <c r="Q101" s="4135" t="s">
        <v>565</v>
      </c>
      <c r="R101" s="814" t="b">
        <f>IF(AND(R102=TRUE,R103=TRUE),TRUE,FALSE)</f>
        <v>0</v>
      </c>
      <c r="S101" s="111"/>
      <c r="T101" s="111"/>
      <c r="U101" s="120"/>
      <c r="V101" s="4446" t="s">
        <v>3</v>
      </c>
      <c r="W101" s="4495" t="b">
        <f>IF(OR(V101="Compliant",V101="FE with work-a-round",V101="Functionally Equivalent",V101="Not Required/Applicable"),TRUE,FALSE)</f>
        <v>0</v>
      </c>
      <c r="X101" s="600"/>
      <c r="Y101" s="111"/>
      <c r="Z101" s="120"/>
      <c r="AA101" s="65"/>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40"/>
    </row>
    <row r="102" spans="1:84" s="27" customFormat="1" ht="43.5" x14ac:dyDescent="0.3">
      <c r="A102" s="60"/>
      <c r="B102" s="1504"/>
      <c r="C102" s="2887" t="s">
        <v>1435</v>
      </c>
      <c r="D102" s="1013" t="s">
        <v>3</v>
      </c>
      <c r="E102" s="315" t="b">
        <f>IF(D102="Compliant",TRUE,FALSE)</f>
        <v>0</v>
      </c>
      <c r="F102" s="301"/>
      <c r="G102" s="301" t="str">
        <f>IF(I102&lt;&gt;"", "Not Blank", "")</f>
        <v/>
      </c>
      <c r="H102" s="301"/>
      <c r="I102" s="301"/>
      <c r="J102" s="301" t="str">
        <f>IF(L102&lt;&gt;"", "Not Blank", "")</f>
        <v/>
      </c>
      <c r="K102" s="301"/>
      <c r="L102" s="301"/>
      <c r="M102" s="298"/>
      <c r="N102" s="4447"/>
      <c r="O102" s="4450"/>
      <c r="P102" s="2177"/>
      <c r="Q102" s="1863" t="s">
        <v>3</v>
      </c>
      <c r="R102" s="737" t="b">
        <f>IF(OR(Q102="Compliant",Q102="FE with work-a-round",Q102="Functionally Equivalent"),TRUE,FALSE)</f>
        <v>0</v>
      </c>
      <c r="S102" s="44"/>
      <c r="T102" s="44"/>
      <c r="U102" s="68"/>
      <c r="V102" s="4447"/>
      <c r="W102" s="4496"/>
      <c r="X102" s="1245"/>
      <c r="Y102" s="44"/>
      <c r="Z102" s="122"/>
      <c r="AA102" s="65"/>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41"/>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3"/>
    </row>
    <row r="103" spans="1:84" s="27" customFormat="1" ht="58.5" thickBot="1" x14ac:dyDescent="0.35">
      <c r="A103" s="60"/>
      <c r="B103" s="1504"/>
      <c r="C103" s="2883" t="s">
        <v>1436</v>
      </c>
      <c r="D103" s="230" t="s">
        <v>3</v>
      </c>
      <c r="E103" s="294" t="b">
        <f>IF(D103="Compliant",TRUE,FALSE)</f>
        <v>0</v>
      </c>
      <c r="F103" s="281"/>
      <c r="G103" s="281" t="str">
        <f>IF(I103&lt;&gt;"", "Not Blank", "")</f>
        <v/>
      </c>
      <c r="H103" s="281"/>
      <c r="I103" s="281"/>
      <c r="J103" s="281" t="str">
        <f>IF(L103&lt;&gt;"", "Not Blank", "")</f>
        <v/>
      </c>
      <c r="K103" s="281"/>
      <c r="L103" s="281"/>
      <c r="M103" s="282"/>
      <c r="N103" s="4448"/>
      <c r="O103" s="4478"/>
      <c r="P103" s="125"/>
      <c r="Q103" s="1017" t="s">
        <v>3</v>
      </c>
      <c r="R103" s="737" t="b">
        <f>IF(OR(Q103="Compliant",Q103="FE with work-a-round",Q103="Functionally Equivalent"),TRUE,FALSE)</f>
        <v>0</v>
      </c>
      <c r="S103" s="44"/>
      <c r="T103" s="44"/>
      <c r="U103" s="68"/>
      <c r="V103" s="4448"/>
      <c r="W103" s="4497"/>
      <c r="X103" s="2597"/>
      <c r="Y103" s="124"/>
      <c r="Z103" s="125"/>
      <c r="AA103" s="65"/>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41"/>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3"/>
    </row>
    <row r="104" spans="1:84" s="27" customFormat="1" ht="29.5" thickTop="1" x14ac:dyDescent="0.3">
      <c r="A104" s="60">
        <v>9.1999999999999993</v>
      </c>
      <c r="B104" s="2894"/>
      <c r="C104" s="1864" t="s">
        <v>1434</v>
      </c>
      <c r="D104" s="2920" t="s">
        <v>565</v>
      </c>
      <c r="E104" s="1850" t="b">
        <f>IF(AND(E105=TRUE,E106=TRUE,E107=TRUE,E108=TRUE,E109=TRUE),TRUE,FALSE)</f>
        <v>0</v>
      </c>
      <c r="F104" s="1851">
        <f>COUNTIF(E105:E109,TRUE)</f>
        <v>0</v>
      </c>
      <c r="G104" s="2942">
        <f>COUNTIFS(E105:E109,TRUE,G105:G109,"Not Blank")</f>
        <v>0</v>
      </c>
      <c r="H104" s="2942">
        <f>COUNTIFS(E105:E109,FALSE,G105:G109,"Not Blank")</f>
        <v>0</v>
      </c>
      <c r="I104" s="2365" t="str">
        <f xml:space="preserve">
IF(F104&gt;5,"Too Many Entries - Check Red Lines",
IF(AND(E104=FALSE,G104=0,H104=0),"Nothing Entered below Yet",
IF(AND(G104=0,H104&gt;0),"**Non-Valid Entry/ies below - Check Yellow Line/s",
IF(G104&lt;F104,"Valid Entry required below - Check Amber box",
IF(AND(G104&gt;0,H104&gt;0),"**Valid and Non-Valid Entries made below - Check Yellow Line/s",
IF(AND(E104=FALSE,F104&lt;5),"Not all requirements addressed below - Check Pink Line/s",
IF(AND(E104=FALSE,G104&lt;5,G104&gt;0,H104=0),"More entries to come",
IF(AND(E104,TRUE,G104=5,H104=0),"Valid Entries made below"
))))))))</f>
        <v>Nothing Entered below Yet</v>
      </c>
      <c r="J104" s="1838">
        <f>COUNTIFS(E105:E109,TRUE,J105:J109,"Not Blank")</f>
        <v>0</v>
      </c>
      <c r="K104" s="1838">
        <f>COUNTIFS(E105:E109,FALSE,J105:J109,"Not Blank")</f>
        <v>0</v>
      </c>
      <c r="L104" s="2365" t="str">
        <f xml:space="preserve">
IF(J104&gt;5,"Too Many Entries - Check Red Lines",
IF(AND(E104=FALSE,J104=0,K104=0,E104=TRUE),"Nothing Required Below",
IF(J104&lt;F104,"Valid Entry required below - Check Amber Line/s",
IF(AND(E104=FALSE,J104=0,K104=0),"Nothing Entered below Yet",
IF(AND(J104=0,K104&gt;0),"**Non-Valid Entry/ies below - Check Yellow Line/s",
IF(AND(J104&gt;0,K104&gt;0),"**Valid and Non-Valid Entries made below - Check Yellow Line/s",
IF(AND(E104=FALSE,J104&lt;5),"Not all requirements addressed below - Check Pink Line/s",
IF(AND(E104=FALSE,J104&lt;5,J104&gt;0,K104=0),"More entries to come",
IF(AND(E104,TRUE,J104=5,K104=0),"Valid Entries made below"
)))))))))</f>
        <v>Nothing Entered below Yet</v>
      </c>
      <c r="M104" s="2352"/>
      <c r="N104" s="4446" t="s">
        <v>3</v>
      </c>
      <c r="O104" s="4449" t="b">
        <f>IF(OR(N104="Compliant",N104="FE with work-a-round",N104="Functionally Equivalent"),TRUE,FALSE)</f>
        <v>0</v>
      </c>
      <c r="P104" s="136"/>
      <c r="Q104" s="4135" t="s">
        <v>565</v>
      </c>
      <c r="R104" s="773" t="b">
        <f>IF(AND(R105=TRUE,R106=TRUE,R107=TRUE,R108=TRUE,R109=TRUE),TRUE,FALSE)</f>
        <v>0</v>
      </c>
      <c r="S104" s="111"/>
      <c r="T104" s="111"/>
      <c r="U104" s="120"/>
      <c r="V104" s="4446" t="s">
        <v>3</v>
      </c>
      <c r="W104" s="4536" t="b">
        <f>IF(OR(V104="Compliant",V104="FE with work-a-round",V104="Functionally Equivalent",V104="Not Required/Applicable"),TRUE,FALSE)</f>
        <v>0</v>
      </c>
      <c r="X104" s="1241"/>
      <c r="Y104" s="42"/>
      <c r="Z104" s="128"/>
      <c r="AA104" s="65"/>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40"/>
    </row>
    <row r="105" spans="1:84" s="27" customFormat="1" ht="43.5" x14ac:dyDescent="0.3">
      <c r="A105" s="60"/>
      <c r="B105" s="1504"/>
      <c r="C105" s="2895" t="s">
        <v>1431</v>
      </c>
      <c r="D105" s="1013" t="s">
        <v>3</v>
      </c>
      <c r="E105" s="294" t="b">
        <f t="shared" ref="E105:E110" si="14">IF(D105="Compliant",TRUE,FALSE)</f>
        <v>0</v>
      </c>
      <c r="F105" s="281"/>
      <c r="G105" s="281" t="str">
        <f>IF(I105&lt;&gt;"", "Not Blank", "")</f>
        <v/>
      </c>
      <c r="H105" s="281"/>
      <c r="I105" s="301"/>
      <c r="J105" s="281" t="str">
        <f t="shared" ref="J105:J110" si="15">IF(L105&lt;&gt;"", "Not Blank", "")</f>
        <v/>
      </c>
      <c r="K105" s="281"/>
      <c r="L105" s="301"/>
      <c r="M105" s="298"/>
      <c r="N105" s="4447"/>
      <c r="O105" s="4450"/>
      <c r="P105" s="2177"/>
      <c r="Q105" s="1863" t="s">
        <v>3</v>
      </c>
      <c r="R105" s="732" t="b">
        <f>IF(OR(Q105="Compliant",Q105="FE with work-a-round",Q105="Functionally Equivalent"),TRUE,FALSE)</f>
        <v>0</v>
      </c>
      <c r="S105" s="44"/>
      <c r="T105" s="44"/>
      <c r="U105" s="68"/>
      <c r="V105" s="4447"/>
      <c r="W105" s="4496"/>
      <c r="X105" s="1245"/>
      <c r="Y105" s="44"/>
      <c r="Z105" s="122"/>
      <c r="AA105" s="65"/>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41"/>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3"/>
    </row>
    <row r="106" spans="1:84" s="27" customFormat="1" ht="29" x14ac:dyDescent="0.3">
      <c r="A106" s="60"/>
      <c r="B106" s="1504"/>
      <c r="C106" s="2883" t="s">
        <v>1432</v>
      </c>
      <c r="D106" s="319" t="s">
        <v>3</v>
      </c>
      <c r="E106" s="294" t="b">
        <f t="shared" si="14"/>
        <v>0</v>
      </c>
      <c r="F106" s="281"/>
      <c r="G106" s="281" t="str">
        <f>IF(I106&lt;&gt;"", "Not Blank", "")</f>
        <v/>
      </c>
      <c r="H106" s="281"/>
      <c r="I106" s="281"/>
      <c r="J106" s="281" t="str">
        <f t="shared" si="15"/>
        <v/>
      </c>
      <c r="K106" s="281"/>
      <c r="L106" s="281"/>
      <c r="M106" s="282"/>
      <c r="N106" s="4447"/>
      <c r="O106" s="4450"/>
      <c r="P106" s="122"/>
      <c r="Q106" s="1060" t="s">
        <v>3</v>
      </c>
      <c r="R106" s="732" t="b">
        <f t="shared" ref="R106:R115" si="16">IF(OR(Q106="Compliant",Q106="FE with work-a-round",Q106="Functionally Equivalent"),TRUE,FALSE)</f>
        <v>0</v>
      </c>
      <c r="S106" s="44"/>
      <c r="T106" s="44"/>
      <c r="U106" s="68"/>
      <c r="V106" s="4447"/>
      <c r="W106" s="4496"/>
      <c r="X106" s="1245"/>
      <c r="Y106" s="44"/>
      <c r="Z106" s="122"/>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67"/>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5"/>
    </row>
    <row r="107" spans="1:84" s="27" customFormat="1" ht="29" x14ac:dyDescent="0.3">
      <c r="A107" s="60"/>
      <c r="B107" s="1504"/>
      <c r="C107" s="2883" t="s">
        <v>695</v>
      </c>
      <c r="D107" s="319" t="s">
        <v>3</v>
      </c>
      <c r="E107" s="294" t="b">
        <f t="shared" si="14"/>
        <v>0</v>
      </c>
      <c r="F107" s="281"/>
      <c r="G107" s="281"/>
      <c r="H107" s="281"/>
      <c r="I107" s="281"/>
      <c r="J107" s="281" t="str">
        <f t="shared" si="15"/>
        <v/>
      </c>
      <c r="K107" s="281"/>
      <c r="L107" s="281"/>
      <c r="M107" s="282"/>
      <c r="N107" s="4447"/>
      <c r="O107" s="4450"/>
      <c r="P107" s="122"/>
      <c r="Q107" s="1060" t="s">
        <v>3</v>
      </c>
      <c r="R107" s="732" t="b">
        <f t="shared" si="16"/>
        <v>0</v>
      </c>
      <c r="S107" s="44"/>
      <c r="T107" s="44"/>
      <c r="U107" s="68"/>
      <c r="V107" s="4447"/>
      <c r="W107" s="4496"/>
      <c r="X107" s="1245"/>
      <c r="Y107" s="44"/>
      <c r="Z107" s="122"/>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67"/>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5"/>
    </row>
    <row r="108" spans="1:84" s="27" customFormat="1" ht="29" x14ac:dyDescent="0.3">
      <c r="A108" s="60"/>
      <c r="B108" s="1504"/>
      <c r="C108" s="2883" t="s">
        <v>696</v>
      </c>
      <c r="D108" s="319" t="s">
        <v>3</v>
      </c>
      <c r="E108" s="294" t="b">
        <f t="shared" si="14"/>
        <v>0</v>
      </c>
      <c r="F108" s="281"/>
      <c r="G108" s="281"/>
      <c r="H108" s="281"/>
      <c r="I108" s="281"/>
      <c r="J108" s="281" t="str">
        <f t="shared" si="15"/>
        <v/>
      </c>
      <c r="K108" s="281"/>
      <c r="L108" s="281"/>
      <c r="M108" s="282"/>
      <c r="N108" s="4447"/>
      <c r="O108" s="4450"/>
      <c r="P108" s="122"/>
      <c r="Q108" s="1060" t="s">
        <v>3</v>
      </c>
      <c r="R108" s="732" t="b">
        <f t="shared" si="16"/>
        <v>0</v>
      </c>
      <c r="S108" s="44"/>
      <c r="T108" s="44"/>
      <c r="U108" s="68"/>
      <c r="V108" s="4447"/>
      <c r="W108" s="4496"/>
      <c r="X108" s="1245"/>
      <c r="Y108" s="44"/>
      <c r="Z108" s="122"/>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67"/>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5"/>
    </row>
    <row r="109" spans="1:84" s="27" customFormat="1" ht="29.5" thickBot="1" x14ac:dyDescent="0.35">
      <c r="A109" s="60"/>
      <c r="B109" s="1504"/>
      <c r="C109" s="2888" t="s">
        <v>1433</v>
      </c>
      <c r="D109" s="849" t="s">
        <v>3</v>
      </c>
      <c r="E109" s="191" t="b">
        <f t="shared" si="14"/>
        <v>0</v>
      </c>
      <c r="F109" s="296"/>
      <c r="G109" s="296"/>
      <c r="H109" s="296"/>
      <c r="I109" s="296"/>
      <c r="J109" s="296" t="str">
        <f t="shared" si="15"/>
        <v/>
      </c>
      <c r="K109" s="296"/>
      <c r="L109" s="296"/>
      <c r="M109" s="297"/>
      <c r="N109" s="4448"/>
      <c r="O109" s="4478"/>
      <c r="P109" s="125"/>
      <c r="Q109" s="1862" t="s">
        <v>3</v>
      </c>
      <c r="R109" s="1248" t="b">
        <f t="shared" si="16"/>
        <v>0</v>
      </c>
      <c r="S109" s="79"/>
      <c r="T109" s="79"/>
      <c r="U109" s="143"/>
      <c r="V109" s="4448"/>
      <c r="W109" s="4497"/>
      <c r="X109" s="2597"/>
      <c r="Y109" s="124"/>
      <c r="Z109" s="125"/>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67"/>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5"/>
    </row>
    <row r="110" spans="1:84" s="27" customFormat="1" ht="30" thickTop="1" thickBot="1" x14ac:dyDescent="0.35">
      <c r="A110" s="60">
        <v>9.3000000000000007</v>
      </c>
      <c r="B110" s="1508"/>
      <c r="C110" s="2901" t="s">
        <v>611</v>
      </c>
      <c r="D110" s="102" t="s">
        <v>3</v>
      </c>
      <c r="E110" s="132" t="b">
        <f t="shared" si="14"/>
        <v>0</v>
      </c>
      <c r="F110" s="133"/>
      <c r="G110" s="133"/>
      <c r="H110" s="133"/>
      <c r="I110" s="133"/>
      <c r="J110" s="133" t="str">
        <f t="shared" si="15"/>
        <v/>
      </c>
      <c r="K110" s="133"/>
      <c r="L110" s="133"/>
      <c r="M110" s="134"/>
      <c r="N110" s="4446" t="s">
        <v>3</v>
      </c>
      <c r="O110" s="4477" t="b">
        <f>IF(OR(N110="Compliant",N110="FE with work-a-round",N110="Functionally Equivalent"),TRUE,FALSE)</f>
        <v>0</v>
      </c>
      <c r="P110" s="579"/>
      <c r="Q110" s="1188" t="s">
        <v>3</v>
      </c>
      <c r="R110" s="892" t="b">
        <f t="shared" si="16"/>
        <v>0</v>
      </c>
      <c r="S110" s="133"/>
      <c r="T110" s="133"/>
      <c r="U110" s="134"/>
      <c r="V110" s="4446" t="s">
        <v>3</v>
      </c>
      <c r="W110" s="4495" t="b">
        <f>IF(OR(V110="Compliant",V110="FE with work-a-round",V110="Functionally Equivalent",V110="Not Required/Applicable"),TRUE,FALSE)</f>
        <v>0</v>
      </c>
      <c r="X110" s="821"/>
      <c r="Y110" s="133"/>
      <c r="Z110" s="134"/>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67"/>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5"/>
    </row>
    <row r="111" spans="1:84" s="27" customFormat="1" ht="30" thickTop="1" thickBot="1" x14ac:dyDescent="0.35">
      <c r="A111" s="60">
        <v>9.4</v>
      </c>
      <c r="B111" s="1508"/>
      <c r="C111" s="1864" t="s">
        <v>451</v>
      </c>
      <c r="D111" s="102" t="s">
        <v>3</v>
      </c>
      <c r="E111" s="132" t="b">
        <f>IF(D111="Compliant",TRUE,FALSE)</f>
        <v>0</v>
      </c>
      <c r="F111" s="133"/>
      <c r="G111" s="133"/>
      <c r="H111" s="133"/>
      <c r="I111" s="133"/>
      <c r="J111" s="133"/>
      <c r="K111" s="133"/>
      <c r="L111" s="133"/>
      <c r="M111" s="134"/>
      <c r="N111" s="4447"/>
      <c r="O111" s="4450"/>
      <c r="P111" s="579"/>
      <c r="Q111" s="1188" t="s">
        <v>3</v>
      </c>
      <c r="R111" s="892" t="b">
        <f t="shared" si="16"/>
        <v>0</v>
      </c>
      <c r="S111" s="133"/>
      <c r="T111" s="133"/>
      <c r="U111" s="134"/>
      <c r="V111" s="4447"/>
      <c r="W111" s="4496"/>
      <c r="X111" s="821"/>
      <c r="Y111" s="133"/>
      <c r="Z111" s="134"/>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67"/>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5"/>
    </row>
    <row r="112" spans="1:84" s="27" customFormat="1" ht="30" thickTop="1" thickBot="1" x14ac:dyDescent="0.35">
      <c r="A112" s="60">
        <v>9.5</v>
      </c>
      <c r="B112" s="1508"/>
      <c r="C112" s="1836" t="s">
        <v>1437</v>
      </c>
      <c r="D112" s="102" t="s">
        <v>3</v>
      </c>
      <c r="E112" s="132" t="b">
        <f>IF(D112="Compliant",TRUE,FALSE)</f>
        <v>0</v>
      </c>
      <c r="F112" s="133"/>
      <c r="G112" s="133"/>
      <c r="H112" s="133"/>
      <c r="I112" s="133"/>
      <c r="J112" s="133"/>
      <c r="K112" s="133"/>
      <c r="L112" s="133"/>
      <c r="M112" s="134"/>
      <c r="N112" s="4447"/>
      <c r="O112" s="4450"/>
      <c r="P112" s="579"/>
      <c r="Q112" s="1188" t="s">
        <v>3</v>
      </c>
      <c r="R112" s="892" t="b">
        <f t="shared" si="16"/>
        <v>0</v>
      </c>
      <c r="S112" s="133"/>
      <c r="T112" s="133"/>
      <c r="U112" s="134"/>
      <c r="V112" s="4447"/>
      <c r="W112" s="4496"/>
      <c r="X112" s="821"/>
      <c r="Y112" s="133"/>
      <c r="Z112" s="134"/>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67"/>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5"/>
    </row>
    <row r="113" spans="1:84" s="27" customFormat="1" ht="59" thickTop="1" thickBot="1" x14ac:dyDescent="0.35">
      <c r="A113" s="60">
        <v>9.6</v>
      </c>
      <c r="B113" s="1869"/>
      <c r="C113" s="1864" t="s">
        <v>701</v>
      </c>
      <c r="D113" s="102" t="s">
        <v>3</v>
      </c>
      <c r="E113" s="132" t="b">
        <f>IF(D113="Compliant",TRUE,FALSE)</f>
        <v>0</v>
      </c>
      <c r="F113" s="133"/>
      <c r="G113" s="133" t="str">
        <f>IF(I113&lt;&gt;"", "Not Blank", "")</f>
        <v/>
      </c>
      <c r="H113" s="133"/>
      <c r="I113" s="133"/>
      <c r="J113" s="133" t="str">
        <f>IF(L113&lt;&gt;"", "Not Blank", "")</f>
        <v/>
      </c>
      <c r="K113" s="133"/>
      <c r="L113" s="133"/>
      <c r="M113" s="134"/>
      <c r="N113" s="4447"/>
      <c r="O113" s="4450"/>
      <c r="P113" s="579"/>
      <c r="Q113" s="1188" t="s">
        <v>3</v>
      </c>
      <c r="R113" s="892" t="b">
        <f t="shared" si="16"/>
        <v>0</v>
      </c>
      <c r="S113" s="133"/>
      <c r="T113" s="133"/>
      <c r="U113" s="134"/>
      <c r="V113" s="4447"/>
      <c r="W113" s="4496"/>
      <c r="X113" s="821"/>
      <c r="Y113" s="133"/>
      <c r="Z113" s="134"/>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67"/>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5"/>
    </row>
    <row r="114" spans="1:84" s="27" customFormat="1" ht="102.5" thickTop="1" thickBot="1" x14ac:dyDescent="0.35">
      <c r="A114" s="60">
        <v>9.6999999999999993</v>
      </c>
      <c r="B114" s="2900"/>
      <c r="C114" s="1864" t="s">
        <v>454</v>
      </c>
      <c r="D114" s="102" t="s">
        <v>3</v>
      </c>
      <c r="E114" s="132" t="b">
        <f>IF(D114="Compliant",TRUE,FALSE)</f>
        <v>0</v>
      </c>
      <c r="F114" s="133"/>
      <c r="G114" s="133" t="str">
        <f>IF(I114&lt;&gt;"", "Not Blank", "")</f>
        <v/>
      </c>
      <c r="H114" s="133"/>
      <c r="I114" s="133"/>
      <c r="J114" s="133" t="str">
        <f>IF(L114&lt;&gt;"", "Not Blank", "")</f>
        <v/>
      </c>
      <c r="K114" s="133"/>
      <c r="L114" s="133"/>
      <c r="M114" s="134"/>
      <c r="N114" s="4447"/>
      <c r="O114" s="4450"/>
      <c r="P114" s="579"/>
      <c r="Q114" s="1188" t="s">
        <v>3</v>
      </c>
      <c r="R114" s="892" t="b">
        <f t="shared" si="16"/>
        <v>0</v>
      </c>
      <c r="S114" s="133"/>
      <c r="T114" s="133"/>
      <c r="U114" s="134"/>
      <c r="V114" s="4447"/>
      <c r="W114" s="4496"/>
      <c r="X114" s="821"/>
      <c r="Y114" s="133"/>
      <c r="Z114" s="134"/>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67"/>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5"/>
    </row>
    <row r="115" spans="1:84" s="27" customFormat="1" ht="30" thickTop="1" thickBot="1" x14ac:dyDescent="0.35">
      <c r="A115" s="60">
        <v>9.8000000000000007</v>
      </c>
      <c r="B115" s="2880"/>
      <c r="C115" s="1864" t="s">
        <v>455</v>
      </c>
      <c r="D115" s="102" t="s">
        <v>3</v>
      </c>
      <c r="E115" s="904" t="b">
        <f>IF(D115="Compliant",TRUE,FALSE)</f>
        <v>0</v>
      </c>
      <c r="F115" s="905"/>
      <c r="G115" s="905" t="str">
        <f>IF(I115&lt;&gt;"", "Not Blank", "")</f>
        <v/>
      </c>
      <c r="H115" s="905"/>
      <c r="I115" s="905"/>
      <c r="J115" s="905" t="str">
        <f>IF(L115&lt;&gt;"", "Not Blank", "")</f>
        <v/>
      </c>
      <c r="K115" s="905"/>
      <c r="L115" s="905"/>
      <c r="M115" s="906"/>
      <c r="N115" s="4633"/>
      <c r="O115" s="4478"/>
      <c r="P115" s="579"/>
      <c r="Q115" s="1188" t="s">
        <v>3</v>
      </c>
      <c r="R115" s="892" t="b">
        <f t="shared" si="16"/>
        <v>0</v>
      </c>
      <c r="S115" s="133"/>
      <c r="T115" s="133"/>
      <c r="U115" s="134"/>
      <c r="V115" s="4448"/>
      <c r="W115" s="4497"/>
      <c r="X115" s="831"/>
      <c r="Y115" s="160"/>
      <c r="Z115" s="135"/>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67"/>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5"/>
    </row>
    <row r="116" spans="1:84" s="3730" customFormat="1" ht="15.5" thickTop="1" thickBot="1" x14ac:dyDescent="0.35">
      <c r="B116" s="4136"/>
      <c r="C116" s="4136"/>
      <c r="D116" s="3634"/>
      <c r="E116" s="4136"/>
      <c r="F116" s="4136"/>
      <c r="G116" s="4136"/>
      <c r="H116" s="4136"/>
      <c r="I116" s="4136"/>
      <c r="J116" s="4136"/>
      <c r="K116" s="4136"/>
      <c r="L116" s="4136"/>
      <c r="M116" s="4136"/>
      <c r="N116" s="4137"/>
      <c r="O116" s="3634"/>
      <c r="P116" s="3634"/>
      <c r="Q116" s="3634"/>
      <c r="R116" s="3634"/>
      <c r="S116" s="3634"/>
      <c r="T116" s="3634"/>
      <c r="U116" s="3634"/>
      <c r="V116" s="3634"/>
      <c r="W116" s="3636"/>
      <c r="X116" s="3634"/>
      <c r="Y116" s="3634"/>
      <c r="Z116" s="3634"/>
      <c r="AA116" s="3634"/>
      <c r="AB116" s="3634"/>
      <c r="AC116" s="3634"/>
      <c r="AD116" s="3634"/>
      <c r="AE116" s="3634"/>
      <c r="AF116" s="3634"/>
      <c r="AG116" s="3634"/>
      <c r="AH116" s="3634"/>
      <c r="AI116" s="3634"/>
      <c r="AJ116" s="3634"/>
      <c r="AK116" s="3634"/>
      <c r="AL116" s="3634"/>
      <c r="AM116" s="3634"/>
      <c r="AN116" s="3634"/>
      <c r="AO116" s="3634"/>
      <c r="AP116" s="3634"/>
      <c r="AQ116" s="3634"/>
      <c r="AR116" s="3634"/>
      <c r="AS116" s="3634"/>
      <c r="AT116" s="3634"/>
      <c r="AU116" s="3634"/>
      <c r="AV116" s="3634"/>
      <c r="AW116" s="4068"/>
      <c r="AX116" s="4068"/>
      <c r="AY116" s="4068"/>
      <c r="AZ116" s="4068"/>
      <c r="BA116" s="4068"/>
      <c r="BB116" s="4068"/>
      <c r="BC116" s="4068"/>
      <c r="BD116" s="4068"/>
      <c r="BE116" s="4068"/>
      <c r="BF116" s="4068"/>
      <c r="BG116" s="4068"/>
      <c r="BH116" s="4068"/>
      <c r="BI116" s="4068"/>
      <c r="BJ116" s="4068"/>
      <c r="BK116" s="4068"/>
      <c r="BL116" s="4068"/>
      <c r="BM116" s="4068"/>
      <c r="BN116" s="4068"/>
      <c r="BO116" s="4068"/>
      <c r="BP116" s="4068"/>
      <c r="BQ116" s="4068"/>
      <c r="BR116" s="4068"/>
      <c r="BS116" s="4068"/>
      <c r="BT116" s="4068"/>
      <c r="BU116" s="4068"/>
      <c r="BV116" s="4068"/>
      <c r="BW116" s="4068"/>
      <c r="BX116" s="4068"/>
      <c r="BY116" s="4068"/>
      <c r="BZ116" s="4068"/>
      <c r="CA116" s="4068"/>
      <c r="CB116" s="4068"/>
      <c r="CC116" s="4068"/>
      <c r="CD116" s="4068"/>
      <c r="CE116" s="4068"/>
      <c r="CF116" s="4068"/>
    </row>
    <row r="117" spans="1:84" s="27" customFormat="1" ht="44.5" thickTop="1" thickBot="1" x14ac:dyDescent="0.35">
      <c r="A117" s="60">
        <v>10</v>
      </c>
      <c r="B117" s="1505" t="s">
        <v>456</v>
      </c>
      <c r="C117" s="1836" t="s">
        <v>1428</v>
      </c>
      <c r="D117" s="102" t="s">
        <v>3</v>
      </c>
      <c r="E117" s="587" t="b">
        <f>IF(D117="Compliant",TRUE,FALSE)</f>
        <v>0</v>
      </c>
      <c r="F117" s="291"/>
      <c r="G117" s="291" t="str">
        <f>IF(I117&lt;&gt;"", "Not Blank", "")</f>
        <v/>
      </c>
      <c r="H117" s="291"/>
      <c r="I117" s="291"/>
      <c r="J117" s="291" t="str">
        <f>IF(L117&lt;&gt;"", "Not Blank", "")</f>
        <v/>
      </c>
      <c r="K117" s="291"/>
      <c r="L117" s="291"/>
      <c r="M117" s="279"/>
      <c r="N117" s="1188" t="s">
        <v>3</v>
      </c>
      <c r="O117" s="816" t="b">
        <f>IF(OR(N117="Compliant",N117="FE with work-a-round",N117="Functionally Equivalent"),TRUE,FALSE)</f>
        <v>0</v>
      </c>
      <c r="P117" s="134"/>
      <c r="Q117" s="1188" t="s">
        <v>3</v>
      </c>
      <c r="R117" s="892" t="b">
        <f>IF(OR(Q117="Compliant",Q117="FE with work-a-round",Q117="Functionally Equivalent"),TRUE,FALSE)</f>
        <v>0</v>
      </c>
      <c r="S117" s="133"/>
      <c r="T117" s="133"/>
      <c r="U117" s="134"/>
      <c r="V117" s="1188" t="s">
        <v>3</v>
      </c>
      <c r="W117" s="2595" t="b">
        <f>IF(OR(V117="Compliant",V117="FE with work-a-round",V117="Functionally Equivalent",V117="Not Required/Applicable"),TRUE,FALSE)</f>
        <v>0</v>
      </c>
      <c r="X117" s="1033"/>
      <c r="Y117" s="133"/>
      <c r="Z117" s="134"/>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67"/>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5"/>
    </row>
    <row r="118" spans="1:84" s="3634" customFormat="1" ht="15" thickTop="1" x14ac:dyDescent="0.3">
      <c r="A118" s="3729"/>
      <c r="J118" s="3679"/>
      <c r="N118" s="3877"/>
      <c r="O118" s="3636"/>
      <c r="V118" s="3639"/>
      <c r="W118" s="3636"/>
      <c r="AW118" s="3680"/>
      <c r="AX118" s="3681"/>
      <c r="AY118" s="3681"/>
      <c r="AZ118" s="3681"/>
      <c r="BA118" s="3681"/>
      <c r="BB118" s="3681"/>
      <c r="BC118" s="3681"/>
      <c r="BD118" s="3681"/>
      <c r="BE118" s="3681"/>
      <c r="BF118" s="3681"/>
      <c r="BG118" s="3681"/>
      <c r="BH118" s="3681"/>
      <c r="BI118" s="3681"/>
      <c r="BJ118" s="3681"/>
      <c r="BK118" s="3681"/>
      <c r="BL118" s="3681"/>
      <c r="BM118" s="3681"/>
      <c r="BN118" s="3681"/>
      <c r="BO118" s="3681"/>
      <c r="BP118" s="3681"/>
      <c r="BQ118" s="3681"/>
      <c r="BR118" s="3681"/>
      <c r="BS118" s="3681"/>
      <c r="BT118" s="3681"/>
      <c r="BU118" s="3681"/>
      <c r="BV118" s="3681"/>
      <c r="BW118" s="3681"/>
      <c r="BX118" s="3681"/>
      <c r="BY118" s="3681"/>
      <c r="BZ118" s="3681"/>
      <c r="CA118" s="3681"/>
      <c r="CB118" s="3681"/>
      <c r="CC118" s="3681"/>
      <c r="CD118" s="3681"/>
      <c r="CE118" s="3681"/>
      <c r="CF118" s="3682"/>
    </row>
    <row r="119" spans="1:84" s="3663" customFormat="1" ht="18.649999999999999" customHeight="1" x14ac:dyDescent="0.3">
      <c r="A119" s="4482" t="s">
        <v>1133</v>
      </c>
      <c r="B119" s="4483"/>
      <c r="C119" s="4483"/>
      <c r="D119" s="4483"/>
      <c r="E119" s="4483"/>
      <c r="F119" s="4483"/>
      <c r="G119" s="4483"/>
      <c r="H119" s="4483"/>
      <c r="I119" s="4483"/>
      <c r="J119" s="4483"/>
      <c r="K119" s="4483"/>
      <c r="L119" s="4483"/>
      <c r="M119" s="4483"/>
      <c r="N119" s="4483"/>
      <c r="O119" s="3669"/>
      <c r="P119" s="3670"/>
      <c r="Q119" s="3670"/>
      <c r="R119" s="4050"/>
      <c r="S119" s="3671"/>
      <c r="T119" s="3672"/>
      <c r="U119" s="3672"/>
      <c r="V119" s="3673"/>
      <c r="W119" s="4050"/>
      <c r="X119" s="3674"/>
      <c r="Y119" s="3675"/>
      <c r="Z119" s="3676"/>
    </row>
    <row r="120" spans="1:84" s="3634" customFormat="1" ht="15" thickBot="1" x14ac:dyDescent="0.35">
      <c r="A120" s="3638"/>
      <c r="B120" s="3638"/>
      <c r="C120" s="3638"/>
      <c r="E120" s="3638"/>
      <c r="F120" s="3638"/>
      <c r="G120" s="3638"/>
      <c r="H120" s="3638"/>
      <c r="I120" s="3638"/>
      <c r="J120" s="3638"/>
      <c r="K120" s="3638"/>
      <c r="L120" s="3638"/>
      <c r="M120" s="3638"/>
      <c r="N120" s="3637"/>
      <c r="O120" s="3636"/>
      <c r="V120" s="3639"/>
      <c r="W120" s="3636"/>
      <c r="AW120" s="3687"/>
      <c r="AX120" s="3688"/>
      <c r="AY120" s="3688"/>
      <c r="AZ120" s="3688"/>
      <c r="BA120" s="3688"/>
      <c r="BB120" s="3688"/>
      <c r="BC120" s="3688"/>
      <c r="BD120" s="3688"/>
      <c r="BE120" s="3688"/>
      <c r="BF120" s="3688"/>
      <c r="BG120" s="3688"/>
      <c r="BH120" s="3688"/>
      <c r="BI120" s="3688"/>
      <c r="BJ120" s="3688"/>
      <c r="BK120" s="3688"/>
      <c r="BL120" s="3688"/>
      <c r="BM120" s="3688"/>
      <c r="BN120" s="3688"/>
      <c r="BO120" s="3688"/>
      <c r="BP120" s="3688"/>
      <c r="BQ120" s="3688"/>
      <c r="BR120" s="3688"/>
      <c r="BS120" s="3688"/>
      <c r="BT120" s="3688"/>
      <c r="BU120" s="3688"/>
      <c r="BV120" s="3688"/>
      <c r="BW120" s="3688"/>
      <c r="BX120" s="3688"/>
      <c r="BY120" s="3688"/>
      <c r="BZ120" s="3688"/>
      <c r="CA120" s="3688"/>
      <c r="CB120" s="3688"/>
      <c r="CC120" s="3688"/>
      <c r="CD120" s="3688"/>
      <c r="CE120" s="3688"/>
      <c r="CF120" s="3689"/>
    </row>
    <row r="121" spans="1:84" s="28" customFormat="1" ht="41.5" customHeight="1" thickTop="1" thickBot="1" x14ac:dyDescent="0.35">
      <c r="A121" s="97">
        <v>11</v>
      </c>
      <c r="B121" s="1872" t="s">
        <v>769</v>
      </c>
      <c r="C121" s="1836" t="s">
        <v>565</v>
      </c>
      <c r="D121" s="1870" t="s">
        <v>565</v>
      </c>
      <c r="E121" s="1847" t="b">
        <f>IF(AND(E122=TRUE,E126=TRUE),TRUE,FALSE)</f>
        <v>0</v>
      </c>
      <c r="F121" s="1848">
        <f>SUM(F122,F126,F151)</f>
        <v>0</v>
      </c>
      <c r="G121" s="1848">
        <f>SUM(G122,G126,G151)</f>
        <v>0</v>
      </c>
      <c r="H121" s="1848">
        <f>SUM(H122,H126,H151)</f>
        <v>0</v>
      </c>
      <c r="I121" s="1849" t="str">
        <f xml:space="preserve">
IF(F121&gt;67,"Too Many Entries - Check Red Lines",
IF(AND(E121=FALSE,G121=0,H121=0),"Nothing Entered below Yet",
IF(AND(G121=0,H121&gt;0),"**Non-Valid Entry/ies below - Check Yellow Line/s",
IF(G121&lt;F121,"Valid Entry required below - Check Amber box",
IF(AND(G121&gt;0,H121&gt;0),"**Valid and Non-Valid Entries made below - Check Yellow Line/s",
IF(AND(E121=FALSE,F121&lt;67),"Not all requirements addressed below - Check Pink Line/s",
IF(AND(E121=FALSE,G121&lt;67,G121&gt;0,H121=0),"More entries to come",
IF(AND(E121,TRUE,G121=67,H121=0),"Valid Entries made below"
))))))))</f>
        <v>Nothing Entered below Yet</v>
      </c>
      <c r="J121" s="1849">
        <f>SUM(J122,J126,J151)</f>
        <v>0</v>
      </c>
      <c r="K121" s="1849">
        <f>SUM(K122,K126,K151)</f>
        <v>0</v>
      </c>
      <c r="L121" s="1849" t="str">
        <f xml:space="preserve">
IF(J121&gt;67,"Too Many Entries - Check Red Lines",
IF(AND(E121=FALSE,J121=0,K121=0,E121=TRUE),"Nothing Required Below",
IF(J121&lt;F121,"Valid Entry required below - Check Amber Line/s",
IF(AND(E121=FALSE,J121=0,K121=0),"Nothing Entered below Yet",
IF(AND(J121=0,K121&gt;0),"**Non-Valid Entry/ies below - Check Yellow Line/s",
IF(AND(J121&gt;0,K121&gt;0),"**Valid and Non-Valid Entries made below - Check Yellow Line/s",
IF(AND(E121=FALSE,J121&lt;67),"Not all requirements addressed below - Check Pink Line/s",
IF(AND(E121=FALSE,J121&lt;67,J121&gt;0,K121=0),"More entries to come",
IF(AND(E121,TRUE,J121=67,K121=0),"Valid Entries made below"
)))))))))</f>
        <v>Nothing Entered below Yet</v>
      </c>
      <c r="M121" s="279"/>
      <c r="N121" s="4109" t="s">
        <v>565</v>
      </c>
      <c r="O121" s="132" t="b">
        <f>IF(AND(O122=TRUE,O126=TRUE),TRUE,FALSE)</f>
        <v>0</v>
      </c>
      <c r="P121" s="337"/>
      <c r="Q121" s="4109" t="s">
        <v>565</v>
      </c>
      <c r="R121" s="814" t="b">
        <f>IF(AND(R122=TRUE,R126=TRUE),TRUE,FALSE)</f>
        <v>0</v>
      </c>
      <c r="S121" s="186"/>
      <c r="T121" s="186"/>
      <c r="U121" s="459"/>
      <c r="V121" s="4109" t="s">
        <v>565</v>
      </c>
      <c r="W121" s="1773" t="b">
        <f>IF(AND(W122=TRUE,W126=TRUE),TRUE,FALSE)</f>
        <v>0</v>
      </c>
      <c r="X121" s="1565"/>
      <c r="Y121" s="842"/>
      <c r="Z121" s="807"/>
      <c r="AW121" s="67"/>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68"/>
    </row>
    <row r="122" spans="1:84" s="28" customFormat="1" ht="32.15" customHeight="1" thickTop="1" x14ac:dyDescent="0.3">
      <c r="A122" s="66"/>
      <c r="B122" s="2878" t="s">
        <v>1687</v>
      </c>
      <c r="C122" s="2360" t="s">
        <v>1145</v>
      </c>
      <c r="D122" s="2920" t="s">
        <v>565</v>
      </c>
      <c r="E122" s="1850" t="b">
        <f>IF(AND(E123=TRUE,E124=TRUE,E125=TRUE),TRUE,FALSE)</f>
        <v>0</v>
      </c>
      <c r="F122" s="1851">
        <f>COUNTIF(E123:E125,TRUE)</f>
        <v>0</v>
      </c>
      <c r="G122" s="1851">
        <f>COUNTIFS(E123:E125,TRUE,G123:G125,"Not Blank")</f>
        <v>0</v>
      </c>
      <c r="H122" s="1851">
        <f>COUNTIFS(E123:E125,FALSE,G123:G125,"Not Blank")</f>
        <v>0</v>
      </c>
      <c r="I122" s="2365" t="str">
        <f xml:space="preserve">
IF(F122&gt;3,"Too Many Entries - Check Red Lines",
IF(AND(E122=FALSE,G122=0,H122=0),"Nothing Entered below Yet",
IF(AND(G122=0,H122&gt;0),"**Non-Valid Entry/ies below - Check Yellow Line/s",
IF(G122&lt;F122,"Valid Entry required below - Check Amber box",
IF(AND(G122&gt;0,H122&gt;0),"**Valid and Non-Valid Entries made below - Check Yellow Line/s",
IF(AND(E122=FALSE,F122&lt;3),"Not all requirements addressed below - Check Pink Line/s",
IF(AND(E122=FALSE,G122&lt;3,G122&gt;0,H122=0),"More entries to come",
IF(AND(E122,TRUE,G122=3,H122=0),"Valid Entries made below"
))))))))</f>
        <v>Nothing Entered below Yet</v>
      </c>
      <c r="J122" s="2365">
        <f>COUNTIFS(E123:E125,TRUE,J123:J125,"Not Blank")</f>
        <v>0</v>
      </c>
      <c r="K122" s="2365">
        <f>COUNTIFS(E123:E125,FALSE,J123:J125,"Not Blank")</f>
        <v>0</v>
      </c>
      <c r="L122" s="2365" t="str">
        <f xml:space="preserve">
IF(J122&gt;3,"Too Many Entries - Check Red Lines",
IF(AND(E122=FALSE,J122=0,K122=0,E122=TRUE),"Nothing Required Below",
IF(J122&lt;F122,"Valid Entry required below - Check Amber Line/s",
IF(AND(E122=FALSE,J122=0,K122=0),"Nothing Entered below Yet",
IF(AND(J122=0,K122&gt;0),"**Non-Valid Entry/ies below - Check Yellow Line/s",
IF(AND(J122&gt;0,K122&gt;0),"**Valid and Non-Valid Entries made below - Check Yellow Line/s",
IF(AND(E122=FALSE,J122&lt;3),"Not all requirements addressed below - Check Pink Line/s",
IF(AND(E122=FALSE,J122&lt;3,J122&gt;0,K122=0),"More entries to come",
IF(AND(E122,TRUE,J122=3,K122=0),"Valid Entries made below"
)))))))))</f>
        <v>Nothing Entered below Yet</v>
      </c>
      <c r="M122" s="2352"/>
      <c r="N122" s="4446" t="s">
        <v>3</v>
      </c>
      <c r="O122" s="4629" t="b">
        <f>IF(OR(N122="Compliant",N122="FE with work-a-round",N122="Functionally Equivalent"),TRUE,FALSE)</f>
        <v>0</v>
      </c>
      <c r="P122" s="2176"/>
      <c r="Q122" s="4135" t="s">
        <v>565</v>
      </c>
      <c r="R122" s="773" t="b">
        <f>IF(AND(R123=TRUE,R124=TRUE,R125=TRUE),TRUE,FALSE)</f>
        <v>0</v>
      </c>
      <c r="S122" s="111"/>
      <c r="T122" s="111"/>
      <c r="U122" s="120"/>
      <c r="V122" s="4446" t="s">
        <v>3</v>
      </c>
      <c r="W122" s="4499" t="b">
        <f>IF(OR(V122="Compliant",V122="FE with work-a-round",V122="Functionally Equivalent",V122="Not Required/Applicable"),TRUE,FALSE)</f>
        <v>0</v>
      </c>
      <c r="X122" s="2145"/>
      <c r="Y122" s="111"/>
      <c r="Z122" s="120"/>
      <c r="AW122" s="67"/>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68"/>
    </row>
    <row r="123" spans="1:84" s="28" customFormat="1" ht="58" x14ac:dyDescent="0.3">
      <c r="A123" s="28" t="s">
        <v>1492</v>
      </c>
      <c r="B123" s="2879"/>
      <c r="C123" s="1866" t="s">
        <v>1792</v>
      </c>
      <c r="D123" s="1013" t="s">
        <v>3</v>
      </c>
      <c r="E123" s="294" t="b">
        <f>IF(D123="Compliant",TRUE,FALSE)</f>
        <v>0</v>
      </c>
      <c r="F123" s="281"/>
      <c r="G123" s="281" t="str">
        <f>IF(I123&lt;&gt;"", "Not Blank", "")</f>
        <v/>
      </c>
      <c r="H123" s="281"/>
      <c r="I123" s="301"/>
      <c r="J123" s="301" t="str">
        <f>IF(L123&lt;&gt;"", "Not Blank", "")</f>
        <v/>
      </c>
      <c r="K123" s="301"/>
      <c r="L123" s="301"/>
      <c r="M123" s="298"/>
      <c r="N123" s="4447"/>
      <c r="O123" s="4630"/>
      <c r="P123" s="128"/>
      <c r="Q123" s="1863" t="s">
        <v>3</v>
      </c>
      <c r="R123" s="732" t="b">
        <f>IF(OR(Q123="Compliant",Q123="FE with work-a-round",Q123="Functionally Equivalent"),TRUE,FALSE)</f>
        <v>0</v>
      </c>
      <c r="S123" s="44"/>
      <c r="T123" s="44"/>
      <c r="U123" s="122"/>
      <c r="V123" s="4447"/>
      <c r="W123" s="4500"/>
      <c r="X123" s="2146"/>
      <c r="Y123" s="44"/>
      <c r="Z123" s="122"/>
      <c r="AW123" s="67"/>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68"/>
    </row>
    <row r="124" spans="1:84" s="28" customFormat="1" ht="43.5" x14ac:dyDescent="0.3">
      <c r="B124" s="1869"/>
      <c r="C124" s="1832" t="s">
        <v>1143</v>
      </c>
      <c r="D124" s="319" t="s">
        <v>3</v>
      </c>
      <c r="E124" s="294" t="b">
        <f>IF(D124="Compliant",TRUE,FALSE)</f>
        <v>0</v>
      </c>
      <c r="F124" s="281"/>
      <c r="G124" s="281" t="str">
        <f>IF(I124&lt;&gt;"", "Not Blank", "")</f>
        <v/>
      </c>
      <c r="H124" s="281"/>
      <c r="I124" s="281"/>
      <c r="J124" s="281" t="str">
        <f>IF(L124&lt;&gt;"", "Not Blank", "")</f>
        <v/>
      </c>
      <c r="K124" s="281"/>
      <c r="L124" s="281"/>
      <c r="M124" s="282"/>
      <c r="N124" s="4447"/>
      <c r="O124" s="4630"/>
      <c r="P124" s="122"/>
      <c r="Q124" s="1060" t="s">
        <v>3</v>
      </c>
      <c r="R124" s="732" t="b">
        <f>IF(OR(Q124="Compliant",Q124="FE with work-a-round",Q124="Functionally Equivalent"),TRUE,FALSE)</f>
        <v>0</v>
      </c>
      <c r="S124" s="44"/>
      <c r="T124" s="44"/>
      <c r="U124" s="122"/>
      <c r="V124" s="4447"/>
      <c r="W124" s="4500"/>
      <c r="X124" s="2146"/>
      <c r="Y124" s="44"/>
      <c r="Z124" s="122"/>
      <c r="AW124" s="67"/>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68"/>
    </row>
    <row r="125" spans="1:84" s="28" customFormat="1" ht="29.5" thickBot="1" x14ac:dyDescent="0.35">
      <c r="B125" s="2880"/>
      <c r="C125" s="1834" t="s">
        <v>1144</v>
      </c>
      <c r="D125" s="230" t="s">
        <v>3</v>
      </c>
      <c r="E125" s="295" t="b">
        <f>IF(D125="Compliant",TRUE,FALSE)</f>
        <v>0</v>
      </c>
      <c r="F125" s="283"/>
      <c r="G125" s="283" t="str">
        <f>IF(I125&lt;&gt;"", "Not Blank", "")</f>
        <v/>
      </c>
      <c r="H125" s="283"/>
      <c r="I125" s="283"/>
      <c r="J125" s="283" t="str">
        <f>IF(L125&lt;&gt;"", "Not Blank", "")</f>
        <v/>
      </c>
      <c r="K125" s="283"/>
      <c r="L125" s="283"/>
      <c r="M125" s="284"/>
      <c r="N125" s="4448"/>
      <c r="O125" s="4631"/>
      <c r="P125" s="125"/>
      <c r="Q125" s="1017" t="s">
        <v>3</v>
      </c>
      <c r="R125" s="812" t="b">
        <f>IF(OR(Q125="Compliant",Q125="FE with work-a-round",Q125="Functionally Equivalent"),TRUE,FALSE)</f>
        <v>0</v>
      </c>
      <c r="S125" s="124"/>
      <c r="T125" s="124"/>
      <c r="U125" s="125"/>
      <c r="V125" s="4448"/>
      <c r="W125" s="4501"/>
      <c r="X125" s="831"/>
      <c r="Y125" s="124"/>
      <c r="Z125" s="125"/>
      <c r="AW125" s="67"/>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68"/>
    </row>
    <row r="126" spans="1:84" s="28" customFormat="1" ht="30" thickTop="1" thickBot="1" x14ac:dyDescent="0.35">
      <c r="A126" s="37"/>
      <c r="B126" s="2881" t="s">
        <v>1383</v>
      </c>
      <c r="C126" s="1829" t="s">
        <v>1142</v>
      </c>
      <c r="D126" s="1870" t="s">
        <v>565</v>
      </c>
      <c r="E126" s="2947" t="b">
        <f>IF(AND(E127=TRUE,E138=TRUE,E149=TRUE,E150=TRUE,E151=TRUE),TRUE,FALSE)</f>
        <v>0</v>
      </c>
      <c r="F126" s="2948">
        <f>SUM(F127,F151)</f>
        <v>0</v>
      </c>
      <c r="G126" s="2948">
        <f>SUM(G127,G151)</f>
        <v>0</v>
      </c>
      <c r="H126" s="2948">
        <f>SUM(H127,H151)</f>
        <v>0</v>
      </c>
      <c r="I126" s="2949" t="str">
        <f xml:space="preserve">
IF(F126&gt;46,"Too Many Entries - Check Red Lines",
IF(AND(E126=FALSE,G126=0,H126=0),"Nothing Entered below Yet",
IF(AND(G126=0,H126&gt;0),"**Non-Valid Entry/ies below - Check Yellow Line/s",
IF(G126&lt;F126,"Valid Entry required below - Check Amber box",
IF(AND(G126&gt;0,H126&gt;0),"**Valid and Non-Valid Entries made below - Check Yellow Line/s",
IF(AND(E126=FALSE,F126&lt;46),"Not all requirements addressed below - Check Pink Line/s",
IF(AND(E126=FALSE,G126&lt;46,G126&gt;0,H126=0),"More entries to come",
IF(AND(E126,TRUE,G126=46,H126=0),"Valid Entries made below"
))))))))</f>
        <v>Nothing Entered below Yet</v>
      </c>
      <c r="J126" s="2949">
        <f>SUM(J127,J151)</f>
        <v>0</v>
      </c>
      <c r="K126" s="2949">
        <f>SUM(K127,K151)</f>
        <v>0</v>
      </c>
      <c r="L126" s="2949" t="str">
        <f xml:space="preserve">
IF(J126&gt;46,"Too Many Entries - Check Red Lines",
IF(AND(E126=FALSE,J126=0,K126=0,E126=TRUE),"Nothing Required Below",
IF(J126&lt;F126,"Valid Entry required below - Check Amber Line/s",
IF(AND(E126=FALSE,J126=0,K126=0),"Nothing Entered below Yet",
IF(AND(J126=0,K126&gt;0),"**Non-Valid Entry/ies below - Check Yellow Line/s",
IF(AND(J126&gt;0,K126&gt;0),"**Valid and Non-Valid Entries made below - Check Yellow Line/s",
IF(AND(E126=FALSE,J126&lt;42),"Not all requirements addressed below - Check Pink Line/s",
IF(AND(E126=FALSE,J126&lt;42,J126&gt;0,K126=0),"More entries to come",
IF(AND(E126,TRUE,J126=42,K126=0),"Valid Entries made below"
)))))))))</f>
        <v>Nothing Entered below Yet</v>
      </c>
      <c r="M126" s="286"/>
      <c r="N126" s="4109" t="s">
        <v>565</v>
      </c>
      <c r="O126" s="132" t="b">
        <f>IF(AND(O127=TRUE,O149=TRUE,O150=TRUE,O151=TRUE),TRUE,FALSE)</f>
        <v>0</v>
      </c>
      <c r="P126" s="337"/>
      <c r="Q126" s="4109" t="s">
        <v>565</v>
      </c>
      <c r="R126" s="814" t="b">
        <f>IF(AND(R127=TRUE,R138=TRUE,R149=TRUE,R150=TRUE,R151=TRUE),TRUE,FALSE)</f>
        <v>0</v>
      </c>
      <c r="S126" s="186"/>
      <c r="T126" s="186"/>
      <c r="U126" s="459"/>
      <c r="V126" s="4109" t="s">
        <v>565</v>
      </c>
      <c r="W126" s="1773" t="b">
        <f>IF(AND(W127=TRUE,W149=TRUE,W150=TRUE,W151=TRUE),TRUE,FALSE)</f>
        <v>0</v>
      </c>
      <c r="X126" s="204"/>
      <c r="Y126" s="705"/>
      <c r="Z126" s="136"/>
      <c r="AW126" s="67"/>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68"/>
    </row>
    <row r="127" spans="1:84" s="28" customFormat="1" ht="44" thickTop="1" x14ac:dyDescent="0.3">
      <c r="B127" s="2882" t="s">
        <v>1688</v>
      </c>
      <c r="C127" s="1830" t="s">
        <v>1438</v>
      </c>
      <c r="D127" s="2920" t="s">
        <v>565</v>
      </c>
      <c r="E127" s="2939" t="b">
        <f>IF(AND(E128=TRUE,E129=TRUE,E130=TRUE,E131=TRUE,E132=TRUE,E133=TRUE,E134=TRUE,E135=TRUE,E136=TRUE,E137=TRUE),TRUE,FALSE)</f>
        <v>0</v>
      </c>
      <c r="F127" s="2940">
        <f>COUNTIF(E128:E137,TRUE)+COUNTIF(E139:E150,TRUE)</f>
        <v>0</v>
      </c>
      <c r="G127" s="2940">
        <f>COUNTIFS(E128:E137,TRUE,G128:G137,"Not Blank")+COUNTIFS(E139:E150,TRUE,G139:G150,"Not Blank")</f>
        <v>0</v>
      </c>
      <c r="H127" s="2940">
        <f>COUNTIFS(F128:F137,FALSE,H128:H137,"Not Blank")+COUNTIFS(F139:F150,FALSE,H139:H150,"Not Blank")</f>
        <v>0</v>
      </c>
      <c r="I127" s="2365" t="str">
        <f xml:space="preserve">
IF(F127&gt;22,"Too Many Entries - Check Red Lines",
IF(AND(E127=FALSE,G127=0,H127=0),"Nothing Entered below Yet",
IF(AND(G127=0,H127&gt;0),"**Non-Valid Entry/ies below - Check Yellow Line/s",
IF(G127&lt;F127,"Valid Entry required below - Check Amber box",
IF(AND(G127&gt;0,H127&gt;0),"**Valid and Non-Valid Entries made below - Check Yellow Line/s",
IF(AND(E127=FALSE,F127&lt;22),"Not all requirements addressed below - Check Pink Line/s",
IF(AND(E127=FALSE,G127&lt;22,G127&gt;0,H127=0),"More entries to come",
IF(AND(E127,TRUE,G127=22,H127=0),"Valid Entries made below"
))))))))</f>
        <v>Nothing Entered below Yet</v>
      </c>
      <c r="J127" s="2365">
        <f>COUNTIFS(E128:E150,TRUE,J128:J150,"Not Blank")</f>
        <v>0</v>
      </c>
      <c r="K127" s="2365">
        <f>COUNTIFS(E128:E150,FALSE,J128:J150,"Not Blank")</f>
        <v>0</v>
      </c>
      <c r="L127" s="2365" t="str">
        <f xml:space="preserve">
IF(J127&gt;22,"Too Many Entries - Check Red Lines",
IF(AND(E127=FALSE,J127=0,K127=0,E127=TRUE),"Nothing Required Below",
IF(J127&lt;F127,"Valid Entry required below - Check Amber Line/s",
IF(AND(E127=FALSE,J127=0,K127=0),"Nothing Entered below Yet",
IF(AND(J127=0,K127&gt;0),"**Non-Valid Entry/ies below - Check Yellow Line/s",
IF(AND(J127&gt;0,K127&gt;0),"**Valid and Non-Valid Entries made below - Check Yellow Line/s",
IF(AND(E127=FALSE,J127&lt;22),"Not all requirements addressed below - Check Pink Line/s",
IF(AND(E127=FALSE,J127&lt;22,J127&gt;0,K127=0),"More entries to come",
IF(AND(E127,TRUE,J127=22,K127=0),"Valid Entries made below"
)))))))))</f>
        <v>Nothing Entered below Yet</v>
      </c>
      <c r="M127" s="2367"/>
      <c r="N127" s="4446" t="s">
        <v>3</v>
      </c>
      <c r="O127" s="4526" t="b">
        <f>IF(OR(N127="Compliant",N127="FE with work-a-round",N127="Functionally Equivalent"),TRUE,FALSE)</f>
        <v>0</v>
      </c>
      <c r="P127" s="2176"/>
      <c r="Q127" s="4135" t="s">
        <v>565</v>
      </c>
      <c r="R127" s="814" t="b">
        <f>IF(AND(R128=TRUE,R129=TRUE,R130=TRUE,R131=TRUE,R132=TRUE,R133=TRUE,R134=TRUE,R135=TRUE,R136=TRUE,R137=TRUE),TRUE,FALSE)</f>
        <v>0</v>
      </c>
      <c r="S127" s="111"/>
      <c r="T127" s="111"/>
      <c r="U127" s="120"/>
      <c r="V127" s="4446" t="s">
        <v>3</v>
      </c>
      <c r="W127" s="4499" t="b">
        <f>IF(OR(V127="Compliant",V127="FE with work-a-round",V127="Functionally Equivalent",V127="Not Required/Applicable"),TRUE,FALSE)</f>
        <v>0</v>
      </c>
      <c r="X127" s="2145"/>
      <c r="Y127" s="111"/>
      <c r="Z127" s="120"/>
      <c r="AW127" s="67"/>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68"/>
    </row>
    <row r="128" spans="1:84" s="28" customFormat="1" ht="29" x14ac:dyDescent="0.3">
      <c r="A128" s="28">
        <v>11.1</v>
      </c>
      <c r="B128" s="1504"/>
      <c r="C128" s="2883" t="s">
        <v>1838</v>
      </c>
      <c r="D128" s="1013" t="s">
        <v>3</v>
      </c>
      <c r="E128" s="315" t="b">
        <f t="shared" ref="E128:E137" si="17">IF(D128="Compliant",TRUE,FALSE)</f>
        <v>0</v>
      </c>
      <c r="F128" s="301"/>
      <c r="G128" s="301" t="str">
        <f t="shared" ref="G128:G147" si="18">IF(I128&lt;&gt;"", "Not Blank", "")</f>
        <v/>
      </c>
      <c r="H128" s="301"/>
      <c r="I128" s="301"/>
      <c r="J128" s="301" t="str">
        <f t="shared" ref="J128:J137" si="19">IF(L128&lt;&gt;"", "Not Blank", "")</f>
        <v/>
      </c>
      <c r="K128" s="301"/>
      <c r="L128" s="301"/>
      <c r="M128" s="2361"/>
      <c r="N128" s="4447"/>
      <c r="O128" s="4527"/>
      <c r="P128" s="128"/>
      <c r="Q128" s="1863" t="s">
        <v>3</v>
      </c>
      <c r="R128" s="737" t="b">
        <f t="shared" ref="R128:R137" si="20">IF(OR(Q128="Compliant",Q128="FE with work-a-round",Q128="Functionally Equivalent"),TRUE,FALSE)</f>
        <v>0</v>
      </c>
      <c r="S128" s="44"/>
      <c r="T128" s="44"/>
      <c r="U128" s="68"/>
      <c r="V128" s="4447"/>
      <c r="W128" s="4500"/>
      <c r="X128" s="2146"/>
      <c r="Y128" s="44"/>
      <c r="Z128" s="122"/>
      <c r="AW128" s="67"/>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68"/>
    </row>
    <row r="129" spans="2:84" s="28" customFormat="1" ht="29" x14ac:dyDescent="0.3">
      <c r="B129" s="1504"/>
      <c r="C129" s="2883" t="s">
        <v>772</v>
      </c>
      <c r="D129" s="319" t="s">
        <v>3</v>
      </c>
      <c r="E129" s="294" t="b">
        <f t="shared" si="17"/>
        <v>0</v>
      </c>
      <c r="F129" s="281"/>
      <c r="G129" s="281" t="str">
        <f t="shared" si="18"/>
        <v/>
      </c>
      <c r="H129" s="281"/>
      <c r="I129" s="281"/>
      <c r="J129" s="281" t="str">
        <f t="shared" si="19"/>
        <v/>
      </c>
      <c r="K129" s="281"/>
      <c r="L129" s="281"/>
      <c r="M129" s="282"/>
      <c r="N129" s="4447"/>
      <c r="O129" s="4527"/>
      <c r="P129" s="122"/>
      <c r="Q129" s="1060" t="s">
        <v>3</v>
      </c>
      <c r="R129" s="737" t="b">
        <f t="shared" si="20"/>
        <v>0</v>
      </c>
      <c r="S129" s="44"/>
      <c r="T129" s="44"/>
      <c r="U129" s="122"/>
      <c r="V129" s="4447"/>
      <c r="W129" s="4500"/>
      <c r="X129" s="2146"/>
      <c r="Y129" s="44"/>
      <c r="Z129" s="122"/>
      <c r="AW129" s="67"/>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68"/>
    </row>
    <row r="130" spans="2:84" s="28" customFormat="1" ht="29" x14ac:dyDescent="0.3">
      <c r="B130" s="1504"/>
      <c r="C130" s="2883" t="s">
        <v>1439</v>
      </c>
      <c r="D130" s="319" t="s">
        <v>3</v>
      </c>
      <c r="E130" s="294" t="b">
        <f t="shared" si="17"/>
        <v>0</v>
      </c>
      <c r="F130" s="281"/>
      <c r="G130" s="281" t="str">
        <f t="shared" si="18"/>
        <v/>
      </c>
      <c r="H130" s="281"/>
      <c r="I130" s="281"/>
      <c r="J130" s="281" t="str">
        <f t="shared" si="19"/>
        <v/>
      </c>
      <c r="K130" s="281"/>
      <c r="L130" s="281"/>
      <c r="M130" s="282"/>
      <c r="N130" s="4447"/>
      <c r="O130" s="4527"/>
      <c r="P130" s="122"/>
      <c r="Q130" s="1060" t="s">
        <v>3</v>
      </c>
      <c r="R130" s="737" t="b">
        <f t="shared" si="20"/>
        <v>0</v>
      </c>
      <c r="S130" s="44"/>
      <c r="T130" s="44"/>
      <c r="U130" s="122"/>
      <c r="V130" s="4447"/>
      <c r="W130" s="4500"/>
      <c r="X130" s="2146"/>
      <c r="Y130" s="44"/>
      <c r="Z130" s="122"/>
      <c r="AW130" s="67"/>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68"/>
    </row>
    <row r="131" spans="2:84" s="28" customFormat="1" ht="29" x14ac:dyDescent="0.3">
      <c r="B131" s="1504"/>
      <c r="C131" s="2883" t="s">
        <v>1440</v>
      </c>
      <c r="D131" s="319" t="s">
        <v>3</v>
      </c>
      <c r="E131" s="294" t="b">
        <f t="shared" si="17"/>
        <v>0</v>
      </c>
      <c r="F131" s="281"/>
      <c r="G131" s="281" t="str">
        <f t="shared" si="18"/>
        <v/>
      </c>
      <c r="H131" s="281"/>
      <c r="I131" s="281"/>
      <c r="J131" s="281" t="str">
        <f t="shared" si="19"/>
        <v/>
      </c>
      <c r="K131" s="281"/>
      <c r="L131" s="281"/>
      <c r="M131" s="282"/>
      <c r="N131" s="4447"/>
      <c r="O131" s="4527"/>
      <c r="P131" s="122"/>
      <c r="Q131" s="1060" t="s">
        <v>3</v>
      </c>
      <c r="R131" s="737" t="b">
        <f t="shared" si="20"/>
        <v>0</v>
      </c>
      <c r="S131" s="44"/>
      <c r="T131" s="44"/>
      <c r="U131" s="122"/>
      <c r="V131" s="4447"/>
      <c r="W131" s="4500"/>
      <c r="X131" s="2146"/>
      <c r="Y131" s="44"/>
      <c r="Z131" s="122"/>
      <c r="AW131" s="67"/>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68"/>
    </row>
    <row r="132" spans="2:84" s="28" customFormat="1" ht="29" x14ac:dyDescent="0.3">
      <c r="B132" s="1504"/>
      <c r="C132" s="2883" t="s">
        <v>1441</v>
      </c>
      <c r="D132" s="319" t="s">
        <v>3</v>
      </c>
      <c r="E132" s="294" t="b">
        <f t="shared" si="17"/>
        <v>0</v>
      </c>
      <c r="F132" s="281"/>
      <c r="G132" s="281" t="str">
        <f t="shared" si="18"/>
        <v/>
      </c>
      <c r="H132" s="281"/>
      <c r="I132" s="281"/>
      <c r="J132" s="281" t="str">
        <f t="shared" si="19"/>
        <v/>
      </c>
      <c r="K132" s="281"/>
      <c r="L132" s="281"/>
      <c r="M132" s="282"/>
      <c r="N132" s="4447"/>
      <c r="O132" s="4527"/>
      <c r="P132" s="122"/>
      <c r="Q132" s="1060" t="s">
        <v>3</v>
      </c>
      <c r="R132" s="737" t="b">
        <f t="shared" si="20"/>
        <v>0</v>
      </c>
      <c r="S132" s="44"/>
      <c r="T132" s="44"/>
      <c r="U132" s="122"/>
      <c r="V132" s="4447"/>
      <c r="W132" s="4500"/>
      <c r="X132" s="2146"/>
      <c r="Y132" s="44"/>
      <c r="Z132" s="122"/>
      <c r="AW132" s="67"/>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68"/>
    </row>
    <row r="133" spans="2:84" s="28" customFormat="1" ht="43.5" x14ac:dyDescent="0.3">
      <c r="B133" s="1504"/>
      <c r="C133" s="2883" t="s">
        <v>1442</v>
      </c>
      <c r="D133" s="319" t="s">
        <v>3</v>
      </c>
      <c r="E133" s="294" t="b">
        <f t="shared" si="17"/>
        <v>0</v>
      </c>
      <c r="F133" s="281"/>
      <c r="G133" s="281" t="str">
        <f t="shared" si="18"/>
        <v/>
      </c>
      <c r="H133" s="281"/>
      <c r="I133" s="281"/>
      <c r="J133" s="281" t="str">
        <f t="shared" si="19"/>
        <v/>
      </c>
      <c r="K133" s="281"/>
      <c r="L133" s="281"/>
      <c r="M133" s="282"/>
      <c r="N133" s="4447"/>
      <c r="O133" s="4527"/>
      <c r="P133" s="122"/>
      <c r="Q133" s="1060" t="s">
        <v>3</v>
      </c>
      <c r="R133" s="737" t="b">
        <f t="shared" si="20"/>
        <v>0</v>
      </c>
      <c r="S133" s="44"/>
      <c r="T133" s="44"/>
      <c r="U133" s="122"/>
      <c r="V133" s="4447"/>
      <c r="W133" s="4500"/>
      <c r="X133" s="2146"/>
      <c r="Y133" s="44"/>
      <c r="Z133" s="122"/>
      <c r="AW133" s="67"/>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68"/>
    </row>
    <row r="134" spans="2:84" s="28" customFormat="1" ht="29" x14ac:dyDescent="0.3">
      <c r="B134" s="1504"/>
      <c r="C134" s="2883" t="s">
        <v>1443</v>
      </c>
      <c r="D134" s="319" t="s">
        <v>3</v>
      </c>
      <c r="E134" s="294" t="b">
        <f t="shared" si="17"/>
        <v>0</v>
      </c>
      <c r="F134" s="281"/>
      <c r="G134" s="281" t="str">
        <f t="shared" si="18"/>
        <v/>
      </c>
      <c r="H134" s="281"/>
      <c r="I134" s="281"/>
      <c r="J134" s="281" t="str">
        <f t="shared" si="19"/>
        <v/>
      </c>
      <c r="K134" s="281"/>
      <c r="L134" s="281"/>
      <c r="M134" s="282"/>
      <c r="N134" s="4447"/>
      <c r="O134" s="4527"/>
      <c r="P134" s="122"/>
      <c r="Q134" s="1060" t="s">
        <v>3</v>
      </c>
      <c r="R134" s="737" t="b">
        <f t="shared" si="20"/>
        <v>0</v>
      </c>
      <c r="S134" s="44"/>
      <c r="T134" s="44"/>
      <c r="U134" s="122"/>
      <c r="V134" s="4447"/>
      <c r="W134" s="4500"/>
      <c r="X134" s="2146"/>
      <c r="Y134" s="44"/>
      <c r="Z134" s="122"/>
      <c r="AW134" s="67"/>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68"/>
    </row>
    <row r="135" spans="2:84" s="28" customFormat="1" ht="43.5" x14ac:dyDescent="0.3">
      <c r="B135" s="1504"/>
      <c r="C135" s="2883" t="s">
        <v>777</v>
      </c>
      <c r="D135" s="319" t="s">
        <v>3</v>
      </c>
      <c r="E135" s="294" t="b">
        <f t="shared" si="17"/>
        <v>0</v>
      </c>
      <c r="F135" s="281"/>
      <c r="G135" s="281" t="str">
        <f t="shared" si="18"/>
        <v/>
      </c>
      <c r="H135" s="281"/>
      <c r="I135" s="281"/>
      <c r="J135" s="281" t="str">
        <f t="shared" si="19"/>
        <v/>
      </c>
      <c r="K135" s="281"/>
      <c r="L135" s="281"/>
      <c r="M135" s="282"/>
      <c r="N135" s="4447"/>
      <c r="O135" s="4527"/>
      <c r="P135" s="122"/>
      <c r="Q135" s="1060" t="s">
        <v>3</v>
      </c>
      <c r="R135" s="737" t="b">
        <f t="shared" si="20"/>
        <v>0</v>
      </c>
      <c r="S135" s="44"/>
      <c r="T135" s="44"/>
      <c r="U135" s="122"/>
      <c r="V135" s="4447"/>
      <c r="W135" s="4500"/>
      <c r="X135" s="2146"/>
      <c r="Y135" s="44"/>
      <c r="Z135" s="122"/>
      <c r="AW135" s="67"/>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68"/>
    </row>
    <row r="136" spans="2:84" s="28" customFormat="1" ht="29" x14ac:dyDescent="0.3">
      <c r="B136" s="1504"/>
      <c r="C136" s="2883" t="s">
        <v>1444</v>
      </c>
      <c r="D136" s="319" t="s">
        <v>3</v>
      </c>
      <c r="E136" s="294" t="b">
        <f t="shared" si="17"/>
        <v>0</v>
      </c>
      <c r="F136" s="281"/>
      <c r="G136" s="281" t="str">
        <f t="shared" si="18"/>
        <v/>
      </c>
      <c r="H136" s="281"/>
      <c r="I136" s="281"/>
      <c r="J136" s="281" t="str">
        <f t="shared" si="19"/>
        <v/>
      </c>
      <c r="K136" s="281"/>
      <c r="L136" s="281"/>
      <c r="M136" s="282"/>
      <c r="N136" s="4447"/>
      <c r="O136" s="4527"/>
      <c r="P136" s="122"/>
      <c r="Q136" s="1060" t="s">
        <v>3</v>
      </c>
      <c r="R136" s="737" t="b">
        <f t="shared" si="20"/>
        <v>0</v>
      </c>
      <c r="S136" s="44"/>
      <c r="T136" s="44"/>
      <c r="U136" s="122"/>
      <c r="V136" s="4447"/>
      <c r="W136" s="4500"/>
      <c r="X136" s="2146"/>
      <c r="Y136" s="44"/>
      <c r="Z136" s="122"/>
      <c r="AW136" s="67"/>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68"/>
    </row>
    <row r="137" spans="2:84" s="28" customFormat="1" ht="29.5" thickBot="1" x14ac:dyDescent="0.35">
      <c r="B137" s="2884"/>
      <c r="C137" s="2885" t="s">
        <v>1445</v>
      </c>
      <c r="D137" s="230" t="s">
        <v>3</v>
      </c>
      <c r="E137" s="295" t="b">
        <f t="shared" si="17"/>
        <v>0</v>
      </c>
      <c r="F137" s="283"/>
      <c r="G137" s="283" t="str">
        <f t="shared" si="18"/>
        <v/>
      </c>
      <c r="H137" s="283"/>
      <c r="I137" s="283"/>
      <c r="J137" s="283" t="str">
        <f t="shared" si="19"/>
        <v/>
      </c>
      <c r="K137" s="283"/>
      <c r="L137" s="283"/>
      <c r="M137" s="284"/>
      <c r="N137" s="4447"/>
      <c r="O137" s="4527"/>
      <c r="P137" s="127"/>
      <c r="Q137" s="1017" t="s">
        <v>3</v>
      </c>
      <c r="R137" s="737" t="b">
        <f t="shared" si="20"/>
        <v>0</v>
      </c>
      <c r="S137" s="124"/>
      <c r="T137" s="124"/>
      <c r="U137" s="125"/>
      <c r="V137" s="4447"/>
      <c r="W137" s="4500"/>
      <c r="X137" s="2146"/>
      <c r="Y137" s="124"/>
      <c r="Z137" s="125"/>
      <c r="AW137" s="67"/>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68"/>
    </row>
    <row r="138" spans="2:84" s="28" customFormat="1" ht="29.5" thickTop="1" x14ac:dyDescent="0.3">
      <c r="B138" s="2886" t="s">
        <v>1689</v>
      </c>
      <c r="C138" s="2360" t="s">
        <v>1446</v>
      </c>
      <c r="D138" s="2920" t="s">
        <v>565</v>
      </c>
      <c r="E138" s="1850" t="b">
        <f>IF(AND(E139=TRUE,E140=TRUE,E141=TRUE,E142=TRUE,E143=TRUE,E144=TRUE,E145=TRUE,E146=TRUE,E147=TRUE,E148=TRUE),TRUE,FALSE)</f>
        <v>0</v>
      </c>
      <c r="F138" s="1851">
        <f>COUNTIF(E139:E148,TRUE)</f>
        <v>0</v>
      </c>
      <c r="G138" s="1851">
        <f>COUNTIFS(E139:E148,TRUE,G139:G148,"Not Blank")</f>
        <v>0</v>
      </c>
      <c r="H138" s="1851">
        <f>COUNTIFS(E139:E148,FALSE,G139:G148,"Not Blank")</f>
        <v>0</v>
      </c>
      <c r="I138" s="2365" t="str">
        <f xml:space="preserve">
IF(F138&gt;10,"Too Many Entries - Check Red Lines",
IF(AND(E138=FALSE,G138=0,H138=0),"Nothing Entered below Yet",
IF(AND(G138=0,H138&gt;0),"**Non-Valid Entry/ies below - Check Yellow Line/s",
IF(G138&lt;F138,"Valid Entry required below - Check Amber box",
IF(AND(G138&gt;0,H138&gt;0),"**Valid and Non-Valid Entries made below - Check Yellow Line/s",
IF(AND(E138=FALSE,F138&lt;10),"Not all requirements addressed below - Check Pink Line/s",
IF(AND(E138=FALSE,G138&lt;10,G138&gt;0,H138=0),"More entries to come",
IF(AND(E138,TRUE,G138=10,H138=0),"Valid Entries made below"
))))))))</f>
        <v>Nothing Entered below Yet</v>
      </c>
      <c r="J138" s="2365">
        <f>COUNTIFS(E139:E148,TRUE,J139:J148,"Not Blank")</f>
        <v>0</v>
      </c>
      <c r="K138" s="2365">
        <f>COUNTIFS(E139:E148,FALSE,J139:J148,"Not Blank")</f>
        <v>0</v>
      </c>
      <c r="L138" s="2365" t="str">
        <f xml:space="preserve">
IF(J138&gt;10,"Too Many Entries - Check Red Lines",
IF(AND(E138=FALSE,J138=0,K138=0,E138=TRUE),"Nothing Required Below",
IF(J138&lt;F138,"Valid Entry required below - Check Amber Line/s",
IF(AND(E138=FALSE,J138=0,K138=0),"Nothing Entered below Yet",
IF(AND(J138=0,K138&gt;0),"**Non-Valid Entry/ies below - Check Yellow Line/s",
IF(AND(J138&gt;0,K138&gt;0),"**Valid and Non-Valid Entries made below - Check Yellow Line/s",
IF(AND(E138=FALSE,J138&lt;10),"Not all requirements addressed below - Check Pink Line/s",
IF(AND(E138=FALSE,J138&lt;10,J138&gt;0,K138=0),"More entries to come",
IF(AND(E138,TRUE,J138=10,K138=0),"Valid Entries made below"
)))))))))</f>
        <v>Nothing Entered below Yet</v>
      </c>
      <c r="M138" s="2352"/>
      <c r="N138" s="4447"/>
      <c r="O138" s="4527"/>
      <c r="P138" s="2176"/>
      <c r="Q138" s="4135" t="s">
        <v>565</v>
      </c>
      <c r="R138" s="814" t="b">
        <f>IF(AND(R139=TRUE,R140=TRUE,R141=TRUE,R142=TRUE,R143=TRUE,R144=TRUE,R145=TRUE,R146=TRUE,R147=TRUE,R148=TRUE),TRUE,FALSE)</f>
        <v>0</v>
      </c>
      <c r="S138" s="42"/>
      <c r="T138" s="42"/>
      <c r="U138" s="128"/>
      <c r="V138" s="4447"/>
      <c r="W138" s="4500"/>
      <c r="X138" s="2146"/>
      <c r="Y138" s="42"/>
      <c r="Z138" s="128"/>
      <c r="AW138" s="67"/>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68"/>
    </row>
    <row r="139" spans="2:84" s="28" customFormat="1" ht="29" x14ac:dyDescent="0.3">
      <c r="B139" s="1504"/>
      <c r="C139" s="2887" t="s">
        <v>779</v>
      </c>
      <c r="D139" s="1013" t="s">
        <v>3</v>
      </c>
      <c r="E139" s="294" t="b">
        <f t="shared" ref="E139:E147" si="21">IF(D139="Compliant",TRUE,FALSE)</f>
        <v>0</v>
      </c>
      <c r="F139" s="281"/>
      <c r="G139" s="281" t="str">
        <f t="shared" si="18"/>
        <v/>
      </c>
      <c r="H139" s="281"/>
      <c r="I139" s="301"/>
      <c r="J139" s="301" t="str">
        <f t="shared" ref="J139:J147" si="22">IF(L139&lt;&gt;"", "Not Blank", "")</f>
        <v/>
      </c>
      <c r="K139" s="301"/>
      <c r="L139" s="301"/>
      <c r="M139" s="298"/>
      <c r="N139" s="4447"/>
      <c r="O139" s="4527"/>
      <c r="P139" s="128"/>
      <c r="Q139" s="1863" t="s">
        <v>3</v>
      </c>
      <c r="R139" s="737" t="b">
        <f>IF(OR(Q139="Compliant",Q139="FE with work-a-round",Q139="Functionally Equivalent"),TRUE,FALSE)</f>
        <v>0</v>
      </c>
      <c r="S139" s="44"/>
      <c r="T139" s="44"/>
      <c r="U139" s="122"/>
      <c r="V139" s="4447"/>
      <c r="W139" s="4500"/>
      <c r="X139" s="2146"/>
      <c r="Y139" s="44"/>
      <c r="Z139" s="122"/>
      <c r="AW139" s="67"/>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68"/>
    </row>
    <row r="140" spans="2:84" s="28" customFormat="1" ht="43.5" x14ac:dyDescent="0.3">
      <c r="B140" s="1504"/>
      <c r="C140" s="2883" t="s">
        <v>849</v>
      </c>
      <c r="D140" s="319" t="s">
        <v>3</v>
      </c>
      <c r="E140" s="294" t="b">
        <f t="shared" si="21"/>
        <v>0</v>
      </c>
      <c r="F140" s="281"/>
      <c r="G140" s="281" t="str">
        <f t="shared" si="18"/>
        <v/>
      </c>
      <c r="H140" s="281"/>
      <c r="I140" s="281"/>
      <c r="J140" s="281" t="str">
        <f t="shared" si="22"/>
        <v/>
      </c>
      <c r="K140" s="281"/>
      <c r="L140" s="281"/>
      <c r="M140" s="282"/>
      <c r="N140" s="4447"/>
      <c r="O140" s="4527"/>
      <c r="P140" s="122"/>
      <c r="Q140" s="1060" t="s">
        <v>3</v>
      </c>
      <c r="R140" s="737" t="b">
        <f t="shared" ref="R140:R150" si="23">IF(OR(Q140="Compliant",Q140="FE with work-a-round",Q140="Functionally Equivalent"),TRUE,FALSE)</f>
        <v>0</v>
      </c>
      <c r="S140" s="44"/>
      <c r="T140" s="44"/>
      <c r="U140" s="122"/>
      <c r="V140" s="4447"/>
      <c r="W140" s="4500"/>
      <c r="X140" s="2146"/>
      <c r="Y140" s="44"/>
      <c r="Z140" s="122"/>
      <c r="AW140" s="67"/>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68"/>
    </row>
    <row r="141" spans="2:84" s="28" customFormat="1" ht="29" x14ac:dyDescent="0.3">
      <c r="B141" s="1504"/>
      <c r="C141" s="2883" t="s">
        <v>780</v>
      </c>
      <c r="D141" s="319" t="s">
        <v>3</v>
      </c>
      <c r="E141" s="294" t="b">
        <f t="shared" si="21"/>
        <v>0</v>
      </c>
      <c r="F141" s="281"/>
      <c r="G141" s="281" t="str">
        <f t="shared" si="18"/>
        <v/>
      </c>
      <c r="H141" s="281"/>
      <c r="I141" s="281"/>
      <c r="J141" s="281" t="str">
        <f t="shared" si="22"/>
        <v/>
      </c>
      <c r="K141" s="281"/>
      <c r="L141" s="281"/>
      <c r="M141" s="282"/>
      <c r="N141" s="4447"/>
      <c r="O141" s="4527"/>
      <c r="P141" s="122"/>
      <c r="Q141" s="1060" t="s">
        <v>3</v>
      </c>
      <c r="R141" s="737" t="b">
        <f t="shared" si="23"/>
        <v>0</v>
      </c>
      <c r="S141" s="44"/>
      <c r="T141" s="44"/>
      <c r="U141" s="122"/>
      <c r="V141" s="4447"/>
      <c r="W141" s="4500"/>
      <c r="X141" s="2146"/>
      <c r="Y141" s="44"/>
      <c r="Z141" s="122"/>
      <c r="AW141" s="67"/>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68"/>
    </row>
    <row r="142" spans="2:84" s="28" customFormat="1" ht="43.5" x14ac:dyDescent="0.3">
      <c r="B142" s="1504"/>
      <c r="C142" s="2883" t="s">
        <v>1447</v>
      </c>
      <c r="D142" s="319" t="s">
        <v>3</v>
      </c>
      <c r="E142" s="294" t="b">
        <f t="shared" si="21"/>
        <v>0</v>
      </c>
      <c r="F142" s="281"/>
      <c r="G142" s="281" t="str">
        <f t="shared" si="18"/>
        <v/>
      </c>
      <c r="H142" s="281"/>
      <c r="I142" s="281"/>
      <c r="J142" s="281" t="str">
        <f t="shared" si="22"/>
        <v/>
      </c>
      <c r="K142" s="281"/>
      <c r="L142" s="281"/>
      <c r="M142" s="282"/>
      <c r="N142" s="4447"/>
      <c r="O142" s="4527"/>
      <c r="P142" s="122"/>
      <c r="Q142" s="1060" t="s">
        <v>3</v>
      </c>
      <c r="R142" s="737" t="b">
        <f t="shared" si="23"/>
        <v>0</v>
      </c>
      <c r="S142" s="44"/>
      <c r="T142" s="44"/>
      <c r="U142" s="122"/>
      <c r="V142" s="4447"/>
      <c r="W142" s="4500"/>
      <c r="X142" s="2146"/>
      <c r="Y142" s="44"/>
      <c r="Z142" s="122"/>
      <c r="AW142" s="67"/>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68"/>
    </row>
    <row r="143" spans="2:84" s="28" customFormat="1" ht="58" x14ac:dyDescent="0.3">
      <c r="B143" s="1504"/>
      <c r="C143" s="2883" t="s">
        <v>1448</v>
      </c>
      <c r="D143" s="319" t="s">
        <v>3</v>
      </c>
      <c r="E143" s="294" t="b">
        <f t="shared" si="21"/>
        <v>0</v>
      </c>
      <c r="F143" s="281"/>
      <c r="G143" s="281" t="str">
        <f t="shared" si="18"/>
        <v/>
      </c>
      <c r="H143" s="281"/>
      <c r="I143" s="281"/>
      <c r="J143" s="281" t="str">
        <f t="shared" si="22"/>
        <v/>
      </c>
      <c r="K143" s="281"/>
      <c r="L143" s="281"/>
      <c r="M143" s="282"/>
      <c r="N143" s="4447"/>
      <c r="O143" s="4527"/>
      <c r="P143" s="122"/>
      <c r="Q143" s="1060" t="s">
        <v>3</v>
      </c>
      <c r="R143" s="737" t="b">
        <f t="shared" si="23"/>
        <v>0</v>
      </c>
      <c r="S143" s="44"/>
      <c r="T143" s="44"/>
      <c r="U143" s="122"/>
      <c r="V143" s="4447"/>
      <c r="W143" s="4500"/>
      <c r="X143" s="2146"/>
      <c r="Y143" s="44"/>
      <c r="Z143" s="122"/>
      <c r="AW143" s="67"/>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68"/>
    </row>
    <row r="144" spans="2:84" s="28" customFormat="1" ht="29" x14ac:dyDescent="0.3">
      <c r="B144" s="1504"/>
      <c r="C144" s="2883" t="s">
        <v>850</v>
      </c>
      <c r="D144" s="319" t="s">
        <v>3</v>
      </c>
      <c r="E144" s="294" t="b">
        <f t="shared" si="21"/>
        <v>0</v>
      </c>
      <c r="F144" s="281"/>
      <c r="G144" s="281" t="str">
        <f t="shared" si="18"/>
        <v/>
      </c>
      <c r="H144" s="281"/>
      <c r="I144" s="281"/>
      <c r="J144" s="281" t="str">
        <f t="shared" si="22"/>
        <v/>
      </c>
      <c r="K144" s="281"/>
      <c r="L144" s="281"/>
      <c r="M144" s="282"/>
      <c r="N144" s="4447"/>
      <c r="O144" s="4527"/>
      <c r="P144" s="122"/>
      <c r="Q144" s="1060" t="s">
        <v>3</v>
      </c>
      <c r="R144" s="737" t="b">
        <f t="shared" si="23"/>
        <v>0</v>
      </c>
      <c r="S144" s="44"/>
      <c r="T144" s="44"/>
      <c r="U144" s="122"/>
      <c r="V144" s="4447"/>
      <c r="W144" s="4500"/>
      <c r="X144" s="2146"/>
      <c r="Y144" s="44"/>
      <c r="Z144" s="122"/>
      <c r="AW144" s="67"/>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68"/>
    </row>
    <row r="145" spans="1:84" s="28" customFormat="1" ht="29" x14ac:dyDescent="0.3">
      <c r="B145" s="1504"/>
      <c r="C145" s="2883" t="s">
        <v>783</v>
      </c>
      <c r="D145" s="319" t="s">
        <v>3</v>
      </c>
      <c r="E145" s="294" t="b">
        <f t="shared" si="21"/>
        <v>0</v>
      </c>
      <c r="F145" s="281"/>
      <c r="G145" s="281" t="str">
        <f t="shared" si="18"/>
        <v/>
      </c>
      <c r="H145" s="281"/>
      <c r="I145" s="281"/>
      <c r="J145" s="281" t="str">
        <f t="shared" si="22"/>
        <v/>
      </c>
      <c r="K145" s="281"/>
      <c r="L145" s="281"/>
      <c r="M145" s="282"/>
      <c r="N145" s="4447"/>
      <c r="O145" s="4527"/>
      <c r="P145" s="122"/>
      <c r="Q145" s="1060" t="s">
        <v>3</v>
      </c>
      <c r="R145" s="737" t="b">
        <f t="shared" si="23"/>
        <v>0</v>
      </c>
      <c r="S145" s="44"/>
      <c r="T145" s="44"/>
      <c r="U145" s="122"/>
      <c r="V145" s="4447"/>
      <c r="W145" s="4500"/>
      <c r="X145" s="2146"/>
      <c r="Y145" s="44"/>
      <c r="Z145" s="122"/>
      <c r="AW145" s="67"/>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68"/>
    </row>
    <row r="146" spans="1:84" s="28" customFormat="1" ht="29" x14ac:dyDescent="0.3">
      <c r="B146" s="1504"/>
      <c r="C146" s="2883" t="s">
        <v>784</v>
      </c>
      <c r="D146" s="319" t="s">
        <v>3</v>
      </c>
      <c r="E146" s="294" t="b">
        <f t="shared" si="21"/>
        <v>0</v>
      </c>
      <c r="F146" s="281"/>
      <c r="G146" s="281" t="str">
        <f t="shared" si="18"/>
        <v/>
      </c>
      <c r="H146" s="281"/>
      <c r="I146" s="281"/>
      <c r="J146" s="281" t="str">
        <f t="shared" si="22"/>
        <v/>
      </c>
      <c r="K146" s="281"/>
      <c r="L146" s="281"/>
      <c r="M146" s="282"/>
      <c r="N146" s="4447"/>
      <c r="O146" s="4527"/>
      <c r="P146" s="122"/>
      <c r="Q146" s="1060" t="s">
        <v>3</v>
      </c>
      <c r="R146" s="737" t="b">
        <f t="shared" si="23"/>
        <v>0</v>
      </c>
      <c r="S146" s="44"/>
      <c r="T146" s="44"/>
      <c r="U146" s="122"/>
      <c r="V146" s="4447"/>
      <c r="W146" s="4500"/>
      <c r="X146" s="2146"/>
      <c r="Y146" s="44"/>
      <c r="Z146" s="122"/>
      <c r="AW146" s="67"/>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68"/>
    </row>
    <row r="147" spans="1:84" s="28" customFormat="1" ht="29" x14ac:dyDescent="0.3">
      <c r="B147" s="1504"/>
      <c r="C147" s="2883" t="s">
        <v>851</v>
      </c>
      <c r="D147" s="319" t="s">
        <v>3</v>
      </c>
      <c r="E147" s="294" t="b">
        <f t="shared" si="21"/>
        <v>0</v>
      </c>
      <c r="F147" s="281"/>
      <c r="G147" s="281" t="str">
        <f t="shared" si="18"/>
        <v/>
      </c>
      <c r="H147" s="281"/>
      <c r="I147" s="281"/>
      <c r="J147" s="281" t="str">
        <f t="shared" si="22"/>
        <v/>
      </c>
      <c r="K147" s="281"/>
      <c r="L147" s="281"/>
      <c r="M147" s="282"/>
      <c r="N147" s="4447"/>
      <c r="O147" s="4527"/>
      <c r="P147" s="122"/>
      <c r="Q147" s="1060" t="s">
        <v>3</v>
      </c>
      <c r="R147" s="737" t="b">
        <f t="shared" si="23"/>
        <v>0</v>
      </c>
      <c r="S147" s="44"/>
      <c r="T147" s="44"/>
      <c r="U147" s="122"/>
      <c r="V147" s="4447"/>
      <c r="W147" s="4500"/>
      <c r="X147" s="2146"/>
      <c r="Y147" s="44"/>
      <c r="Z147" s="122"/>
      <c r="AW147" s="67"/>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68"/>
    </row>
    <row r="148" spans="1:84" s="28" customFormat="1" ht="29.5" thickBot="1" x14ac:dyDescent="0.35">
      <c r="B148" s="1504"/>
      <c r="C148" s="2888" t="s">
        <v>1449</v>
      </c>
      <c r="D148" s="849" t="s">
        <v>3</v>
      </c>
      <c r="E148" s="191" t="b">
        <f>IF(D148="Compliant",TRUE,FALSE)</f>
        <v>0</v>
      </c>
      <c r="F148" s="296"/>
      <c r="G148" s="296" t="str">
        <f>IF(I148&lt;&gt;"", "Not Blank", "")</f>
        <v/>
      </c>
      <c r="H148" s="296"/>
      <c r="I148" s="296"/>
      <c r="J148" s="296" t="str">
        <f>IF(L148&lt;&gt;"", "Not Blank", "")</f>
        <v/>
      </c>
      <c r="K148" s="296"/>
      <c r="L148" s="296"/>
      <c r="M148" s="297"/>
      <c r="N148" s="4447"/>
      <c r="O148" s="4527"/>
      <c r="P148" s="127"/>
      <c r="Q148" s="1862" t="s">
        <v>3</v>
      </c>
      <c r="R148" s="1543" t="b">
        <f t="shared" si="23"/>
        <v>0</v>
      </c>
      <c r="S148" s="79"/>
      <c r="T148" s="79"/>
      <c r="U148" s="127"/>
      <c r="V148" s="4447"/>
      <c r="W148" s="4500"/>
      <c r="X148" s="2146"/>
      <c r="Y148" s="79"/>
      <c r="Z148" s="127"/>
      <c r="AW148" s="67"/>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68"/>
    </row>
    <row r="149" spans="1:84" s="28" customFormat="1" ht="44.5" thickTop="1" thickBot="1" x14ac:dyDescent="0.35">
      <c r="A149" s="28">
        <v>11.2</v>
      </c>
      <c r="B149" s="2889"/>
      <c r="C149" s="1506" t="s">
        <v>1450</v>
      </c>
      <c r="D149" s="102" t="s">
        <v>3</v>
      </c>
      <c r="E149" s="591" t="b">
        <f>IF(D149="Compliant",TRUE,FALSE)</f>
        <v>0</v>
      </c>
      <c r="F149" s="215"/>
      <c r="G149" s="215" t="str">
        <f>IF(I149&lt;&gt;"", "Not Blank", "")</f>
        <v/>
      </c>
      <c r="H149" s="215"/>
      <c r="I149" s="215"/>
      <c r="J149" s="215" t="str">
        <f>IF(L149&lt;&gt;"", "Not Blank", "")</f>
        <v/>
      </c>
      <c r="K149" s="215"/>
      <c r="L149" s="215"/>
      <c r="M149" s="330"/>
      <c r="N149" s="1188" t="s">
        <v>3</v>
      </c>
      <c r="O149" s="1259" t="b">
        <f>IF(OR(N149="Compliant",N149="FE with work-a-round",N149="Functionally Equivalent"),TRUE,FALSE)</f>
        <v>0</v>
      </c>
      <c r="P149" s="134"/>
      <c r="Q149" s="1188" t="s">
        <v>3</v>
      </c>
      <c r="R149" s="892" t="b">
        <f t="shared" si="23"/>
        <v>0</v>
      </c>
      <c r="S149" s="133"/>
      <c r="T149" s="133"/>
      <c r="U149" s="134"/>
      <c r="V149" s="1188" t="s">
        <v>3</v>
      </c>
      <c r="W149" s="2595" t="b">
        <f>IF(OR(V149="Compliant",V149="FE with work-a-round",V149="Functionally Equivalent",V149="Not Required/Applicable"),TRUE,FALSE)</f>
        <v>0</v>
      </c>
      <c r="X149" s="1033"/>
      <c r="Y149" s="133"/>
      <c r="Z149" s="134"/>
      <c r="AW149" s="67"/>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68"/>
    </row>
    <row r="150" spans="1:84" s="28" customFormat="1" ht="160.5" thickTop="1" thickBot="1" x14ac:dyDescent="0.35">
      <c r="A150" s="28">
        <v>11.3</v>
      </c>
      <c r="B150" s="2884"/>
      <c r="C150" s="1867" t="s">
        <v>1451</v>
      </c>
      <c r="D150" s="2135" t="s">
        <v>3</v>
      </c>
      <c r="E150" s="492" t="b">
        <f>IF(D150="Compliant",TRUE,FALSE)</f>
        <v>0</v>
      </c>
      <c r="F150" s="299"/>
      <c r="G150" s="299" t="str">
        <f>IF(I150&lt;&gt;"", "Not Blank", "")</f>
        <v/>
      </c>
      <c r="H150" s="299"/>
      <c r="I150" s="299"/>
      <c r="J150" s="299" t="str">
        <f>IF(L150&lt;&gt;"", "Not Blank", "")</f>
        <v/>
      </c>
      <c r="K150" s="299"/>
      <c r="L150" s="299"/>
      <c r="M150" s="300"/>
      <c r="N150" s="1375" t="s">
        <v>3</v>
      </c>
      <c r="O150" s="2143" t="b">
        <f>IF(OR(N150="Compliant",N150="FE with work-a-round",N150="Functionally Equivalent"),TRUE,FALSE)</f>
        <v>0</v>
      </c>
      <c r="P150" s="135"/>
      <c r="Q150" s="1863" t="s">
        <v>3</v>
      </c>
      <c r="R150" s="1444" t="b">
        <f t="shared" si="23"/>
        <v>0</v>
      </c>
      <c r="S150" s="160"/>
      <c r="T150" s="160"/>
      <c r="U150" s="135"/>
      <c r="V150" s="1375" t="s">
        <v>3</v>
      </c>
      <c r="W150" s="620" t="b">
        <f>IF(OR(V150="Compliant",V150="FE with work-a-round",V150="Functionally Equivalent",V150="Not Required/Applicable"),TRUE,FALSE)</f>
        <v>0</v>
      </c>
      <c r="X150" s="1267"/>
      <c r="Y150" s="160"/>
      <c r="Z150" s="135"/>
      <c r="AW150" s="67"/>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68"/>
    </row>
    <row r="151" spans="1:84" s="28" customFormat="1" ht="73.5" thickTop="1" thickBot="1" x14ac:dyDescent="0.35">
      <c r="A151" s="28">
        <v>11.4</v>
      </c>
      <c r="B151" s="2890" t="s">
        <v>1663</v>
      </c>
      <c r="C151" s="1506" t="s">
        <v>1452</v>
      </c>
      <c r="D151" s="1870" t="s">
        <v>565</v>
      </c>
      <c r="E151" s="1850" t="b">
        <f>IF(AND(E152=TRUE,E153=TRUE,E154=TRUE,E155=TRUE,E156=TRUE,E157=TRUE,E158=TRUE,E159=TRUE,E160=TRUE,E161=TRUE,E162=TRUE,E163=TRUE,E164=TRUE,E165=TRUE,E166=TRUE,E167=TRUE,E168=TRUE,E169=TRUE,E170=TRUE,E171=TRUE,E172=TRUE,E173=TRUE,E174=TRUE,E175=TRUE),TRUE,FALSE)</f>
        <v>0</v>
      </c>
      <c r="F151" s="1851">
        <f>COUNTIF(E152:E175,TRUE)</f>
        <v>0</v>
      </c>
      <c r="G151" s="1851">
        <f>COUNTIFS(E152:E175,TRUE,G152:G175,"Not Blank")</f>
        <v>0</v>
      </c>
      <c r="H151" s="1851">
        <f>COUNTIFS(E152:E175,FALSE,G152:G175,"Not Blank")</f>
        <v>0</v>
      </c>
      <c r="I151" s="2950" t="str">
        <f xml:space="preserve">
IF(F151&gt;24,"Too Many Entries - Check Red Lines",
IF(AND(E151=FALSE,G151=0,H151=0),"Nothing Entered below Yet",
IF(AND(G151=0,H151&gt;0),"**Non-Valid Entry/ies below - Check Yellow Line/s",
IF(G151&lt;F151,"Valid Entry required below - Check Amber box",
IF(AND(G151&gt;0,H151&gt;0),"**Valid and Non-Valid Entries made below - Check Yellow Line/s",
IF(AND(E151=FALSE,F151&lt;24),"Not all requirements addressed below - Check Pink Line/s",
IF(AND(E151=FALSE,G151&lt;24,G151&gt;0,H151=0),"More entries to come",
IF(AND(E151,TRUE,G151=24,H151=0),"Valid Entries made below"
))))))))</f>
        <v>Nothing Entered below Yet</v>
      </c>
      <c r="J151" s="2950">
        <f>COUNTIFS(E152:E175,TRUE,J152:J175,"Not Blank")</f>
        <v>0</v>
      </c>
      <c r="K151" s="2950">
        <f>COUNTIFS(E152:E175,FALSE,J152:J175,"Not Blank")</f>
        <v>0</v>
      </c>
      <c r="L151" s="2950" t="str">
        <f xml:space="preserve">
IF(J151&gt;24,"Too Many Entries - Check Red Lines",
IF(AND(E151=FALSE,J151=0,K151=0,E151=TRUE),"Nothing Required Below",
IF(J151&lt;F151,"Valid Entry required below - Check Amber Line/s",
IF(AND(E151=FALSE,J151=0,K151=0),"Nothing Entered below Yet",
IF(AND(J151=0,K151&gt;0),"**Non-Valid Entry/ies below - Check Yellow Line/s",
IF(AND(J151&gt;0,K151&gt;0),"**Valid and Non-Valid Entries made below - Check Yellow Line/s",
IF(AND(E151=FALSE,J151&lt;24),"Not all requirements addressed below - Check Pink Line/s",
IF(AND(E151=FALSE,J151&lt;24,J151&gt;0,K151=0),"More entries to come",
IF(AND(E151,TRUE,J151=24,K151=0),"Valid Entries made below"
)))))))))</f>
        <v>Nothing Entered below Yet</v>
      </c>
      <c r="M151" s="2354"/>
      <c r="N151" s="4446" t="s">
        <v>3</v>
      </c>
      <c r="O151" s="4526" t="b">
        <f>IF(OR(N151="Compliant",N151="FE with work-a-round",N151="Functionally Equivalent"),TRUE,FALSE)</f>
        <v>0</v>
      </c>
      <c r="P151" s="102"/>
      <c r="Q151" s="4103" t="s">
        <v>565</v>
      </c>
      <c r="R151" s="814" t="b">
        <f>IF(AND(R152=TRUE,R153=TRUE,R154=TRUE,R155=TRUE,R156=TRUE,R157=TRUE,R158=TRUE,R159=TRUE,R160=TRUE,R161=TRUE,R162=TRUE,R163=TRUE,R164=TRUE,R165=TRUE,R166=TRUE,R167=TRUE,R168=TRUE,R169=TRUE,R170=TRUE,R171=TRUE,R172=TRUE,R173=TRUE,R174=TRUE,R175=TRUE),TRUE,FALSE)</f>
        <v>0</v>
      </c>
      <c r="S151" s="111"/>
      <c r="T151" s="111"/>
      <c r="U151" s="120"/>
      <c r="V151" s="4446" t="s">
        <v>3</v>
      </c>
      <c r="W151" s="4499" t="b">
        <f>IF(OR(V151="Compliant",V151="FE with work-a-round",V151="Functionally Equivalent",V151="Not Required/Applicable"),TRUE,FALSE)</f>
        <v>0</v>
      </c>
      <c r="X151" s="2145"/>
      <c r="Y151" s="111"/>
      <c r="Z151" s="120"/>
      <c r="AW151" s="67"/>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68"/>
    </row>
    <row r="152" spans="1:84" s="28" customFormat="1" ht="29.5" thickTop="1" x14ac:dyDescent="0.3">
      <c r="B152" s="1504"/>
      <c r="C152" s="2887" t="s">
        <v>807</v>
      </c>
      <c r="D152" s="1013" t="s">
        <v>3</v>
      </c>
      <c r="E152" s="294" t="b">
        <f t="shared" ref="E152:E175" si="24">IF(D152="Compliant",TRUE,FALSE)</f>
        <v>0</v>
      </c>
      <c r="F152" s="281"/>
      <c r="G152" s="281" t="str">
        <f t="shared" ref="G152:G175" si="25">IF(I152&lt;&gt;"", "Not Blank", "")</f>
        <v/>
      </c>
      <c r="H152" s="281"/>
      <c r="I152" s="301"/>
      <c r="J152" s="301" t="str">
        <f t="shared" ref="J152:J175" si="26">IF(L152&lt;&gt;"", "Not Blank", "")</f>
        <v/>
      </c>
      <c r="K152" s="301"/>
      <c r="L152" s="301"/>
      <c r="M152" s="298"/>
      <c r="N152" s="4447"/>
      <c r="O152" s="4527"/>
      <c r="P152" s="128"/>
      <c r="Q152" s="1863" t="s">
        <v>3</v>
      </c>
      <c r="R152" s="737" t="b">
        <f>IF(OR(Q152="Compliant",Q152="FE with work-a-round",Q152="Functionally Equivalent"),TRUE,FALSE)</f>
        <v>0</v>
      </c>
      <c r="S152" s="44"/>
      <c r="T152" s="44"/>
      <c r="U152" s="68"/>
      <c r="V152" s="4447"/>
      <c r="W152" s="4500"/>
      <c r="X152" s="2146"/>
      <c r="Y152" s="44"/>
      <c r="Z152" s="122"/>
      <c r="AW152" s="67"/>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68"/>
    </row>
    <row r="153" spans="1:84" s="28" customFormat="1" ht="43.5" x14ac:dyDescent="0.3">
      <c r="B153" s="1504"/>
      <c r="C153" s="2883" t="s">
        <v>1453</v>
      </c>
      <c r="D153" s="319" t="s">
        <v>3</v>
      </c>
      <c r="E153" s="294" t="b">
        <f t="shared" si="24"/>
        <v>0</v>
      </c>
      <c r="F153" s="281"/>
      <c r="G153" s="281" t="str">
        <f t="shared" si="25"/>
        <v/>
      </c>
      <c r="H153" s="281"/>
      <c r="I153" s="281"/>
      <c r="J153" s="281" t="str">
        <f t="shared" si="26"/>
        <v/>
      </c>
      <c r="K153" s="281"/>
      <c r="L153" s="281"/>
      <c r="M153" s="282"/>
      <c r="N153" s="4447"/>
      <c r="O153" s="4527"/>
      <c r="P153" s="122"/>
      <c r="Q153" s="1060" t="s">
        <v>3</v>
      </c>
      <c r="R153" s="737" t="b">
        <f t="shared" ref="R153:R175" si="27">IF(OR(Q153="Compliant",Q153="FE with work-a-round",Q153="Functionally Equivalent"),TRUE,FALSE)</f>
        <v>0</v>
      </c>
      <c r="S153" s="44"/>
      <c r="T153" s="44"/>
      <c r="U153" s="122"/>
      <c r="V153" s="4447"/>
      <c r="W153" s="4500"/>
      <c r="X153" s="2146"/>
      <c r="Y153" s="44"/>
      <c r="Z153" s="122"/>
      <c r="AW153" s="67"/>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68"/>
    </row>
    <row r="154" spans="1:84" s="28" customFormat="1" ht="29" x14ac:dyDescent="0.3">
      <c r="B154" s="1504"/>
      <c r="C154" s="2883" t="s">
        <v>1500</v>
      </c>
      <c r="D154" s="319" t="s">
        <v>3</v>
      </c>
      <c r="E154" s="294" t="b">
        <f t="shared" si="24"/>
        <v>0</v>
      </c>
      <c r="F154" s="281"/>
      <c r="G154" s="281" t="str">
        <f t="shared" si="25"/>
        <v/>
      </c>
      <c r="H154" s="281"/>
      <c r="I154" s="281"/>
      <c r="J154" s="281" t="str">
        <f t="shared" si="26"/>
        <v/>
      </c>
      <c r="K154" s="281"/>
      <c r="L154" s="281"/>
      <c r="M154" s="282"/>
      <c r="N154" s="4447"/>
      <c r="O154" s="4527"/>
      <c r="P154" s="122"/>
      <c r="Q154" s="1060" t="s">
        <v>3</v>
      </c>
      <c r="R154" s="737" t="b">
        <f t="shared" si="27"/>
        <v>0</v>
      </c>
      <c r="S154" s="44"/>
      <c r="T154" s="44"/>
      <c r="U154" s="122"/>
      <c r="V154" s="4447"/>
      <c r="W154" s="4500"/>
      <c r="X154" s="2146"/>
      <c r="Y154" s="44"/>
      <c r="Z154" s="122"/>
      <c r="AW154" s="67"/>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68"/>
    </row>
    <row r="155" spans="1:84" s="28" customFormat="1" ht="43.5" x14ac:dyDescent="0.3">
      <c r="B155" s="1504"/>
      <c r="C155" s="2883" t="s">
        <v>804</v>
      </c>
      <c r="D155" s="319" t="s">
        <v>3</v>
      </c>
      <c r="E155" s="294" t="b">
        <f t="shared" si="24"/>
        <v>0</v>
      </c>
      <c r="F155" s="281"/>
      <c r="G155" s="281" t="str">
        <f t="shared" si="25"/>
        <v/>
      </c>
      <c r="H155" s="281"/>
      <c r="I155" s="281"/>
      <c r="J155" s="281" t="str">
        <f t="shared" si="26"/>
        <v/>
      </c>
      <c r="K155" s="281"/>
      <c r="L155" s="281"/>
      <c r="M155" s="282"/>
      <c r="N155" s="4447"/>
      <c r="O155" s="4527"/>
      <c r="P155" s="122"/>
      <c r="Q155" s="1060" t="s">
        <v>3</v>
      </c>
      <c r="R155" s="737" t="b">
        <f t="shared" si="27"/>
        <v>0</v>
      </c>
      <c r="S155" s="44"/>
      <c r="T155" s="44"/>
      <c r="U155" s="122"/>
      <c r="V155" s="4447"/>
      <c r="W155" s="4500"/>
      <c r="X155" s="2146"/>
      <c r="Y155" s="44"/>
      <c r="Z155" s="122"/>
      <c r="AW155" s="67"/>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68"/>
    </row>
    <row r="156" spans="1:84" s="28" customFormat="1" ht="43.5" x14ac:dyDescent="0.3">
      <c r="B156" s="1504"/>
      <c r="C156" s="2883" t="s">
        <v>803</v>
      </c>
      <c r="D156" s="319" t="s">
        <v>3</v>
      </c>
      <c r="E156" s="294" t="b">
        <f t="shared" si="24"/>
        <v>0</v>
      </c>
      <c r="F156" s="281"/>
      <c r="G156" s="281" t="str">
        <f t="shared" si="25"/>
        <v/>
      </c>
      <c r="H156" s="281"/>
      <c r="I156" s="281"/>
      <c r="J156" s="281" t="str">
        <f t="shared" si="26"/>
        <v/>
      </c>
      <c r="K156" s="281"/>
      <c r="L156" s="281"/>
      <c r="M156" s="282"/>
      <c r="N156" s="4447"/>
      <c r="O156" s="4527"/>
      <c r="P156" s="122"/>
      <c r="Q156" s="1060" t="s">
        <v>3</v>
      </c>
      <c r="R156" s="737" t="b">
        <f t="shared" si="27"/>
        <v>0</v>
      </c>
      <c r="S156" s="44"/>
      <c r="T156" s="44"/>
      <c r="U156" s="122"/>
      <c r="V156" s="4447"/>
      <c r="W156" s="4500"/>
      <c r="X156" s="2146"/>
      <c r="Y156" s="44"/>
      <c r="Z156" s="122"/>
      <c r="AW156" s="67"/>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68"/>
    </row>
    <row r="157" spans="1:84" s="28" customFormat="1" ht="43.5" x14ac:dyDescent="0.3">
      <c r="B157" s="1504"/>
      <c r="C157" s="2883" t="s">
        <v>802</v>
      </c>
      <c r="D157" s="319" t="s">
        <v>3</v>
      </c>
      <c r="E157" s="294" t="b">
        <f t="shared" si="24"/>
        <v>0</v>
      </c>
      <c r="F157" s="281"/>
      <c r="G157" s="281" t="str">
        <f t="shared" si="25"/>
        <v/>
      </c>
      <c r="H157" s="281"/>
      <c r="I157" s="281"/>
      <c r="J157" s="281" t="str">
        <f t="shared" si="26"/>
        <v/>
      </c>
      <c r="K157" s="281"/>
      <c r="L157" s="281"/>
      <c r="M157" s="282"/>
      <c r="N157" s="4447"/>
      <c r="O157" s="4527"/>
      <c r="P157" s="122"/>
      <c r="Q157" s="1060" t="s">
        <v>3</v>
      </c>
      <c r="R157" s="737" t="b">
        <f t="shared" si="27"/>
        <v>0</v>
      </c>
      <c r="S157" s="44"/>
      <c r="T157" s="44"/>
      <c r="U157" s="122"/>
      <c r="V157" s="4447"/>
      <c r="W157" s="4500"/>
      <c r="X157" s="2146"/>
      <c r="Y157" s="44"/>
      <c r="Z157" s="122"/>
      <c r="AW157" s="67"/>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68"/>
    </row>
    <row r="158" spans="1:84" s="28" customFormat="1" ht="29" x14ac:dyDescent="0.3">
      <c r="B158" s="1504"/>
      <c r="C158" s="2883" t="s">
        <v>801</v>
      </c>
      <c r="D158" s="319" t="s">
        <v>3</v>
      </c>
      <c r="E158" s="294" t="b">
        <f t="shared" si="24"/>
        <v>0</v>
      </c>
      <c r="F158" s="281"/>
      <c r="G158" s="281" t="str">
        <f t="shared" si="25"/>
        <v/>
      </c>
      <c r="H158" s="281"/>
      <c r="I158" s="281"/>
      <c r="J158" s="281" t="str">
        <f t="shared" si="26"/>
        <v/>
      </c>
      <c r="K158" s="281"/>
      <c r="L158" s="281"/>
      <c r="M158" s="282"/>
      <c r="N158" s="4447"/>
      <c r="O158" s="4527"/>
      <c r="P158" s="122"/>
      <c r="Q158" s="1060" t="s">
        <v>3</v>
      </c>
      <c r="R158" s="737" t="b">
        <f t="shared" si="27"/>
        <v>0</v>
      </c>
      <c r="S158" s="44"/>
      <c r="T158" s="44"/>
      <c r="U158" s="122"/>
      <c r="V158" s="4447"/>
      <c r="W158" s="4500"/>
      <c r="X158" s="2146"/>
      <c r="Y158" s="44"/>
      <c r="Z158" s="122"/>
      <c r="AW158" s="67"/>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68"/>
    </row>
    <row r="159" spans="1:84" s="28" customFormat="1" ht="43.5" x14ac:dyDescent="0.3">
      <c r="B159" s="1504"/>
      <c r="C159" s="2883" t="s">
        <v>800</v>
      </c>
      <c r="D159" s="319" t="s">
        <v>3</v>
      </c>
      <c r="E159" s="294" t="b">
        <f t="shared" si="24"/>
        <v>0</v>
      </c>
      <c r="F159" s="281"/>
      <c r="G159" s="281" t="str">
        <f t="shared" si="25"/>
        <v/>
      </c>
      <c r="H159" s="281"/>
      <c r="I159" s="281"/>
      <c r="J159" s="281" t="str">
        <f t="shared" si="26"/>
        <v/>
      </c>
      <c r="K159" s="281"/>
      <c r="L159" s="281"/>
      <c r="M159" s="282"/>
      <c r="N159" s="4447"/>
      <c r="O159" s="4527"/>
      <c r="P159" s="122"/>
      <c r="Q159" s="1060" t="s">
        <v>3</v>
      </c>
      <c r="R159" s="737" t="b">
        <f t="shared" si="27"/>
        <v>0</v>
      </c>
      <c r="S159" s="44"/>
      <c r="T159" s="44"/>
      <c r="U159" s="122"/>
      <c r="V159" s="4447"/>
      <c r="W159" s="4500"/>
      <c r="X159" s="2146"/>
      <c r="Y159" s="44"/>
      <c r="Z159" s="122"/>
      <c r="AW159" s="67"/>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68"/>
    </row>
    <row r="160" spans="1:84" s="28" customFormat="1" ht="29" x14ac:dyDescent="0.3">
      <c r="B160" s="1504"/>
      <c r="C160" s="2883" t="s">
        <v>799</v>
      </c>
      <c r="D160" s="319" t="s">
        <v>3</v>
      </c>
      <c r="E160" s="294" t="b">
        <f t="shared" si="24"/>
        <v>0</v>
      </c>
      <c r="F160" s="281"/>
      <c r="G160" s="281" t="str">
        <f t="shared" si="25"/>
        <v/>
      </c>
      <c r="H160" s="281"/>
      <c r="I160" s="281"/>
      <c r="J160" s="281" t="str">
        <f t="shared" si="26"/>
        <v/>
      </c>
      <c r="K160" s="281"/>
      <c r="L160" s="281"/>
      <c r="M160" s="282"/>
      <c r="N160" s="4447"/>
      <c r="O160" s="4527"/>
      <c r="P160" s="122"/>
      <c r="Q160" s="1060" t="s">
        <v>3</v>
      </c>
      <c r="R160" s="737" t="b">
        <f t="shared" si="27"/>
        <v>0</v>
      </c>
      <c r="S160" s="44"/>
      <c r="T160" s="44"/>
      <c r="U160" s="122"/>
      <c r="V160" s="4447"/>
      <c r="W160" s="4500"/>
      <c r="X160" s="2146"/>
      <c r="Y160" s="44"/>
      <c r="Z160" s="122"/>
      <c r="AW160" s="67"/>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68"/>
    </row>
    <row r="161" spans="1:84" s="28" customFormat="1" ht="29" x14ac:dyDescent="0.3">
      <c r="B161" s="1504"/>
      <c r="C161" s="2883" t="s">
        <v>798</v>
      </c>
      <c r="D161" s="319" t="s">
        <v>3</v>
      </c>
      <c r="E161" s="294" t="b">
        <f t="shared" si="24"/>
        <v>0</v>
      </c>
      <c r="F161" s="281"/>
      <c r="G161" s="281" t="str">
        <f t="shared" si="25"/>
        <v/>
      </c>
      <c r="H161" s="281"/>
      <c r="I161" s="281"/>
      <c r="J161" s="281" t="str">
        <f t="shared" si="26"/>
        <v/>
      </c>
      <c r="K161" s="281"/>
      <c r="L161" s="281"/>
      <c r="M161" s="282"/>
      <c r="N161" s="4447"/>
      <c r="O161" s="4527"/>
      <c r="P161" s="122"/>
      <c r="Q161" s="1060" t="s">
        <v>3</v>
      </c>
      <c r="R161" s="737" t="b">
        <f t="shared" si="27"/>
        <v>0</v>
      </c>
      <c r="S161" s="44"/>
      <c r="T161" s="44"/>
      <c r="U161" s="122"/>
      <c r="V161" s="4447"/>
      <c r="W161" s="4500"/>
      <c r="X161" s="2146"/>
      <c r="Y161" s="44"/>
      <c r="Z161" s="122"/>
      <c r="AW161" s="67"/>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68"/>
    </row>
    <row r="162" spans="1:84" s="28" customFormat="1" ht="29" x14ac:dyDescent="0.3">
      <c r="B162" s="1504"/>
      <c r="C162" s="2883" t="s">
        <v>797</v>
      </c>
      <c r="D162" s="319" t="s">
        <v>3</v>
      </c>
      <c r="E162" s="294" t="b">
        <f t="shared" si="24"/>
        <v>0</v>
      </c>
      <c r="F162" s="281"/>
      <c r="G162" s="281" t="str">
        <f t="shared" si="25"/>
        <v/>
      </c>
      <c r="H162" s="281"/>
      <c r="I162" s="281"/>
      <c r="J162" s="281" t="str">
        <f t="shared" si="26"/>
        <v/>
      </c>
      <c r="K162" s="281"/>
      <c r="L162" s="281"/>
      <c r="M162" s="282"/>
      <c r="N162" s="4447"/>
      <c r="O162" s="4527"/>
      <c r="P162" s="122"/>
      <c r="Q162" s="1060" t="s">
        <v>3</v>
      </c>
      <c r="R162" s="737" t="b">
        <f t="shared" si="27"/>
        <v>0</v>
      </c>
      <c r="S162" s="44"/>
      <c r="T162" s="44"/>
      <c r="U162" s="122"/>
      <c r="V162" s="4447"/>
      <c r="W162" s="4500"/>
      <c r="X162" s="2146"/>
      <c r="Y162" s="44"/>
      <c r="Z162" s="122"/>
      <c r="AW162" s="67"/>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68"/>
    </row>
    <row r="163" spans="1:84" s="28" customFormat="1" ht="29" x14ac:dyDescent="0.3">
      <c r="B163" s="1504"/>
      <c r="C163" s="2883" t="s">
        <v>796</v>
      </c>
      <c r="D163" s="319" t="s">
        <v>3</v>
      </c>
      <c r="E163" s="294" t="b">
        <f t="shared" si="24"/>
        <v>0</v>
      </c>
      <c r="F163" s="281"/>
      <c r="G163" s="281" t="str">
        <f t="shared" si="25"/>
        <v/>
      </c>
      <c r="H163" s="281"/>
      <c r="I163" s="281"/>
      <c r="J163" s="281" t="str">
        <f t="shared" si="26"/>
        <v/>
      </c>
      <c r="K163" s="281"/>
      <c r="L163" s="281"/>
      <c r="M163" s="282"/>
      <c r="N163" s="4447"/>
      <c r="O163" s="4527"/>
      <c r="P163" s="122"/>
      <c r="Q163" s="1060" t="s">
        <v>3</v>
      </c>
      <c r="R163" s="737" t="b">
        <f t="shared" si="27"/>
        <v>0</v>
      </c>
      <c r="S163" s="44"/>
      <c r="T163" s="44"/>
      <c r="U163" s="122"/>
      <c r="V163" s="4447"/>
      <c r="W163" s="4500"/>
      <c r="X163" s="2146"/>
      <c r="Y163" s="44"/>
      <c r="Z163" s="122"/>
      <c r="AW163" s="67"/>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68"/>
    </row>
    <row r="164" spans="1:84" s="28" customFormat="1" ht="43.5" x14ac:dyDescent="0.3">
      <c r="B164" s="1504"/>
      <c r="C164" s="2883" t="s">
        <v>1454</v>
      </c>
      <c r="D164" s="319" t="s">
        <v>3</v>
      </c>
      <c r="E164" s="294" t="b">
        <f t="shared" si="24"/>
        <v>0</v>
      </c>
      <c r="F164" s="281"/>
      <c r="G164" s="281" t="str">
        <f t="shared" si="25"/>
        <v/>
      </c>
      <c r="H164" s="281"/>
      <c r="I164" s="281"/>
      <c r="J164" s="281" t="str">
        <f t="shared" si="26"/>
        <v/>
      </c>
      <c r="K164" s="281"/>
      <c r="L164" s="281"/>
      <c r="M164" s="282"/>
      <c r="N164" s="4447"/>
      <c r="O164" s="4527"/>
      <c r="P164" s="122"/>
      <c r="Q164" s="1060" t="s">
        <v>3</v>
      </c>
      <c r="R164" s="737" t="b">
        <f t="shared" si="27"/>
        <v>0</v>
      </c>
      <c r="S164" s="44"/>
      <c r="T164" s="44"/>
      <c r="U164" s="122"/>
      <c r="V164" s="4447"/>
      <c r="W164" s="4500"/>
      <c r="X164" s="2146"/>
      <c r="Y164" s="44"/>
      <c r="Z164" s="122"/>
      <c r="AW164" s="67"/>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68"/>
    </row>
    <row r="165" spans="1:84" s="28" customFormat="1" ht="29" x14ac:dyDescent="0.3">
      <c r="B165" s="1504"/>
      <c r="C165" s="2883" t="s">
        <v>794</v>
      </c>
      <c r="D165" s="319" t="s">
        <v>3</v>
      </c>
      <c r="E165" s="294" t="b">
        <f t="shared" si="24"/>
        <v>0</v>
      </c>
      <c r="F165" s="281"/>
      <c r="G165" s="281" t="str">
        <f t="shared" si="25"/>
        <v/>
      </c>
      <c r="H165" s="281"/>
      <c r="I165" s="281"/>
      <c r="J165" s="281" t="str">
        <f t="shared" si="26"/>
        <v/>
      </c>
      <c r="K165" s="281"/>
      <c r="L165" s="281"/>
      <c r="M165" s="282"/>
      <c r="N165" s="4447"/>
      <c r="O165" s="4527"/>
      <c r="P165" s="122"/>
      <c r="Q165" s="1060" t="s">
        <v>3</v>
      </c>
      <c r="R165" s="737" t="b">
        <f t="shared" si="27"/>
        <v>0</v>
      </c>
      <c r="S165" s="44"/>
      <c r="T165" s="44"/>
      <c r="U165" s="122"/>
      <c r="V165" s="4447"/>
      <c r="W165" s="4500"/>
      <c r="X165" s="2146"/>
      <c r="Y165" s="44"/>
      <c r="Z165" s="122"/>
      <c r="AW165" s="67"/>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68"/>
    </row>
    <row r="166" spans="1:84" s="28" customFormat="1" ht="43.5" x14ac:dyDescent="0.3">
      <c r="B166" s="1504"/>
      <c r="C166" s="2883" t="s">
        <v>793</v>
      </c>
      <c r="D166" s="319" t="s">
        <v>3</v>
      </c>
      <c r="E166" s="294" t="b">
        <f t="shared" si="24"/>
        <v>0</v>
      </c>
      <c r="F166" s="281"/>
      <c r="G166" s="281" t="str">
        <f t="shared" si="25"/>
        <v/>
      </c>
      <c r="H166" s="281"/>
      <c r="I166" s="281"/>
      <c r="J166" s="281" t="str">
        <f t="shared" si="26"/>
        <v/>
      </c>
      <c r="K166" s="281"/>
      <c r="L166" s="281"/>
      <c r="M166" s="282"/>
      <c r="N166" s="4447"/>
      <c r="O166" s="4527"/>
      <c r="P166" s="122"/>
      <c r="Q166" s="1060" t="s">
        <v>3</v>
      </c>
      <c r="R166" s="737" t="b">
        <f t="shared" si="27"/>
        <v>0</v>
      </c>
      <c r="S166" s="44"/>
      <c r="T166" s="44"/>
      <c r="U166" s="122"/>
      <c r="V166" s="4447"/>
      <c r="W166" s="4500"/>
      <c r="X166" s="2146"/>
      <c r="Y166" s="44"/>
      <c r="Z166" s="122"/>
      <c r="AW166" s="67"/>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68"/>
    </row>
    <row r="167" spans="1:84" s="28" customFormat="1" ht="29" x14ac:dyDescent="0.3">
      <c r="B167" s="1504"/>
      <c r="C167" s="2883" t="s">
        <v>792</v>
      </c>
      <c r="D167" s="319" t="s">
        <v>3</v>
      </c>
      <c r="E167" s="294" t="b">
        <f t="shared" si="24"/>
        <v>0</v>
      </c>
      <c r="F167" s="281"/>
      <c r="G167" s="281" t="str">
        <f t="shared" si="25"/>
        <v/>
      </c>
      <c r="H167" s="281"/>
      <c r="I167" s="281"/>
      <c r="J167" s="281" t="str">
        <f t="shared" si="26"/>
        <v/>
      </c>
      <c r="K167" s="281"/>
      <c r="L167" s="281"/>
      <c r="M167" s="282"/>
      <c r="N167" s="4447"/>
      <c r="O167" s="4527"/>
      <c r="P167" s="122"/>
      <c r="Q167" s="1060" t="s">
        <v>3</v>
      </c>
      <c r="R167" s="737" t="b">
        <f t="shared" si="27"/>
        <v>0</v>
      </c>
      <c r="S167" s="44"/>
      <c r="T167" s="44"/>
      <c r="U167" s="122"/>
      <c r="V167" s="4447"/>
      <c r="W167" s="4500"/>
      <c r="X167" s="2146"/>
      <c r="Y167" s="44"/>
      <c r="Z167" s="122"/>
      <c r="AW167" s="67"/>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68"/>
    </row>
    <row r="168" spans="1:84" s="28" customFormat="1" ht="29" x14ac:dyDescent="0.3">
      <c r="B168" s="1504"/>
      <c r="C168" s="2883" t="s">
        <v>791</v>
      </c>
      <c r="D168" s="319" t="s">
        <v>3</v>
      </c>
      <c r="E168" s="294" t="b">
        <f t="shared" si="24"/>
        <v>0</v>
      </c>
      <c r="F168" s="281"/>
      <c r="G168" s="281" t="str">
        <f t="shared" si="25"/>
        <v/>
      </c>
      <c r="H168" s="281"/>
      <c r="I168" s="281"/>
      <c r="J168" s="281" t="str">
        <f t="shared" si="26"/>
        <v/>
      </c>
      <c r="K168" s="281"/>
      <c r="L168" s="281"/>
      <c r="M168" s="282"/>
      <c r="N168" s="4447"/>
      <c r="O168" s="4527"/>
      <c r="P168" s="122"/>
      <c r="Q168" s="1060" t="s">
        <v>3</v>
      </c>
      <c r="R168" s="737" t="b">
        <f t="shared" si="27"/>
        <v>0</v>
      </c>
      <c r="S168" s="44"/>
      <c r="T168" s="44"/>
      <c r="U168" s="122"/>
      <c r="V168" s="4447"/>
      <c r="W168" s="4500"/>
      <c r="X168" s="2146"/>
      <c r="Y168" s="44"/>
      <c r="Z168" s="122"/>
      <c r="AW168" s="67"/>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68"/>
    </row>
    <row r="169" spans="1:84" s="28" customFormat="1" ht="43.5" x14ac:dyDescent="0.3">
      <c r="B169" s="1504"/>
      <c r="C169" s="2883" t="s">
        <v>790</v>
      </c>
      <c r="D169" s="319" t="s">
        <v>3</v>
      </c>
      <c r="E169" s="294" t="b">
        <f t="shared" si="24"/>
        <v>0</v>
      </c>
      <c r="F169" s="281"/>
      <c r="G169" s="281" t="str">
        <f t="shared" si="25"/>
        <v/>
      </c>
      <c r="H169" s="281"/>
      <c r="I169" s="281"/>
      <c r="J169" s="281" t="str">
        <f t="shared" si="26"/>
        <v/>
      </c>
      <c r="K169" s="281"/>
      <c r="L169" s="281"/>
      <c r="M169" s="282"/>
      <c r="N169" s="4447"/>
      <c r="O169" s="4527"/>
      <c r="P169" s="122"/>
      <c r="Q169" s="1060" t="s">
        <v>3</v>
      </c>
      <c r="R169" s="737" t="b">
        <f t="shared" si="27"/>
        <v>0</v>
      </c>
      <c r="S169" s="44"/>
      <c r="T169" s="44"/>
      <c r="U169" s="122"/>
      <c r="V169" s="4447"/>
      <c r="W169" s="4500"/>
      <c r="X169" s="2146"/>
      <c r="Y169" s="44"/>
      <c r="Z169" s="122"/>
      <c r="AW169" s="67"/>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68"/>
    </row>
    <row r="170" spans="1:84" s="28" customFormat="1" ht="29" x14ac:dyDescent="0.3">
      <c r="B170" s="1504"/>
      <c r="C170" s="2883" t="s">
        <v>789</v>
      </c>
      <c r="D170" s="319" t="s">
        <v>3</v>
      </c>
      <c r="E170" s="294" t="b">
        <f t="shared" si="24"/>
        <v>0</v>
      </c>
      <c r="F170" s="281"/>
      <c r="G170" s="281" t="str">
        <f t="shared" si="25"/>
        <v/>
      </c>
      <c r="H170" s="281"/>
      <c r="I170" s="281"/>
      <c r="J170" s="281" t="str">
        <f t="shared" si="26"/>
        <v/>
      </c>
      <c r="K170" s="281"/>
      <c r="L170" s="281"/>
      <c r="M170" s="282"/>
      <c r="N170" s="4447"/>
      <c r="O170" s="4527"/>
      <c r="P170" s="122"/>
      <c r="Q170" s="1060" t="s">
        <v>3</v>
      </c>
      <c r="R170" s="737" t="b">
        <f t="shared" si="27"/>
        <v>0</v>
      </c>
      <c r="S170" s="44"/>
      <c r="T170" s="44"/>
      <c r="U170" s="122"/>
      <c r="V170" s="4447"/>
      <c r="W170" s="4500"/>
      <c r="X170" s="2146"/>
      <c r="Y170" s="44"/>
      <c r="Z170" s="122"/>
      <c r="AW170" s="67"/>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68"/>
    </row>
    <row r="171" spans="1:84" s="28" customFormat="1" ht="43.5" x14ac:dyDescent="0.3">
      <c r="B171" s="1504"/>
      <c r="C171" s="2883" t="s">
        <v>788</v>
      </c>
      <c r="D171" s="319" t="s">
        <v>3</v>
      </c>
      <c r="E171" s="294" t="b">
        <f t="shared" si="24"/>
        <v>0</v>
      </c>
      <c r="F171" s="281"/>
      <c r="G171" s="281" t="str">
        <f t="shared" si="25"/>
        <v/>
      </c>
      <c r="H171" s="281"/>
      <c r="I171" s="281"/>
      <c r="J171" s="281" t="str">
        <f t="shared" si="26"/>
        <v/>
      </c>
      <c r="K171" s="281"/>
      <c r="L171" s="281"/>
      <c r="M171" s="282"/>
      <c r="N171" s="4447"/>
      <c r="O171" s="4527"/>
      <c r="P171" s="122"/>
      <c r="Q171" s="1060" t="s">
        <v>3</v>
      </c>
      <c r="R171" s="737" t="b">
        <f t="shared" si="27"/>
        <v>0</v>
      </c>
      <c r="S171" s="44"/>
      <c r="T171" s="44"/>
      <c r="U171" s="122"/>
      <c r="V171" s="4447"/>
      <c r="W171" s="4500"/>
      <c r="X171" s="2146"/>
      <c r="Y171" s="44"/>
      <c r="Z171" s="122"/>
      <c r="AW171" s="67"/>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68"/>
    </row>
    <row r="172" spans="1:84" s="28" customFormat="1" ht="29" x14ac:dyDescent="0.3">
      <c r="B172" s="1504"/>
      <c r="C172" s="2883" t="s">
        <v>1455</v>
      </c>
      <c r="D172" s="319" t="s">
        <v>3</v>
      </c>
      <c r="E172" s="294" t="b">
        <f t="shared" si="24"/>
        <v>0</v>
      </c>
      <c r="F172" s="281"/>
      <c r="G172" s="281" t="str">
        <f t="shared" si="25"/>
        <v/>
      </c>
      <c r="H172" s="281"/>
      <c r="I172" s="281"/>
      <c r="J172" s="281" t="str">
        <f t="shared" si="26"/>
        <v/>
      </c>
      <c r="K172" s="281"/>
      <c r="L172" s="281"/>
      <c r="M172" s="282"/>
      <c r="N172" s="4447"/>
      <c r="O172" s="4527"/>
      <c r="P172" s="122"/>
      <c r="Q172" s="1060" t="s">
        <v>3</v>
      </c>
      <c r="R172" s="737" t="b">
        <f t="shared" si="27"/>
        <v>0</v>
      </c>
      <c r="S172" s="44"/>
      <c r="T172" s="44"/>
      <c r="U172" s="122"/>
      <c r="V172" s="4447"/>
      <c r="W172" s="4500"/>
      <c r="X172" s="2146"/>
      <c r="Y172" s="44"/>
      <c r="Z172" s="122"/>
      <c r="AW172" s="67"/>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68"/>
    </row>
    <row r="173" spans="1:84" s="28" customFormat="1" ht="29" x14ac:dyDescent="0.3">
      <c r="B173" s="1504"/>
      <c r="C173" s="2883" t="s">
        <v>1456</v>
      </c>
      <c r="D173" s="319" t="s">
        <v>3</v>
      </c>
      <c r="E173" s="294" t="b">
        <f t="shared" si="24"/>
        <v>0</v>
      </c>
      <c r="F173" s="281"/>
      <c r="G173" s="281" t="str">
        <f t="shared" si="25"/>
        <v/>
      </c>
      <c r="H173" s="281"/>
      <c r="I173" s="281"/>
      <c r="J173" s="281" t="str">
        <f t="shared" si="26"/>
        <v/>
      </c>
      <c r="K173" s="281"/>
      <c r="L173" s="281"/>
      <c r="M173" s="282"/>
      <c r="N173" s="4447"/>
      <c r="O173" s="4527"/>
      <c r="P173" s="122"/>
      <c r="Q173" s="1060" t="s">
        <v>3</v>
      </c>
      <c r="R173" s="737" t="b">
        <f t="shared" si="27"/>
        <v>0</v>
      </c>
      <c r="S173" s="44"/>
      <c r="T173" s="44"/>
      <c r="U173" s="122"/>
      <c r="V173" s="4447"/>
      <c r="W173" s="4500"/>
      <c r="X173" s="2146"/>
      <c r="Y173" s="44"/>
      <c r="Z173" s="122"/>
      <c r="AW173" s="67"/>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68"/>
    </row>
    <row r="174" spans="1:84" s="28" customFormat="1" ht="29" x14ac:dyDescent="0.3">
      <c r="B174" s="1504"/>
      <c r="C174" s="2883" t="s">
        <v>1457</v>
      </c>
      <c r="D174" s="319" t="s">
        <v>3</v>
      </c>
      <c r="E174" s="294" t="b">
        <f>IF(D174="Compliant",TRUE,FALSE)</f>
        <v>0</v>
      </c>
      <c r="F174" s="281"/>
      <c r="G174" s="281" t="str">
        <f>IF(I174&lt;&gt;"", "Not Blank", "")</f>
        <v/>
      </c>
      <c r="H174" s="281"/>
      <c r="I174" s="281"/>
      <c r="J174" s="281" t="str">
        <f>IF(L174&lt;&gt;"", "Not Blank", "")</f>
        <v/>
      </c>
      <c r="K174" s="281"/>
      <c r="L174" s="281"/>
      <c r="M174" s="282"/>
      <c r="N174" s="4447"/>
      <c r="O174" s="4527"/>
      <c r="P174" s="122"/>
      <c r="Q174" s="1060" t="s">
        <v>3</v>
      </c>
      <c r="R174" s="737" t="b">
        <f t="shared" si="27"/>
        <v>0</v>
      </c>
      <c r="S174" s="44"/>
      <c r="T174" s="44"/>
      <c r="U174" s="122"/>
      <c r="V174" s="4447"/>
      <c r="W174" s="4500"/>
      <c r="X174" s="2146"/>
      <c r="Y174" s="44"/>
      <c r="Z174" s="122"/>
      <c r="AW174" s="67"/>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68"/>
    </row>
    <row r="175" spans="1:84" s="28" customFormat="1" ht="58.5" thickBot="1" x14ac:dyDescent="0.35">
      <c r="B175" s="1505"/>
      <c r="C175" s="2885" t="s">
        <v>1458</v>
      </c>
      <c r="D175" s="230" t="s">
        <v>3</v>
      </c>
      <c r="E175" s="295" t="b">
        <f t="shared" si="24"/>
        <v>0</v>
      </c>
      <c r="F175" s="283"/>
      <c r="G175" s="283" t="str">
        <f t="shared" si="25"/>
        <v/>
      </c>
      <c r="H175" s="283"/>
      <c r="I175" s="283"/>
      <c r="J175" s="283" t="str">
        <f t="shared" si="26"/>
        <v/>
      </c>
      <c r="K175" s="283"/>
      <c r="L175" s="283"/>
      <c r="M175" s="284"/>
      <c r="N175" s="4448"/>
      <c r="O175" s="4528"/>
      <c r="P175" s="125"/>
      <c r="Q175" s="1017" t="s">
        <v>3</v>
      </c>
      <c r="R175" s="738" t="b">
        <f t="shared" si="27"/>
        <v>0</v>
      </c>
      <c r="S175" s="124"/>
      <c r="T175" s="124"/>
      <c r="U175" s="125"/>
      <c r="V175" s="4448"/>
      <c r="W175" s="4501"/>
      <c r="X175" s="831"/>
      <c r="Y175" s="124"/>
      <c r="Z175" s="125"/>
      <c r="AW175" s="67"/>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68"/>
    </row>
    <row r="176" spans="1:84" s="3634" customFormat="1" ht="15" thickTop="1" x14ac:dyDescent="0.3">
      <c r="A176" s="3679"/>
      <c r="N176" s="3636"/>
      <c r="O176" s="3636"/>
      <c r="V176" s="3700"/>
      <c r="W176" s="3992"/>
      <c r="X176" s="3729"/>
      <c r="Y176" s="3729"/>
      <c r="AW176" s="3680"/>
      <c r="AX176" s="3681"/>
      <c r="AY176" s="3681"/>
      <c r="AZ176" s="3681"/>
      <c r="BA176" s="3681"/>
      <c r="BB176" s="3681"/>
      <c r="BC176" s="3681"/>
      <c r="BD176" s="3681"/>
      <c r="BE176" s="3681"/>
      <c r="BF176" s="3681"/>
      <c r="BG176" s="3681"/>
      <c r="BH176" s="3681"/>
      <c r="BI176" s="3681"/>
      <c r="BJ176" s="3681"/>
      <c r="BK176" s="3681"/>
      <c r="BL176" s="3681"/>
      <c r="BM176" s="3681"/>
      <c r="BN176" s="3681"/>
      <c r="BO176" s="3681"/>
      <c r="BP176" s="3681"/>
      <c r="BQ176" s="3681"/>
      <c r="BR176" s="3681"/>
      <c r="BS176" s="3681"/>
      <c r="BT176" s="3681"/>
      <c r="BU176" s="3681"/>
      <c r="BV176" s="3681"/>
      <c r="BW176" s="3681"/>
      <c r="BX176" s="3681"/>
      <c r="BY176" s="3681"/>
      <c r="BZ176" s="3681"/>
      <c r="CA176" s="3681"/>
      <c r="CB176" s="3681"/>
      <c r="CC176" s="3681"/>
      <c r="CD176" s="3681"/>
      <c r="CE176" s="3681"/>
      <c r="CF176" s="3682"/>
    </row>
    <row r="177" spans="1:84" s="4020" customFormat="1" ht="18.649999999999999" customHeight="1" x14ac:dyDescent="0.3">
      <c r="A177" s="4482" t="s">
        <v>1245</v>
      </c>
      <c r="B177" s="4483"/>
      <c r="C177" s="4483"/>
      <c r="D177" s="4483"/>
      <c r="E177" s="4483"/>
      <c r="F177" s="4483"/>
      <c r="G177" s="4483"/>
      <c r="H177" s="4483"/>
      <c r="I177" s="4483"/>
      <c r="J177" s="4483"/>
      <c r="K177" s="4483"/>
      <c r="L177" s="4483"/>
      <c r="M177" s="4483"/>
      <c r="N177" s="4483"/>
      <c r="O177" s="3669"/>
      <c r="P177" s="3683"/>
      <c r="Q177" s="3683"/>
      <c r="R177" s="4070"/>
      <c r="S177" s="3684"/>
      <c r="T177" s="3685"/>
      <c r="U177" s="3685"/>
      <c r="V177" s="3669"/>
      <c r="W177" s="4050"/>
      <c r="X177" s="3683"/>
      <c r="Y177" s="3684"/>
      <c r="Z177" s="3685"/>
    </row>
    <row r="178" spans="1:84" s="3634" customFormat="1" ht="15" thickBot="1" x14ac:dyDescent="0.35">
      <c r="A178" s="3638"/>
      <c r="B178" s="3638"/>
      <c r="C178" s="3638"/>
      <c r="E178" s="3638"/>
      <c r="F178" s="3638"/>
      <c r="G178" s="3638"/>
      <c r="H178" s="3638"/>
      <c r="I178" s="3638"/>
      <c r="J178" s="3638"/>
      <c r="K178" s="3638"/>
      <c r="L178" s="3740"/>
      <c r="M178" s="3638"/>
      <c r="N178" s="3636"/>
      <c r="O178" s="3636"/>
      <c r="V178" s="3639"/>
      <c r="W178" s="3636"/>
      <c r="AW178" s="3687"/>
      <c r="AX178" s="3688"/>
      <c r="AY178" s="3688"/>
      <c r="AZ178" s="3688"/>
      <c r="BA178" s="3688"/>
      <c r="BB178" s="3688"/>
      <c r="BC178" s="3688"/>
      <c r="BD178" s="3688"/>
      <c r="BE178" s="3688"/>
      <c r="BF178" s="3688"/>
      <c r="BG178" s="3688"/>
      <c r="BH178" s="3688"/>
      <c r="BI178" s="3688"/>
      <c r="BJ178" s="3688"/>
      <c r="BK178" s="3688"/>
      <c r="BL178" s="3688"/>
      <c r="BM178" s="3688"/>
      <c r="BN178" s="3688"/>
      <c r="BO178" s="3688"/>
      <c r="BP178" s="3688"/>
      <c r="BQ178" s="3688"/>
      <c r="BR178" s="3688"/>
      <c r="BS178" s="3688"/>
      <c r="BT178" s="3688"/>
      <c r="BU178" s="3688"/>
      <c r="BV178" s="3688"/>
      <c r="BW178" s="3688"/>
      <c r="BX178" s="3688"/>
      <c r="BY178" s="3688"/>
      <c r="BZ178" s="3688"/>
      <c r="CA178" s="3688"/>
      <c r="CB178" s="3688"/>
      <c r="CC178" s="3688"/>
      <c r="CD178" s="3688"/>
      <c r="CE178" s="3688"/>
      <c r="CF178" s="3689"/>
    </row>
    <row r="179" spans="1:84" s="2603" customFormat="1" ht="30" thickTop="1" thickBot="1" x14ac:dyDescent="0.35">
      <c r="A179" s="2598" t="s">
        <v>151</v>
      </c>
      <c r="B179" s="2864" t="s">
        <v>1839</v>
      </c>
      <c r="C179" s="1700" t="s">
        <v>1488</v>
      </c>
      <c r="D179" s="2927" t="s">
        <v>1459</v>
      </c>
      <c r="E179" s="573" t="b">
        <f>IF(AND(E180=TRUE,E181=TRUE,E194=TRUE,E209=TRUE),TRUE,FALSE)</f>
        <v>0</v>
      </c>
      <c r="F179" s="388">
        <f>SUM(F181,F194,F209)+COUNTIF(E180,TRUE)</f>
        <v>0</v>
      </c>
      <c r="G179" s="388">
        <f>SUM(G181,G194,G209)+COUNTIF(G180,"Not Blank")</f>
        <v>0</v>
      </c>
      <c r="H179" s="388">
        <f>SUM(H181,H194,H209)+COUNTIF(G180,"Blank")</f>
        <v>0</v>
      </c>
      <c r="I179" s="2951" t="str">
        <f xml:space="preserve">
IF(F179&gt;29,"Too Many Entries - Check Red Lines",
IF(AND(E179=FALSE,G179=0,H179=0),"Nothing Entered below Yet",
IF(AND(G179=0,H179&gt;0),"**Non-Valid Entry/ies below - Check Yellow Line/s",
IF(G179&lt;F179,"Valid Entry required below - Check Amber box",
IF(AND(G179&gt;0,H179&gt;0),"**Valid and Non-Valid Entries made below - Check Yellow Line/s",
IF(AND(E179=FALSE,F179&lt;29),"Not all requirements addressed below - Check Pink Line/s",
IF(AND(E179=FALSE,G179&lt;29,G179&gt;0,H179=0),"More entries to come",
IF(AND(E179,TRUE,G179=29,H179=0),"Valid Entries made below"
))))))))</f>
        <v>Nothing Entered below Yet</v>
      </c>
      <c r="J179" s="2951">
        <f>SUM(J181,J194,J209)+COUNTIF(J180,"Not Blank")</f>
        <v>0</v>
      </c>
      <c r="K179" s="2951">
        <f>SUM(K181,K194,K209)+COUNTIF(J180,"Blank")</f>
        <v>0</v>
      </c>
      <c r="L179" s="2951" t="str">
        <f xml:space="preserve">
IF(J179&gt;23,"Too Many Entries - Check Red Lines",
IF(AND(E179=FALSE,J179=0,K179=0,E179=TRUE),"Nothing Required Below",
IF(J179&lt;F179,"Valid Entry required below - Check Amber Line/s",
IF(AND(E179=FALSE,J179=0,K179=0),"Nothing Entered below Yet",
IF(AND(J179=0,K179&gt;0),"**Non-Valid Entry/ies below - Check Yellow Line/s",
IF(AND(J179&gt;0,K179&gt;0),"**Valid and Non-Valid Entries made below - Check Yellow Line/s",
IF(AND(E179=FALSE,J179&lt;23),"Not all requirements addressed below - Check Pink Line/s",
IF(AND(E179=FALSE,J179&lt;23,J179&gt;0,K179=0),"More entries to come",
IF(AND(E179,TRUE,J179=23,K179=0),"Valid Entries made below"
)))))))))</f>
        <v>Nothing Entered below Yet</v>
      </c>
      <c r="M179" s="2599"/>
      <c r="N179" s="4138" t="s">
        <v>565</v>
      </c>
      <c r="O179" s="119" t="b">
        <f>IF(AND(O180=TRUE,O181=TRUE,O194=TRUE,O209=TRUE),TRUE,FALSE)</f>
        <v>0</v>
      </c>
      <c r="P179" s="306"/>
      <c r="Q179" s="4138" t="s">
        <v>565</v>
      </c>
      <c r="R179" s="814" t="b">
        <f>IF(AND(R180=TRUE,R181=TRUE,R194=TRUE,R209=TRUE),TRUE,FALSE)</f>
        <v>0</v>
      </c>
      <c r="S179" s="186"/>
      <c r="T179" s="186"/>
      <c r="U179" s="459"/>
      <c r="V179" s="4138" t="s">
        <v>565</v>
      </c>
      <c r="W179" s="1773" t="b">
        <f>IF(AND(W180=TRUE,W181=TRUE,W194=TRUE,W209=TRUE),TRUE,FALSE)</f>
        <v>0</v>
      </c>
      <c r="X179" s="1565"/>
      <c r="Y179" s="2601"/>
      <c r="Z179" s="2602"/>
    </row>
    <row r="180" spans="1:84" s="1558" customFormat="1" ht="334.5" thickTop="1" thickBot="1" x14ac:dyDescent="0.35">
      <c r="A180" s="2604" t="s">
        <v>158</v>
      </c>
      <c r="B180" s="1869"/>
      <c r="C180" s="2865" t="s">
        <v>159</v>
      </c>
      <c r="D180" s="602" t="s">
        <v>3</v>
      </c>
      <c r="E180" s="67" t="b">
        <f t="shared" ref="E180:E189" si="28">IF(D180="Compliant",TRUE,FALSE)</f>
        <v>0</v>
      </c>
      <c r="F180" s="399"/>
      <c r="G180" s="399" t="str">
        <f t="shared" ref="G180:G190" si="29">IF(I180&lt;&gt;"", "Not Blank", "")</f>
        <v/>
      </c>
      <c r="H180" s="399"/>
      <c r="I180" s="399"/>
      <c r="J180" s="399" t="str">
        <f t="shared" ref="J180:J190" si="30">IF(L180&lt;&gt;"", "Not Blank", "")</f>
        <v/>
      </c>
      <c r="K180" s="399"/>
      <c r="L180" s="399"/>
      <c r="M180" s="1785"/>
      <c r="N180" s="1134" t="s">
        <v>3</v>
      </c>
      <c r="O180" s="994" t="b">
        <f>IF(OR(N180="Compliant",N180="FE with work-a-round",N180="Functionally Equivalent"),TRUE,FALSE)</f>
        <v>0</v>
      </c>
      <c r="P180" s="120"/>
      <c r="Q180" s="1135" t="s">
        <v>3</v>
      </c>
      <c r="R180" s="737" t="b">
        <f>IF(OR(Q180="Compliant",Q180="FE with work-a-round",Q180="Functionally Equivalent"),TRUE,FALSE)</f>
        <v>0</v>
      </c>
      <c r="S180" s="111"/>
      <c r="T180" s="111"/>
      <c r="U180" s="120"/>
      <c r="V180" s="1134" t="s">
        <v>3</v>
      </c>
      <c r="W180" s="2142" t="b">
        <f>IF(OR(V180="Compliant",V180="FE with work-a-round",V180="Functionally Equivalent",V180="Not Required/Applicable"),TRUE,FALSE)</f>
        <v>0</v>
      </c>
      <c r="X180" s="1449"/>
      <c r="Y180" s="1783"/>
      <c r="Z180" s="1782"/>
    </row>
    <row r="181" spans="1:84" s="2608" customFormat="1" ht="32.15" customHeight="1" thickTop="1" thickBot="1" x14ac:dyDescent="0.35">
      <c r="A181" s="2605" t="s">
        <v>160</v>
      </c>
      <c r="B181" s="2033" t="s">
        <v>1664</v>
      </c>
      <c r="C181" s="2866" t="s">
        <v>1501</v>
      </c>
      <c r="D181" s="2927" t="s">
        <v>565</v>
      </c>
      <c r="E181" s="2952" t="b">
        <f>IF(AND(E182=TRUE,E183=TRUE,E184=TRUE,E185=TRUE,E186=TRUE,E187=TRUE,E188=TRUE,E189=TRUE,E190=TRUE,E191=TRUE,E192=TRUE,E193=TRUE),TRUE,FALSE)</f>
        <v>0</v>
      </c>
      <c r="F181" s="270">
        <f>COUNTIF(E182:E193,TRUE)</f>
        <v>0</v>
      </c>
      <c r="G181" s="270">
        <f>COUNTIFS(E182:E193,TRUE,G182:G193,"Not Blank")</f>
        <v>0</v>
      </c>
      <c r="H181" s="270">
        <f>COUNTIFS(E182:E193,FALSE,G182:G193,"Not Blank")</f>
        <v>0</v>
      </c>
      <c r="I181" s="1642" t="str">
        <f xml:space="preserve">
IF(F181&gt;14,"Too Many Entries - Check Red Lines",
IF(AND(E181=FALSE,G181=0,H181=0),"Nothing Entered below Yet",
IF(AND(G181=0,H181&gt;0),"**Non-Valid Entry/ies below - Check Yellow Line/s",
IF(G181&lt;F181,"Valid Entry required below - Check Amber box",
IF(AND(G181&gt;0,H181&gt;0),"**Valid and Non-Valid Entries made below - Check Yellow Line/s",
IF(AND(E181=FALSE,F181&lt;14),"Not all requirements addressed below - Check Pink Line/s",
IF(AND(E181=FALSE,G181&lt;14,G181&gt;0,H181=0),"More entries to come",
IF(AND(E181,TRUE,G181=14,H181=0),"Valid Entries made below"
))))))))</f>
        <v>Nothing Entered below Yet</v>
      </c>
      <c r="J181" s="1642">
        <f>COUNTIFS(E182:E193,TRUE,J182:J193,"Not Blank")</f>
        <v>0</v>
      </c>
      <c r="K181" s="1642">
        <f>COUNTIFS(E182:E193,FALSE,J182:J193,"Not Blank")</f>
        <v>0</v>
      </c>
      <c r="L181" s="1642" t="str">
        <f xml:space="preserve">
IF(J181&gt;14,"Too Many Entries - Check Red Lines",
IF(AND(E181=FALSE,J181=0,K181=0,E181=TRUE),"Nothing Required Below",
IF(J181&lt;F181,"Valid Entry required below - Check Amber Line/s",
IF(AND(E181=FALSE,J181=0,K181=0),"Nothing Entered below Yet",
IF(AND(J181=0,K181&gt;0),"**Non-Valid Entry/ies below - Check Yellow Line/s",
IF(AND(J181&gt;0,K181&gt;0),"**Valid and Non-Valid Entries made below - Check Yellow Line/s",
IF(AND(E181=FALSE,J181&lt;14),"Not all requirements addressed below - Check Pink Line/s",
IF(AND(E181=FALSE,J181&lt;14,J181&gt;0,K181=0),"More entries to come",
IF(AND(E181,TRUE,J181=14,K181=0),"Valid Entries made below"
)))))))))</f>
        <v>Nothing Entered below Yet</v>
      </c>
      <c r="M181" s="337"/>
      <c r="N181" s="4446" t="s">
        <v>3</v>
      </c>
      <c r="O181" s="4629" t="b">
        <f>IF(OR(N181="Compliant",N181="FE with work-a-round",N181="Functionally Equivalent"),TRUE,FALSE)</f>
        <v>0</v>
      </c>
      <c r="P181" s="807"/>
      <c r="Q181" s="4112" t="s">
        <v>565</v>
      </c>
      <c r="R181" s="814" t="b">
        <f>IF(AND(R182=TRUE,R183=TRUE,R184=TRUE,R185=TRUE,R186=TRUE,R187=TRUE,R188=TRUE,R189=TRUE,R190=TRUE,R191=TRUE,R192=TRUE,R193=TRUE),TRUE,FALSE)</f>
        <v>0</v>
      </c>
      <c r="S181" s="111"/>
      <c r="T181" s="111"/>
      <c r="U181" s="120"/>
      <c r="V181" s="4446" t="s">
        <v>3</v>
      </c>
      <c r="W181" s="4499" t="b">
        <f>IF(OR(V181="Compliant",V181="FE with work-a-round",V181="Functionally Equivalent",V181="Not Required/Applicable"),TRUE,FALSE)</f>
        <v>0</v>
      </c>
      <c r="X181" s="2145"/>
      <c r="Y181" s="2606"/>
      <c r="Z181" s="2607"/>
    </row>
    <row r="182" spans="1:84" s="1558" customFormat="1" ht="276" thickTop="1" x14ac:dyDescent="0.3">
      <c r="A182" s="2609" t="s">
        <v>161</v>
      </c>
      <c r="B182" s="1504"/>
      <c r="C182" s="2867" t="s">
        <v>1460</v>
      </c>
      <c r="D182" s="2368" t="s">
        <v>3</v>
      </c>
      <c r="E182" s="67" t="b">
        <f t="shared" si="28"/>
        <v>0</v>
      </c>
      <c r="F182" s="44"/>
      <c r="G182" s="44" t="str">
        <f t="shared" si="29"/>
        <v/>
      </c>
      <c r="H182" s="261"/>
      <c r="I182" s="42"/>
      <c r="J182" s="42" t="str">
        <f t="shared" si="30"/>
        <v/>
      </c>
      <c r="K182" s="42"/>
      <c r="L182" s="42"/>
      <c r="M182" s="128"/>
      <c r="N182" s="4447"/>
      <c r="O182" s="4630"/>
      <c r="P182" s="120"/>
      <c r="Q182" s="1135" t="s">
        <v>3</v>
      </c>
      <c r="R182" s="737" t="b">
        <f>IF(OR(Q182="Compliant",Q182="FE with work-a-round",Q182="Functionally Equivalent"),TRUE,FALSE)</f>
        <v>0</v>
      </c>
      <c r="S182" s="44"/>
      <c r="T182" s="44"/>
      <c r="U182" s="68"/>
      <c r="V182" s="4447"/>
      <c r="W182" s="4500"/>
      <c r="X182" s="2146"/>
      <c r="Y182" s="1748"/>
      <c r="Z182" s="1775"/>
    </row>
    <row r="183" spans="1:84" s="1558" customFormat="1" ht="72.5" x14ac:dyDescent="0.3">
      <c r="A183" s="2609" t="s">
        <v>162</v>
      </c>
      <c r="B183" s="1504"/>
      <c r="C183" s="2868" t="s">
        <v>1461</v>
      </c>
      <c r="D183" s="643" t="s">
        <v>3</v>
      </c>
      <c r="E183" s="67" t="b">
        <f t="shared" si="28"/>
        <v>0</v>
      </c>
      <c r="F183" s="44"/>
      <c r="G183" s="44" t="str">
        <f t="shared" si="29"/>
        <v/>
      </c>
      <c r="H183" s="44"/>
      <c r="I183" s="44"/>
      <c r="J183" s="44" t="str">
        <f t="shared" si="30"/>
        <v/>
      </c>
      <c r="K183" s="44"/>
      <c r="L183" s="44"/>
      <c r="M183" s="122"/>
      <c r="N183" s="4447"/>
      <c r="O183" s="4630"/>
      <c r="P183" s="1785"/>
      <c r="Q183" s="1060" t="s">
        <v>3</v>
      </c>
      <c r="R183" s="737" t="b">
        <f t="shared" ref="R183:R193" si="31">IF(OR(Q183="Compliant",Q183="FE with work-a-round",Q183="Functionally Equivalent"),TRUE,FALSE)</f>
        <v>0</v>
      </c>
      <c r="S183" s="44"/>
      <c r="T183" s="399"/>
      <c r="U183" s="68"/>
      <c r="V183" s="4447"/>
      <c r="W183" s="4500"/>
      <c r="X183" s="2146"/>
      <c r="Y183" s="1748"/>
      <c r="Z183" s="1775"/>
    </row>
    <row r="184" spans="1:84" s="1558" customFormat="1" ht="87" x14ac:dyDescent="0.3">
      <c r="A184" s="2609" t="s">
        <v>163</v>
      </c>
      <c r="B184" s="1504"/>
      <c r="C184" s="2868" t="s">
        <v>1462</v>
      </c>
      <c r="D184" s="643" t="s">
        <v>3</v>
      </c>
      <c r="E184" s="67" t="b">
        <f t="shared" si="28"/>
        <v>0</v>
      </c>
      <c r="F184" s="399"/>
      <c r="G184" s="399" t="str">
        <f t="shared" si="29"/>
        <v/>
      </c>
      <c r="H184" s="44"/>
      <c r="I184" s="399"/>
      <c r="J184" s="399" t="str">
        <f t="shared" si="30"/>
        <v/>
      </c>
      <c r="K184" s="399"/>
      <c r="L184" s="399"/>
      <c r="M184" s="1785"/>
      <c r="N184" s="4447"/>
      <c r="O184" s="4630"/>
      <c r="P184" s="1785"/>
      <c r="Q184" s="1060" t="s">
        <v>3</v>
      </c>
      <c r="R184" s="737" t="b">
        <f t="shared" si="31"/>
        <v>0</v>
      </c>
      <c r="S184" s="44"/>
      <c r="T184" s="399"/>
      <c r="U184" s="68"/>
      <c r="V184" s="4447"/>
      <c r="W184" s="4500"/>
      <c r="X184" s="2146"/>
      <c r="Y184" s="1748"/>
      <c r="Z184" s="1775"/>
    </row>
    <row r="185" spans="1:84" s="1558" customFormat="1" ht="87" x14ac:dyDescent="0.3">
      <c r="A185" s="2609" t="s">
        <v>164</v>
      </c>
      <c r="B185" s="1504"/>
      <c r="C185" s="2868" t="s">
        <v>1463</v>
      </c>
      <c r="D185" s="643" t="s">
        <v>3</v>
      </c>
      <c r="E185" s="67" t="b">
        <f t="shared" si="28"/>
        <v>0</v>
      </c>
      <c r="F185" s="399"/>
      <c r="G185" s="399" t="str">
        <f t="shared" si="29"/>
        <v/>
      </c>
      <c r="H185" s="399"/>
      <c r="I185" s="44"/>
      <c r="J185" s="44" t="str">
        <f t="shared" si="30"/>
        <v/>
      </c>
      <c r="K185" s="44"/>
      <c r="L185" s="44"/>
      <c r="M185" s="122"/>
      <c r="N185" s="4447"/>
      <c r="O185" s="4630"/>
      <c r="P185" s="1785"/>
      <c r="Q185" s="1060" t="s">
        <v>3</v>
      </c>
      <c r="R185" s="737" t="b">
        <f t="shared" si="31"/>
        <v>0</v>
      </c>
      <c r="S185" s="44"/>
      <c r="T185" s="399"/>
      <c r="U185" s="68"/>
      <c r="V185" s="4447"/>
      <c r="W185" s="4500"/>
      <c r="X185" s="2146"/>
      <c r="Y185" s="1748"/>
      <c r="Z185" s="1775"/>
    </row>
    <row r="186" spans="1:84" s="1558" customFormat="1" ht="72.5" x14ac:dyDescent="0.3">
      <c r="A186" s="2609" t="s">
        <v>165</v>
      </c>
      <c r="B186" s="1504"/>
      <c r="C186" s="2868" t="s">
        <v>1464</v>
      </c>
      <c r="D186" s="643" t="s">
        <v>3</v>
      </c>
      <c r="E186" s="67" t="b">
        <f t="shared" si="28"/>
        <v>0</v>
      </c>
      <c r="F186" s="399"/>
      <c r="G186" s="399" t="str">
        <f t="shared" si="29"/>
        <v/>
      </c>
      <c r="H186" s="44"/>
      <c r="I186" s="44"/>
      <c r="J186" s="44" t="str">
        <f t="shared" si="30"/>
        <v/>
      </c>
      <c r="K186" s="44"/>
      <c r="L186" s="44"/>
      <c r="M186" s="122"/>
      <c r="N186" s="4447"/>
      <c r="O186" s="4630"/>
      <c r="P186" s="1785"/>
      <c r="Q186" s="1060" t="s">
        <v>3</v>
      </c>
      <c r="R186" s="737" t="b">
        <f t="shared" si="31"/>
        <v>0</v>
      </c>
      <c r="S186" s="44"/>
      <c r="T186" s="399"/>
      <c r="U186" s="68"/>
      <c r="V186" s="4447"/>
      <c r="W186" s="4500"/>
      <c r="X186" s="2146"/>
      <c r="Y186" s="1748"/>
      <c r="Z186" s="1775"/>
    </row>
    <row r="187" spans="1:84" s="1558" customFormat="1" ht="72.5" x14ac:dyDescent="0.3">
      <c r="A187" s="2609" t="s">
        <v>166</v>
      </c>
      <c r="B187" s="1504"/>
      <c r="C187" s="2868" t="s">
        <v>1465</v>
      </c>
      <c r="D187" s="643" t="s">
        <v>3</v>
      </c>
      <c r="E187" s="67" t="b">
        <f t="shared" si="28"/>
        <v>0</v>
      </c>
      <c r="F187" s="44"/>
      <c r="G187" s="44" t="str">
        <f t="shared" si="29"/>
        <v/>
      </c>
      <c r="H187" s="44"/>
      <c r="I187" s="399"/>
      <c r="J187" s="399" t="str">
        <f t="shared" si="30"/>
        <v/>
      </c>
      <c r="K187" s="399"/>
      <c r="L187" s="399"/>
      <c r="M187" s="1785"/>
      <c r="N187" s="4447"/>
      <c r="O187" s="4630"/>
      <c r="P187" s="1785"/>
      <c r="Q187" s="1060" t="s">
        <v>3</v>
      </c>
      <c r="R187" s="737" t="b">
        <f t="shared" si="31"/>
        <v>0</v>
      </c>
      <c r="S187" s="44"/>
      <c r="T187" s="399"/>
      <c r="U187" s="68"/>
      <c r="V187" s="4447"/>
      <c r="W187" s="4500"/>
      <c r="X187" s="2146"/>
      <c r="Y187" s="1748"/>
      <c r="Z187" s="1775"/>
    </row>
    <row r="188" spans="1:84" s="1558" customFormat="1" ht="87" x14ac:dyDescent="0.3">
      <c r="A188" s="2609" t="s">
        <v>167</v>
      </c>
      <c r="B188" s="1504"/>
      <c r="C188" s="2868" t="s">
        <v>1466</v>
      </c>
      <c r="D188" s="643" t="s">
        <v>3</v>
      </c>
      <c r="E188" s="67" t="b">
        <f t="shared" si="28"/>
        <v>0</v>
      </c>
      <c r="F188" s="399"/>
      <c r="G188" s="399" t="str">
        <f t="shared" si="29"/>
        <v/>
      </c>
      <c r="H188" s="44"/>
      <c r="I188" s="44"/>
      <c r="J188" s="44" t="str">
        <f t="shared" si="30"/>
        <v/>
      </c>
      <c r="K188" s="44"/>
      <c r="L188" s="44"/>
      <c r="M188" s="122"/>
      <c r="N188" s="4447"/>
      <c r="O188" s="4630"/>
      <c r="P188" s="1785"/>
      <c r="Q188" s="1060" t="s">
        <v>3</v>
      </c>
      <c r="R188" s="737" t="b">
        <f t="shared" si="31"/>
        <v>0</v>
      </c>
      <c r="S188" s="44"/>
      <c r="T188" s="399"/>
      <c r="U188" s="68"/>
      <c r="V188" s="4447"/>
      <c r="W188" s="4500"/>
      <c r="X188" s="2146"/>
      <c r="Y188" s="1748"/>
      <c r="Z188" s="1775"/>
    </row>
    <row r="189" spans="1:84" s="1558" customFormat="1" ht="43.5" x14ac:dyDescent="0.3">
      <c r="A189" s="2609" t="s">
        <v>168</v>
      </c>
      <c r="B189" s="2869"/>
      <c r="C189" s="2868" t="s">
        <v>1467</v>
      </c>
      <c r="D189" s="643" t="s">
        <v>3</v>
      </c>
      <c r="E189" s="67" t="b">
        <f t="shared" si="28"/>
        <v>0</v>
      </c>
      <c r="F189" s="44"/>
      <c r="G189" s="44" t="str">
        <f t="shared" si="29"/>
        <v/>
      </c>
      <c r="H189" s="44"/>
      <c r="I189" s="44"/>
      <c r="J189" s="44" t="str">
        <f t="shared" si="30"/>
        <v/>
      </c>
      <c r="K189" s="44"/>
      <c r="L189" s="44"/>
      <c r="M189" s="122"/>
      <c r="N189" s="4447"/>
      <c r="O189" s="4630"/>
      <c r="P189" s="1785"/>
      <c r="Q189" s="1060" t="s">
        <v>3</v>
      </c>
      <c r="R189" s="737" t="b">
        <f t="shared" si="31"/>
        <v>0</v>
      </c>
      <c r="S189" s="44"/>
      <c r="T189" s="399"/>
      <c r="U189" s="68"/>
      <c r="V189" s="4447"/>
      <c r="W189" s="4500"/>
      <c r="X189" s="2146"/>
      <c r="Y189" s="1748"/>
      <c r="Z189" s="1775"/>
    </row>
    <row r="190" spans="1:84" s="1558" customFormat="1" ht="58" x14ac:dyDescent="0.3">
      <c r="A190" s="2609" t="s">
        <v>169</v>
      </c>
      <c r="B190" s="2870"/>
      <c r="C190" s="2868" t="s">
        <v>1468</v>
      </c>
      <c r="D190" s="643" t="s">
        <v>3</v>
      </c>
      <c r="E190" s="41" t="b">
        <f>IF(D190="Compliant",TRUE,FALSE)</f>
        <v>0</v>
      </c>
      <c r="F190" s="42"/>
      <c r="G190" s="42" t="str">
        <f t="shared" si="29"/>
        <v/>
      </c>
      <c r="H190" s="42"/>
      <c r="I190" s="2610"/>
      <c r="J190" s="2610" t="str">
        <f t="shared" si="30"/>
        <v/>
      </c>
      <c r="K190" s="2610"/>
      <c r="L190" s="2610"/>
      <c r="M190" s="2611"/>
      <c r="N190" s="4447"/>
      <c r="O190" s="4630"/>
      <c r="P190" s="1785"/>
      <c r="Q190" s="1060" t="s">
        <v>3</v>
      </c>
      <c r="R190" s="737" t="b">
        <f t="shared" si="31"/>
        <v>0</v>
      </c>
      <c r="S190" s="399"/>
      <c r="T190" s="399"/>
      <c r="U190" s="1752"/>
      <c r="V190" s="4447"/>
      <c r="W190" s="4500"/>
      <c r="X190" s="2146"/>
      <c r="Y190" s="1748"/>
      <c r="Z190" s="1775"/>
    </row>
    <row r="191" spans="1:84" s="1558" customFormat="1" ht="43.5" x14ac:dyDescent="0.3">
      <c r="A191" s="2609" t="s">
        <v>170</v>
      </c>
      <c r="B191" s="1504"/>
      <c r="C191" s="2868" t="s">
        <v>1469</v>
      </c>
      <c r="D191" s="643" t="s">
        <v>3</v>
      </c>
      <c r="E191" s="67" t="b">
        <f t="shared" ref="E191:E204" si="32">IF(D191="Compliant",TRUE,FALSE)</f>
        <v>0</v>
      </c>
      <c r="F191" s="44"/>
      <c r="G191" s="44" t="str">
        <f t="shared" ref="G191:G205" si="33">IF(I191&lt;&gt;"", "Not Blank", "")</f>
        <v/>
      </c>
      <c r="H191" s="44"/>
      <c r="I191" s="399"/>
      <c r="J191" s="399" t="str">
        <f t="shared" ref="J191:J205" si="34">IF(L191&lt;&gt;"", "Not Blank", "")</f>
        <v/>
      </c>
      <c r="K191" s="399"/>
      <c r="L191" s="399"/>
      <c r="M191" s="1785"/>
      <c r="N191" s="4447"/>
      <c r="O191" s="4630"/>
      <c r="P191" s="1785"/>
      <c r="Q191" s="1060" t="s">
        <v>3</v>
      </c>
      <c r="R191" s="737" t="b">
        <f t="shared" si="31"/>
        <v>0</v>
      </c>
      <c r="S191" s="44"/>
      <c r="T191" s="399"/>
      <c r="U191" s="68"/>
      <c r="V191" s="4447"/>
      <c r="W191" s="4500"/>
      <c r="X191" s="2146"/>
      <c r="Y191" s="1748"/>
      <c r="Z191" s="1775"/>
    </row>
    <row r="192" spans="1:84" s="1558" customFormat="1" ht="58" x14ac:dyDescent="0.3">
      <c r="A192" s="2609" t="s">
        <v>171</v>
      </c>
      <c r="B192" s="1504"/>
      <c r="C192" s="2868" t="s">
        <v>1470</v>
      </c>
      <c r="D192" s="643" t="s">
        <v>3</v>
      </c>
      <c r="E192" s="67" t="b">
        <f t="shared" si="32"/>
        <v>0</v>
      </c>
      <c r="F192" s="44"/>
      <c r="G192" s="44" t="str">
        <f t="shared" si="33"/>
        <v/>
      </c>
      <c r="H192" s="44"/>
      <c r="I192" s="44"/>
      <c r="J192" s="44" t="str">
        <f t="shared" si="34"/>
        <v/>
      </c>
      <c r="K192" s="44"/>
      <c r="L192" s="44"/>
      <c r="M192" s="122"/>
      <c r="N192" s="4447"/>
      <c r="O192" s="4630"/>
      <c r="P192" s="1785"/>
      <c r="Q192" s="1060" t="s">
        <v>3</v>
      </c>
      <c r="R192" s="737" t="b">
        <f t="shared" si="31"/>
        <v>0</v>
      </c>
      <c r="S192" s="44"/>
      <c r="T192" s="399"/>
      <c r="U192" s="68"/>
      <c r="V192" s="4447"/>
      <c r="W192" s="4500"/>
      <c r="X192" s="2146"/>
      <c r="Y192" s="1748"/>
      <c r="Z192" s="1775"/>
    </row>
    <row r="193" spans="1:26" s="1558" customFormat="1" ht="145.5" thickBot="1" x14ac:dyDescent="0.35">
      <c r="A193" s="2609" t="s">
        <v>172</v>
      </c>
      <c r="B193" s="1504"/>
      <c r="C193" s="2871" t="s">
        <v>1471</v>
      </c>
      <c r="D193" s="644" t="s">
        <v>3</v>
      </c>
      <c r="E193" s="161" t="b">
        <f t="shared" si="32"/>
        <v>0</v>
      </c>
      <c r="F193" s="124"/>
      <c r="G193" s="124" t="str">
        <f t="shared" si="33"/>
        <v/>
      </c>
      <c r="H193" s="124"/>
      <c r="I193" s="124"/>
      <c r="J193" s="124" t="str">
        <f t="shared" si="34"/>
        <v/>
      </c>
      <c r="K193" s="124"/>
      <c r="L193" s="124"/>
      <c r="M193" s="125"/>
      <c r="N193" s="4448"/>
      <c r="O193" s="4631"/>
      <c r="P193" s="2612"/>
      <c r="Q193" s="1017" t="s">
        <v>3</v>
      </c>
      <c r="R193" s="737" t="b">
        <f t="shared" si="31"/>
        <v>0</v>
      </c>
      <c r="S193" s="124"/>
      <c r="T193" s="1765"/>
      <c r="U193" s="246"/>
      <c r="V193" s="4448"/>
      <c r="W193" s="4501"/>
      <c r="X193" s="831"/>
      <c r="Y193" s="1764"/>
      <c r="Z193" s="1780"/>
    </row>
    <row r="194" spans="1:26" s="1558" customFormat="1" ht="32.15" customHeight="1" thickTop="1" thickBot="1" x14ac:dyDescent="0.35">
      <c r="A194" s="2613"/>
      <c r="B194" s="2872" t="s">
        <v>1715</v>
      </c>
      <c r="C194" s="2873" t="s">
        <v>173</v>
      </c>
      <c r="D194" s="1640" t="s">
        <v>565</v>
      </c>
      <c r="E194" s="978" t="b">
        <f>IF(AND(E195=TRUE,E196=TRUE,E197=TRUE,E198=TRUE,E199=TRUE,E200=TRUE,E201=TRUE,E202=TRUE,E203=TRUE,E204=TRUE,E205=TRUE,E206=TRUE,E207=TRUE,E208=TRUE),TRUE,FALSE)</f>
        <v>0</v>
      </c>
      <c r="F194" s="322">
        <f>COUNTIF(E195:E208,TRUE)</f>
        <v>0</v>
      </c>
      <c r="G194" s="322">
        <f>COUNTIFS(E195:E208,TRUE,G195:G208,"Not Blank")</f>
        <v>0</v>
      </c>
      <c r="H194" s="979">
        <f>COUNTIFS(E195:E208,FALSE,G195:G208,"Not Blank")</f>
        <v>0</v>
      </c>
      <c r="I194" s="2953" t="str">
        <f xml:space="preserve">
IF(F194&gt;14,"Too Many Entries - Check Red Lines",
IF(AND(E194=FALSE,G194=0,H194=0),"Nothing Entered below Yet",
IF(AND(G194=0,H194&gt;0),"**Non-Valid Entry/ies below - Check Yellow Line/s",
IF(G194&lt;F194,"Valid Entry required below - Check Amber box",
IF(AND(G194&gt;0,H194&gt;0),"**Valid and Non-Valid Entries made below - Check Yellow Line/s",
IF(AND(E194=FALSE,F194&lt;14),"Not all requirements addressed below - Check Pink Line/s",
IF(AND(E194=FALSE,G194&lt;14,G194&gt;0,H194=0),"More entries to come",
IF(AND(E194,TRUE,G194=14,H194=0),"Valid Entries made below"
))))))))</f>
        <v>Nothing Entered below Yet</v>
      </c>
      <c r="J194" s="2953">
        <f>COUNTIFS(E195:E208,TRUE,J195:J208,"Not Blank")</f>
        <v>0</v>
      </c>
      <c r="K194" s="2953">
        <f>COUNTIFS(E195:E208,FALSE,J195:J208,"Not Blank")</f>
        <v>0</v>
      </c>
      <c r="L194" s="2953" t="str">
        <f xml:space="preserve">
IF(J194&gt;14,"Too Many Entries - Check Red Lines",
IF(AND(E194=FALSE,J194=0,K194=0,E194=TRUE),"Nothing Required Below",
IF(J194&lt;F194,"Valid Entry required below - Check Amber Line/s",
IF(AND(E194=FALSE,J194=0,K194=0),"Nothing Entered below Yet",
IF(AND(J194=0,K194&gt;0),"**Non-Valid Entry/ies below - Check Yellow Line/s",
IF(AND(J194&gt;0,K194&gt;0),"**Valid and Non-Valid Entries made below - Check Yellow Line/s",
IF(AND(E194=FALSE,J194&lt;14),"Not all requirements addressed below - Check Pink Line/s",
IF(AND(E194=FALSE,J194&lt;14,J194&gt;0,K194=0),"More entries to come",
IF(AND(E194,TRUE,J194=14,K194=0),"Valid Entries made below"
)))))))))</f>
        <v>Nothing Entered below Yet</v>
      </c>
      <c r="M194" s="1781"/>
      <c r="N194" s="4446" t="s">
        <v>3</v>
      </c>
      <c r="O194" s="4629" t="b">
        <f>IF(OR(N194="Compliant",N194="FE with work-a-round",N194="Functionally Equivalent"),TRUE,FALSE)</f>
        <v>0</v>
      </c>
      <c r="P194" s="807"/>
      <c r="Q194" s="4112" t="s">
        <v>565</v>
      </c>
      <c r="R194" s="814" t="b">
        <f>IF(AND(R195=TRUE,R196=TRUE,R197=TRUE,R198=TRUE,R199=TRUE,R200=TRUE,R201=TRUE,R202=TRUE,R203=TRUE,R204=TRUE,R205=TRUE,R206=TRUE,R207=TRUE,R208=TRUE),TRUE,FALSE)</f>
        <v>0</v>
      </c>
      <c r="S194" s="111"/>
      <c r="T194" s="111"/>
      <c r="U194" s="120"/>
      <c r="V194" s="4446" t="s">
        <v>3</v>
      </c>
      <c r="W194" s="4499" t="b">
        <f>IF(OR(V194="Compliant",V194="FE with work-a-round",V194="Functionally Equivalent",V194="Not Required/Applicable"),TRUE,FALSE)</f>
        <v>0</v>
      </c>
      <c r="X194" s="2145"/>
      <c r="Y194" s="1750"/>
      <c r="Z194" s="1772"/>
    </row>
    <row r="195" spans="1:26" s="1558" customFormat="1" ht="409.6" thickTop="1" x14ac:dyDescent="0.3">
      <c r="A195" s="2613" t="s">
        <v>174</v>
      </c>
      <c r="B195" s="1504"/>
      <c r="C195" s="2867" t="s">
        <v>1472</v>
      </c>
      <c r="D195" s="2368" t="s">
        <v>3</v>
      </c>
      <c r="E195" s="67" t="b">
        <f t="shared" si="32"/>
        <v>0</v>
      </c>
      <c r="F195" s="44"/>
      <c r="G195" s="44" t="str">
        <f t="shared" si="33"/>
        <v/>
      </c>
      <c r="H195" s="44"/>
      <c r="I195" s="42"/>
      <c r="J195" s="42" t="str">
        <f t="shared" si="34"/>
        <v/>
      </c>
      <c r="K195" s="42"/>
      <c r="L195" s="42"/>
      <c r="M195" s="128"/>
      <c r="N195" s="4447"/>
      <c r="O195" s="4630"/>
      <c r="P195" s="120"/>
      <c r="Q195" s="1135" t="s">
        <v>3</v>
      </c>
      <c r="R195" s="737" t="b">
        <f>IF(OR(Q195="Compliant",Q195="FE with work-a-round",Q195="Functionally Equivalent"),TRUE,FALSE)</f>
        <v>0</v>
      </c>
      <c r="S195" s="44"/>
      <c r="T195" s="44"/>
      <c r="U195" s="68"/>
      <c r="V195" s="4447"/>
      <c r="W195" s="4500"/>
      <c r="X195" s="2146"/>
      <c r="Y195" s="1748"/>
      <c r="Z195" s="1775"/>
    </row>
    <row r="196" spans="1:26" s="1558" customFormat="1" ht="203" x14ac:dyDescent="0.3">
      <c r="A196" s="2609" t="s">
        <v>175</v>
      </c>
      <c r="B196" s="1504"/>
      <c r="C196" s="2868" t="s">
        <v>1473</v>
      </c>
      <c r="D196" s="643" t="s">
        <v>3</v>
      </c>
      <c r="E196" s="67" t="b">
        <f t="shared" si="32"/>
        <v>0</v>
      </c>
      <c r="F196" s="261"/>
      <c r="G196" s="261" t="str">
        <f t="shared" si="33"/>
        <v/>
      </c>
      <c r="H196" s="44">
        <f>COUNTIFS(E197:E215,FALSE,G197:G215,"Not Blank")</f>
        <v>0</v>
      </c>
      <c r="I196" s="399"/>
      <c r="J196" s="399" t="str">
        <f t="shared" si="34"/>
        <v/>
      </c>
      <c r="K196" s="399"/>
      <c r="L196" s="399"/>
      <c r="M196" s="1785"/>
      <c r="N196" s="4447"/>
      <c r="O196" s="4630"/>
      <c r="P196" s="1785"/>
      <c r="Q196" s="1060" t="s">
        <v>3</v>
      </c>
      <c r="R196" s="737" t="b">
        <f t="shared" ref="R196:R208" si="35">IF(OR(Q196="Compliant",Q196="FE with work-a-round",Q196="Functionally Equivalent"),TRUE,FALSE)</f>
        <v>0</v>
      </c>
      <c r="S196" s="44"/>
      <c r="T196" s="399"/>
      <c r="U196" s="68"/>
      <c r="V196" s="4447"/>
      <c r="W196" s="4500"/>
      <c r="X196" s="2146"/>
      <c r="Y196" s="1748"/>
      <c r="Z196" s="1775"/>
    </row>
    <row r="197" spans="1:26" s="1558" customFormat="1" ht="246.5" x14ac:dyDescent="0.3">
      <c r="A197" s="2609" t="s">
        <v>176</v>
      </c>
      <c r="B197" s="1504"/>
      <c r="C197" s="2868" t="s">
        <v>1474</v>
      </c>
      <c r="D197" s="643" t="s">
        <v>3</v>
      </c>
      <c r="E197" s="67" t="b">
        <f t="shared" si="32"/>
        <v>0</v>
      </c>
      <c r="F197" s="44"/>
      <c r="G197" s="44" t="str">
        <f t="shared" si="33"/>
        <v/>
      </c>
      <c r="H197" s="44"/>
      <c r="I197" s="399"/>
      <c r="J197" s="399" t="str">
        <f t="shared" si="34"/>
        <v/>
      </c>
      <c r="K197" s="399"/>
      <c r="L197" s="399"/>
      <c r="M197" s="1785"/>
      <c r="N197" s="4447"/>
      <c r="O197" s="4630"/>
      <c r="P197" s="1785"/>
      <c r="Q197" s="1060" t="s">
        <v>3</v>
      </c>
      <c r="R197" s="737" t="b">
        <f t="shared" si="35"/>
        <v>0</v>
      </c>
      <c r="S197" s="44"/>
      <c r="T197" s="399"/>
      <c r="U197" s="68"/>
      <c r="V197" s="4447"/>
      <c r="W197" s="4500"/>
      <c r="X197" s="2146"/>
      <c r="Y197" s="1748"/>
      <c r="Z197" s="1775"/>
    </row>
    <row r="198" spans="1:26" s="1558" customFormat="1" ht="246.5" x14ac:dyDescent="0.3">
      <c r="A198" s="2609" t="s">
        <v>177</v>
      </c>
      <c r="B198" s="1504"/>
      <c r="C198" s="2868" t="s">
        <v>1475</v>
      </c>
      <c r="D198" s="643" t="s">
        <v>3</v>
      </c>
      <c r="E198" s="67" t="b">
        <f t="shared" si="32"/>
        <v>0</v>
      </c>
      <c r="F198" s="44"/>
      <c r="G198" s="44" t="str">
        <f t="shared" si="33"/>
        <v/>
      </c>
      <c r="H198" s="399"/>
      <c r="I198" s="44"/>
      <c r="J198" s="44" t="str">
        <f t="shared" si="34"/>
        <v/>
      </c>
      <c r="K198" s="44"/>
      <c r="L198" s="44"/>
      <c r="M198" s="122"/>
      <c r="N198" s="4447"/>
      <c r="O198" s="4630"/>
      <c r="P198" s="1785"/>
      <c r="Q198" s="1060" t="s">
        <v>3</v>
      </c>
      <c r="R198" s="737" t="b">
        <f t="shared" si="35"/>
        <v>0</v>
      </c>
      <c r="S198" s="44"/>
      <c r="T198" s="399"/>
      <c r="U198" s="68"/>
      <c r="V198" s="4447"/>
      <c r="W198" s="4500"/>
      <c r="X198" s="2146"/>
      <c r="Y198" s="1748"/>
      <c r="Z198" s="1775"/>
    </row>
    <row r="199" spans="1:26" s="1558" customFormat="1" ht="174" x14ac:dyDescent="0.3">
      <c r="A199" s="2609" t="s">
        <v>178</v>
      </c>
      <c r="B199" s="1504"/>
      <c r="C199" s="2868" t="s">
        <v>1476</v>
      </c>
      <c r="D199" s="643" t="s">
        <v>3</v>
      </c>
      <c r="E199" s="67" t="b">
        <f t="shared" si="32"/>
        <v>0</v>
      </c>
      <c r="F199" s="399"/>
      <c r="G199" s="399" t="str">
        <f t="shared" si="33"/>
        <v/>
      </c>
      <c r="H199" s="44"/>
      <c r="I199" s="44"/>
      <c r="J199" s="44" t="str">
        <f t="shared" si="34"/>
        <v/>
      </c>
      <c r="K199" s="44"/>
      <c r="L199" s="44"/>
      <c r="M199" s="122"/>
      <c r="N199" s="4447"/>
      <c r="O199" s="4630"/>
      <c r="P199" s="1785"/>
      <c r="Q199" s="1060" t="s">
        <v>3</v>
      </c>
      <c r="R199" s="737" t="b">
        <f t="shared" si="35"/>
        <v>0</v>
      </c>
      <c r="S199" s="44"/>
      <c r="T199" s="399"/>
      <c r="U199" s="68"/>
      <c r="V199" s="4447"/>
      <c r="W199" s="4500"/>
      <c r="X199" s="2146"/>
      <c r="Y199" s="1748"/>
      <c r="Z199" s="1775"/>
    </row>
    <row r="200" spans="1:26" s="1558" customFormat="1" ht="409.5" x14ac:dyDescent="0.3">
      <c r="A200" s="2609" t="s">
        <v>179</v>
      </c>
      <c r="B200" s="1504"/>
      <c r="C200" s="2868" t="s">
        <v>1477</v>
      </c>
      <c r="D200" s="643" t="s">
        <v>3</v>
      </c>
      <c r="E200" s="67" t="b">
        <f t="shared" si="32"/>
        <v>0</v>
      </c>
      <c r="F200" s="44"/>
      <c r="G200" s="44" t="str">
        <f t="shared" si="33"/>
        <v/>
      </c>
      <c r="H200" s="44"/>
      <c r="I200" s="44"/>
      <c r="J200" s="44" t="str">
        <f t="shared" si="34"/>
        <v/>
      </c>
      <c r="K200" s="44"/>
      <c r="L200" s="44"/>
      <c r="M200" s="122"/>
      <c r="N200" s="4447"/>
      <c r="O200" s="4630"/>
      <c r="P200" s="1785"/>
      <c r="Q200" s="1060" t="s">
        <v>3</v>
      </c>
      <c r="R200" s="737" t="b">
        <f t="shared" si="35"/>
        <v>0</v>
      </c>
      <c r="S200" s="44"/>
      <c r="T200" s="399"/>
      <c r="U200" s="68"/>
      <c r="V200" s="4447"/>
      <c r="W200" s="4500"/>
      <c r="X200" s="2146"/>
      <c r="Y200" s="1748"/>
      <c r="Z200" s="1775"/>
    </row>
    <row r="201" spans="1:26" s="1558" customFormat="1" ht="43.5" x14ac:dyDescent="0.3">
      <c r="A201" s="2609" t="s">
        <v>180</v>
      </c>
      <c r="B201" s="1504"/>
      <c r="C201" s="2868" t="s">
        <v>1478</v>
      </c>
      <c r="D201" s="643" t="s">
        <v>3</v>
      </c>
      <c r="E201" s="67" t="b">
        <f t="shared" si="32"/>
        <v>0</v>
      </c>
      <c r="F201" s="44"/>
      <c r="G201" s="44" t="str">
        <f t="shared" si="33"/>
        <v/>
      </c>
      <c r="H201" s="44"/>
      <c r="I201" s="399"/>
      <c r="J201" s="399" t="str">
        <f t="shared" si="34"/>
        <v/>
      </c>
      <c r="K201" s="399"/>
      <c r="L201" s="399"/>
      <c r="M201" s="1785"/>
      <c r="N201" s="4447"/>
      <c r="O201" s="4630"/>
      <c r="P201" s="1785"/>
      <c r="Q201" s="1060" t="s">
        <v>3</v>
      </c>
      <c r="R201" s="737" t="b">
        <f t="shared" si="35"/>
        <v>0</v>
      </c>
      <c r="S201" s="44"/>
      <c r="T201" s="399"/>
      <c r="U201" s="68"/>
      <c r="V201" s="4447"/>
      <c r="W201" s="4500"/>
      <c r="X201" s="2146"/>
      <c r="Y201" s="1748"/>
      <c r="Z201" s="1775"/>
    </row>
    <row r="202" spans="1:26" s="1558" customFormat="1" ht="101.5" x14ac:dyDescent="0.3">
      <c r="A202" s="2609" t="s">
        <v>181</v>
      </c>
      <c r="B202" s="1504"/>
      <c r="C202" s="2868" t="s">
        <v>1479</v>
      </c>
      <c r="D202" s="643" t="s">
        <v>3</v>
      </c>
      <c r="E202" s="67" t="b">
        <f t="shared" si="32"/>
        <v>0</v>
      </c>
      <c r="F202" s="44"/>
      <c r="G202" s="44" t="str">
        <f t="shared" si="33"/>
        <v/>
      </c>
      <c r="H202" s="399"/>
      <c r="I202" s="44"/>
      <c r="J202" s="44" t="str">
        <f t="shared" si="34"/>
        <v/>
      </c>
      <c r="K202" s="44"/>
      <c r="L202" s="44"/>
      <c r="M202" s="122"/>
      <c r="N202" s="4447"/>
      <c r="O202" s="4630"/>
      <c r="P202" s="1785"/>
      <c r="Q202" s="1060" t="s">
        <v>3</v>
      </c>
      <c r="R202" s="737" t="b">
        <f t="shared" si="35"/>
        <v>0</v>
      </c>
      <c r="S202" s="44"/>
      <c r="T202" s="399"/>
      <c r="U202" s="68"/>
      <c r="V202" s="4447"/>
      <c r="W202" s="4500"/>
      <c r="X202" s="2146"/>
      <c r="Y202" s="1748"/>
      <c r="Z202" s="1775"/>
    </row>
    <row r="203" spans="1:26" s="1558" customFormat="1" ht="72.5" x14ac:dyDescent="0.3">
      <c r="A203" s="2609" t="s">
        <v>182</v>
      </c>
      <c r="B203" s="1504"/>
      <c r="C203" s="2868" t="s">
        <v>1480</v>
      </c>
      <c r="D203" s="643" t="s">
        <v>3</v>
      </c>
      <c r="E203" s="67" t="b">
        <f t="shared" si="32"/>
        <v>0</v>
      </c>
      <c r="F203" s="44"/>
      <c r="G203" s="44" t="str">
        <f t="shared" si="33"/>
        <v/>
      </c>
      <c r="H203" s="44"/>
      <c r="I203" s="44"/>
      <c r="J203" s="44" t="str">
        <f t="shared" si="34"/>
        <v/>
      </c>
      <c r="K203" s="44"/>
      <c r="L203" s="44"/>
      <c r="M203" s="122"/>
      <c r="N203" s="4447"/>
      <c r="O203" s="4630"/>
      <c r="P203" s="1785"/>
      <c r="Q203" s="1060" t="s">
        <v>3</v>
      </c>
      <c r="R203" s="737" t="b">
        <f t="shared" si="35"/>
        <v>0</v>
      </c>
      <c r="S203" s="44"/>
      <c r="T203" s="399"/>
      <c r="U203" s="68"/>
      <c r="V203" s="4447"/>
      <c r="W203" s="4500"/>
      <c r="X203" s="2146"/>
      <c r="Y203" s="1748"/>
      <c r="Z203" s="1775"/>
    </row>
    <row r="204" spans="1:26" s="1558" customFormat="1" ht="130.5" x14ac:dyDescent="0.3">
      <c r="A204" s="2609" t="s">
        <v>183</v>
      </c>
      <c r="B204" s="1508"/>
      <c r="C204" s="2868" t="s">
        <v>1481</v>
      </c>
      <c r="D204" s="643" t="s">
        <v>3</v>
      </c>
      <c r="E204" s="67" t="b">
        <f t="shared" si="32"/>
        <v>0</v>
      </c>
      <c r="F204" s="44"/>
      <c r="G204" s="44" t="str">
        <f t="shared" si="33"/>
        <v/>
      </c>
      <c r="H204" s="44"/>
      <c r="I204" s="44"/>
      <c r="J204" s="44" t="str">
        <f t="shared" si="34"/>
        <v/>
      </c>
      <c r="K204" s="44"/>
      <c r="L204" s="44"/>
      <c r="M204" s="122"/>
      <c r="N204" s="4447"/>
      <c r="O204" s="4630"/>
      <c r="P204" s="1785"/>
      <c r="Q204" s="1060" t="s">
        <v>3</v>
      </c>
      <c r="R204" s="737" t="b">
        <f t="shared" si="35"/>
        <v>0</v>
      </c>
      <c r="S204" s="44"/>
      <c r="T204" s="399"/>
      <c r="U204" s="68"/>
      <c r="V204" s="4447"/>
      <c r="W204" s="4500"/>
      <c r="X204" s="2146"/>
      <c r="Y204" s="1748"/>
      <c r="Z204" s="1775"/>
    </row>
    <row r="205" spans="1:26" s="1558" customFormat="1" ht="87" x14ac:dyDescent="0.3">
      <c r="A205" s="2614" t="s">
        <v>184</v>
      </c>
      <c r="B205" s="2874"/>
      <c r="C205" s="2875" t="s">
        <v>1482</v>
      </c>
      <c r="D205" s="643" t="s">
        <v>3</v>
      </c>
      <c r="E205" s="41" t="b">
        <f>IF(D205="Compliant",TRUE,FALSE)</f>
        <v>0</v>
      </c>
      <c r="F205" s="42"/>
      <c r="G205" s="42" t="str">
        <f t="shared" si="33"/>
        <v/>
      </c>
      <c r="H205" s="42"/>
      <c r="I205" s="2610"/>
      <c r="J205" s="2610" t="str">
        <f t="shared" si="34"/>
        <v/>
      </c>
      <c r="K205" s="2610"/>
      <c r="L205" s="2610"/>
      <c r="M205" s="2611"/>
      <c r="N205" s="4447"/>
      <c r="O205" s="4630"/>
      <c r="P205" s="1785"/>
      <c r="Q205" s="1060" t="s">
        <v>3</v>
      </c>
      <c r="R205" s="737" t="b">
        <f t="shared" si="35"/>
        <v>0</v>
      </c>
      <c r="S205" s="399"/>
      <c r="T205" s="399"/>
      <c r="U205" s="1752"/>
      <c r="V205" s="4447"/>
      <c r="W205" s="4500"/>
      <c r="X205" s="2146"/>
      <c r="Y205" s="1748"/>
      <c r="Z205" s="1775"/>
    </row>
    <row r="206" spans="1:26" s="1558" customFormat="1" ht="72.5" x14ac:dyDescent="0.3">
      <c r="A206" s="2614" t="s">
        <v>185</v>
      </c>
      <c r="B206" s="1500"/>
      <c r="C206" s="2875" t="s">
        <v>1483</v>
      </c>
      <c r="D206" s="643" t="s">
        <v>3</v>
      </c>
      <c r="E206" s="67" t="b">
        <f>IF(D206="Compliant",TRUE,FALSE)</f>
        <v>0</v>
      </c>
      <c r="F206" s="44"/>
      <c r="G206" s="44" t="str">
        <f>IF(I206&lt;&gt;"", "Not Blank", "")</f>
        <v/>
      </c>
      <c r="H206" s="44"/>
      <c r="I206" s="399"/>
      <c r="J206" s="399" t="str">
        <f>IF(L206&lt;&gt;"", "Not Blank", "")</f>
        <v/>
      </c>
      <c r="K206" s="399"/>
      <c r="L206" s="399"/>
      <c r="M206" s="1785"/>
      <c r="N206" s="4447"/>
      <c r="O206" s="4630"/>
      <c r="P206" s="1785"/>
      <c r="Q206" s="1060" t="s">
        <v>3</v>
      </c>
      <c r="R206" s="737" t="b">
        <f t="shared" si="35"/>
        <v>0</v>
      </c>
      <c r="S206" s="399"/>
      <c r="T206" s="399"/>
      <c r="U206" s="1752"/>
      <c r="V206" s="4447"/>
      <c r="W206" s="4500"/>
      <c r="X206" s="2146"/>
      <c r="Y206" s="1748"/>
      <c r="Z206" s="1775"/>
    </row>
    <row r="207" spans="1:26" s="1558" customFormat="1" ht="362.5" x14ac:dyDescent="0.3">
      <c r="A207" s="2609" t="s">
        <v>186</v>
      </c>
      <c r="B207" s="1810"/>
      <c r="C207" s="2868" t="s">
        <v>1484</v>
      </c>
      <c r="D207" s="643" t="s">
        <v>3</v>
      </c>
      <c r="E207" s="67" t="b">
        <f>IF(D207="Compliant",TRUE,FALSE)</f>
        <v>0</v>
      </c>
      <c r="F207" s="44"/>
      <c r="G207" s="44" t="str">
        <f>IF(I207&lt;&gt;"", "Not Blank", "")</f>
        <v/>
      </c>
      <c r="H207" s="44"/>
      <c r="I207" s="399"/>
      <c r="J207" s="399" t="str">
        <f>IF(L207&lt;&gt;"", "Not Blank", "")</f>
        <v/>
      </c>
      <c r="K207" s="399"/>
      <c r="L207" s="399"/>
      <c r="M207" s="1785"/>
      <c r="N207" s="4447"/>
      <c r="O207" s="4630"/>
      <c r="P207" s="1785"/>
      <c r="Q207" s="1060" t="s">
        <v>3</v>
      </c>
      <c r="R207" s="737" t="b">
        <f t="shared" si="35"/>
        <v>0</v>
      </c>
      <c r="S207" s="44"/>
      <c r="T207" s="399"/>
      <c r="U207" s="68"/>
      <c r="V207" s="4447"/>
      <c r="W207" s="4500"/>
      <c r="X207" s="2146"/>
      <c r="Y207" s="1748"/>
      <c r="Z207" s="1775"/>
    </row>
    <row r="208" spans="1:26" s="1558" customFormat="1" ht="58.5" thickBot="1" x14ac:dyDescent="0.35">
      <c r="A208" s="2609" t="s">
        <v>187</v>
      </c>
      <c r="B208" s="1504"/>
      <c r="C208" s="2876" t="s">
        <v>1485</v>
      </c>
      <c r="D208" s="644" t="s">
        <v>3</v>
      </c>
      <c r="E208" s="161" t="b">
        <f>IF(D208="Compliant",TRUE,FALSE)</f>
        <v>0</v>
      </c>
      <c r="F208" s="124"/>
      <c r="G208" s="124" t="str">
        <f>IF(I208&lt;&gt;"", "Not Blank", "")</f>
        <v/>
      </c>
      <c r="H208" s="1765"/>
      <c r="I208" s="1765"/>
      <c r="J208" s="1765" t="str">
        <f>IF(L208&lt;&gt;"", "Not Blank", "")</f>
        <v/>
      </c>
      <c r="K208" s="1765"/>
      <c r="L208" s="1765"/>
      <c r="M208" s="1784"/>
      <c r="N208" s="4448"/>
      <c r="O208" s="4631"/>
      <c r="P208" s="1784"/>
      <c r="Q208" s="1017" t="s">
        <v>3</v>
      </c>
      <c r="R208" s="737" t="b">
        <f t="shared" si="35"/>
        <v>0</v>
      </c>
      <c r="S208" s="124"/>
      <c r="T208" s="1765"/>
      <c r="U208" s="246"/>
      <c r="V208" s="4448"/>
      <c r="W208" s="4501"/>
      <c r="X208" s="831"/>
      <c r="Y208" s="1764"/>
      <c r="Z208" s="1780"/>
    </row>
    <row r="209" spans="1:26" s="1558" customFormat="1" ht="32.15" customHeight="1" thickTop="1" thickBot="1" x14ac:dyDescent="0.35">
      <c r="A209" s="2609"/>
      <c r="B209" s="2033" t="s">
        <v>1714</v>
      </c>
      <c r="C209" s="1923" t="s">
        <v>188</v>
      </c>
      <c r="D209" s="1640" t="s">
        <v>565</v>
      </c>
      <c r="E209" s="978" t="b" cm="1">
        <f t="array" ref="E209">IF(AND(E210:E211=TRUE),TRUE,FALSE)</f>
        <v>0</v>
      </c>
      <c r="F209" s="979">
        <f>COUNTIF(E210:E211,TRUE)</f>
        <v>0</v>
      </c>
      <c r="G209" s="979">
        <f>COUNTIFS(E210:E211,TRUE,G210:G211,"Not Blank")</f>
        <v>0</v>
      </c>
      <c r="H209" s="979">
        <f>COUNTIFS(E210:E211,FALSE,G210:G211,"Not Blank")</f>
        <v>0</v>
      </c>
      <c r="I209" s="2954" t="str">
        <f xml:space="preserve">
IF(F209&gt;3,"Too Many Entries - Check Red Lines",
IF(AND(E209=FALSE,G209=0,H209=0),"Nothing Entered below Yet",
IF(AND(G209=0,H209&gt;0),"**Non-Valid Entry/ies below - Check Yellow Line/s",
IF(G209&lt;F209,"Valid Entry required below - Check Amber box",
IF(AND(G209&gt;0,H209&gt;0),"**Valid and Non-Valid Entries made below - Check Yellow Line/s",
IF(AND(E209=FALSE,F209&lt;3),"Not all requirements addressed below - Check Pink Line/s",
IF(AND(E209=FALSE,G209&lt;3,G209&gt;0,H209=0),"More entries to come",
IF(AND(E209,TRUE,G209=3,H209=0),"Valid Entries made below"
))))))))</f>
        <v>Nothing Entered below Yet</v>
      </c>
      <c r="J209" s="2955">
        <f>COUNTIFS(E210:E211,TRUE,J210:J211,"Not Blank")</f>
        <v>0</v>
      </c>
      <c r="K209" s="2955">
        <f>COUNTIFS(E210:E211,FALSE,J210:J211,"Not Blank")</f>
        <v>0</v>
      </c>
      <c r="L209" s="2954" t="str">
        <f xml:space="preserve">
IF(J209&gt;3,"Too Many Entries - Check Red Lines",
IF(AND(E209=FALSE,J209=0,K209=0,E209=TRUE),"Nothing Required Below",
IF(J209&lt;F209,"Valid Entry required below - Check Amber Line/s",
IF(AND(E209=FALSE,J209=0,K209=0),"Nothing Entered below Yet",
IF(AND(J209=0,K209&gt;0),"**Non-Valid Entry/ies below - Check Yellow Line/s",
IF(AND(J209&gt;0,K209&gt;0),"**Valid and Non-Valid Entries made below - Check Yellow Line/s",
IF(AND(E209=FALSE,J209&lt;3),"Not all requirements addressed below - Check Pink Line/s",
IF(AND(E209=FALSE,J209&lt;3,J209&gt;0,K209=0),"More entries to come",
IF(AND(E209,TRUE,J209=3,K209=0),"Valid Entries made below"
)))))))))</f>
        <v>Nothing Entered below Yet</v>
      </c>
      <c r="M209" s="1781"/>
      <c r="N209" s="4446" t="s">
        <v>3</v>
      </c>
      <c r="O209" s="4526" t="b">
        <f>IF(OR(N209="Compliant",N209="FE with work-a-round",N209="Functionally Equivalent"),TRUE,FALSE)</f>
        <v>0</v>
      </c>
      <c r="P209" s="102"/>
      <c r="Q209" s="4103" t="s">
        <v>565</v>
      </c>
      <c r="R209" s="814" t="b" cm="1">
        <f t="array" ref="R209">IF(AND(R210:R211=TRUE),TRUE,FALSE)</f>
        <v>0</v>
      </c>
      <c r="S209" s="111"/>
      <c r="T209" s="111"/>
      <c r="U209" s="120"/>
      <c r="V209" s="4446" t="s">
        <v>3</v>
      </c>
      <c r="W209" s="4499" t="b">
        <f>IF(OR(V209="Compliant",V209="FE with work-a-round",V209="Functionally Equivalent",V209="Not Required/Applicable"),TRUE,FALSE)</f>
        <v>0</v>
      </c>
      <c r="X209" s="2145"/>
      <c r="Y209" s="1750"/>
      <c r="Z209" s="1772"/>
    </row>
    <row r="210" spans="1:26" s="1558" customFormat="1" ht="73.5" thickTop="1" thickBot="1" x14ac:dyDescent="0.35">
      <c r="A210" s="2614" t="s">
        <v>174</v>
      </c>
      <c r="B210" s="2877"/>
      <c r="C210" s="2867" t="s">
        <v>1486</v>
      </c>
      <c r="D210" s="2369" t="s">
        <v>3</v>
      </c>
      <c r="E210" s="41" t="b">
        <f>IF(D210="Compliant",TRUE,FALSE)</f>
        <v>0</v>
      </c>
      <c r="F210" s="42"/>
      <c r="G210" s="42" t="str">
        <f>IF(I210&lt;&gt;"", "Not Blank", "")</f>
        <v/>
      </c>
      <c r="H210" s="44"/>
      <c r="I210" s="1779"/>
      <c r="J210" s="2610" t="str">
        <f>IF(L210&lt;&gt;"", "Not Blank", "")</f>
        <v/>
      </c>
      <c r="K210" s="2610"/>
      <c r="L210" s="1779"/>
      <c r="M210" s="2611"/>
      <c r="N210" s="4447"/>
      <c r="O210" s="4630"/>
      <c r="P210" s="128"/>
      <c r="Q210" s="1863" t="s">
        <v>3</v>
      </c>
      <c r="R210" s="737" t="b">
        <f>IF(OR(Q210="Compliant",Q210="FE with work-a-round",Q210="Functionally Equivalent"),TRUE,FALSE)</f>
        <v>0</v>
      </c>
      <c r="S210" s="44"/>
      <c r="T210" s="44"/>
      <c r="U210" s="68"/>
      <c r="V210" s="4447"/>
      <c r="W210" s="4500"/>
      <c r="X210" s="2146"/>
      <c r="Y210" s="1748"/>
      <c r="Z210" s="1775"/>
    </row>
    <row r="211" spans="1:26" s="1558" customFormat="1" ht="409.6" thickTop="1" thickBot="1" x14ac:dyDescent="0.35">
      <c r="A211" s="2609" t="s">
        <v>175</v>
      </c>
      <c r="B211" s="1504"/>
      <c r="C211" s="2868" t="s">
        <v>1487</v>
      </c>
      <c r="D211" s="644" t="s">
        <v>3</v>
      </c>
      <c r="E211" s="161" t="b">
        <f>IF(D211="Compliant",TRUE,FALSE)</f>
        <v>0</v>
      </c>
      <c r="F211" s="1765"/>
      <c r="G211" s="1765" t="str">
        <f>IF(I211&lt;&gt;"", "Not Blank", "")</f>
        <v/>
      </c>
      <c r="H211" s="124"/>
      <c r="I211" s="1765"/>
      <c r="J211" s="1765" t="str">
        <f>IF(L211&lt;&gt;"", "Not Blank", "")</f>
        <v/>
      </c>
      <c r="K211" s="1765"/>
      <c r="L211" s="1765"/>
      <c r="M211" s="1784"/>
      <c r="N211" s="4448"/>
      <c r="O211" s="4631"/>
      <c r="P211" s="2612"/>
      <c r="Q211" s="1017" t="s">
        <v>3</v>
      </c>
      <c r="R211" s="1543" t="b">
        <f>IF(OR(Q211="Compliant",Q211="FE with work-a-round",Q211="Functionally Equivalent"),TRUE,FALSE)</f>
        <v>0</v>
      </c>
      <c r="S211" s="44"/>
      <c r="T211" s="399"/>
      <c r="U211" s="68"/>
      <c r="V211" s="4448"/>
      <c r="W211" s="4501"/>
      <c r="X211" s="2146"/>
      <c r="Y211" s="1776"/>
      <c r="Z211" s="1777"/>
    </row>
    <row r="212" spans="1:26" s="1558" customFormat="1" ht="117" thickTop="1" thickBot="1" x14ac:dyDescent="0.35">
      <c r="A212" s="2615" t="s">
        <v>174</v>
      </c>
      <c r="B212" s="1504"/>
      <c r="C212" s="2868" t="s">
        <v>1489</v>
      </c>
      <c r="D212" s="588" t="s">
        <v>3</v>
      </c>
      <c r="E212" s="41" t="b">
        <f>IF(D212="Compliant",TRUE,FALSE)</f>
        <v>0</v>
      </c>
      <c r="F212" s="42"/>
      <c r="G212" s="42" t="str">
        <f>IF(I212&lt;&gt;"", "Not Blank", "")</f>
        <v/>
      </c>
      <c r="H212" s="42"/>
      <c r="I212" s="2610"/>
      <c r="J212" s="2610" t="str">
        <f>IF(L212&lt;&gt;"", "Not Blank", "")</f>
        <v/>
      </c>
      <c r="K212" s="2610"/>
      <c r="L212" s="2610"/>
      <c r="M212" s="2611"/>
      <c r="N212" s="4446" t="s">
        <v>3</v>
      </c>
      <c r="O212" s="4629" t="b">
        <f>IF(OR(N212="Compliant",N212="FE with work-a-round",N212="Functionally Equivalent"),TRUE,FALSE)</f>
        <v>0</v>
      </c>
      <c r="P212" s="120"/>
      <c r="Q212" s="4446" t="s">
        <v>3</v>
      </c>
      <c r="R212" s="4629" t="b">
        <f>IF(OR(Q212="Compliant",Q212="FE with work-a-round",Q212="Functionally Equivalent"),TRUE,FALSE)</f>
        <v>0</v>
      </c>
      <c r="S212" s="111"/>
      <c r="T212" s="111"/>
      <c r="U212" s="120"/>
      <c r="V212" s="4446" t="s">
        <v>3</v>
      </c>
      <c r="W212" s="4499" t="b">
        <f>IF(OR(V212="Compliant",V212="FE with work-a-round",V212="Functionally Equivalent",V212="Not Required/Applicable"),TRUE,FALSE)</f>
        <v>0</v>
      </c>
      <c r="X212" s="2145"/>
      <c r="Y212" s="1750"/>
      <c r="Z212" s="1772"/>
    </row>
    <row r="213" spans="1:26" s="1558" customFormat="1" ht="73.5" thickTop="1" thickBot="1" x14ac:dyDescent="0.35">
      <c r="A213" s="2615" t="s">
        <v>174</v>
      </c>
      <c r="B213" s="1504"/>
      <c r="C213" s="2868" t="s">
        <v>1490</v>
      </c>
      <c r="D213" s="643" t="s">
        <v>3</v>
      </c>
      <c r="E213" s="67" t="b">
        <f>IF(D213="Compliant",TRUE,FALSE)</f>
        <v>0</v>
      </c>
      <c r="F213" s="44"/>
      <c r="G213" s="44" t="str">
        <f>IF(I213&lt;&gt;"", "Not Blank", "")</f>
        <v/>
      </c>
      <c r="H213" s="44"/>
      <c r="I213" s="399"/>
      <c r="J213" s="399" t="str">
        <f>IF(L213&lt;&gt;"", "Not Blank", "")</f>
        <v/>
      </c>
      <c r="K213" s="399"/>
      <c r="L213" s="399"/>
      <c r="M213" s="1785"/>
      <c r="N213" s="4447"/>
      <c r="O213" s="4630"/>
      <c r="P213" s="1785"/>
      <c r="Q213" s="4447" t="s">
        <v>3</v>
      </c>
      <c r="R213" s="4630"/>
      <c r="S213" s="44"/>
      <c r="T213" s="399"/>
      <c r="U213" s="68"/>
      <c r="V213" s="4447"/>
      <c r="W213" s="4500"/>
      <c r="X213" s="2146"/>
      <c r="Y213" s="1748"/>
      <c r="Z213" s="1775"/>
    </row>
    <row r="214" spans="1:26" s="1558" customFormat="1" ht="305.5" thickTop="1" thickBot="1" x14ac:dyDescent="0.35">
      <c r="A214" s="2615" t="s">
        <v>174</v>
      </c>
      <c r="B214" s="1505"/>
      <c r="C214" s="2871" t="s">
        <v>1491</v>
      </c>
      <c r="D214" s="644" t="s">
        <v>3</v>
      </c>
      <c r="E214" s="161" t="b">
        <f>IF(D214="Compliant",TRUE,FALSE)</f>
        <v>0</v>
      </c>
      <c r="F214" s="124"/>
      <c r="G214" s="124" t="str">
        <f>IF(I214&lt;&gt;"", "Not Blank", "")</f>
        <v/>
      </c>
      <c r="H214" s="124"/>
      <c r="I214" s="1765"/>
      <c r="J214" s="1765" t="str">
        <f>IF(L214&lt;&gt;"", "Not Blank", "")</f>
        <v/>
      </c>
      <c r="K214" s="1765"/>
      <c r="L214" s="1765"/>
      <c r="M214" s="1784"/>
      <c r="N214" s="4448"/>
      <c r="O214" s="4631"/>
      <c r="P214" s="1784"/>
      <c r="Q214" s="4448" t="s">
        <v>3</v>
      </c>
      <c r="R214" s="4631"/>
      <c r="S214" s="124"/>
      <c r="T214" s="1765"/>
      <c r="U214" s="246"/>
      <c r="V214" s="4448"/>
      <c r="W214" s="4501"/>
      <c r="X214" s="831"/>
      <c r="Y214" s="1764"/>
      <c r="Z214" s="1780"/>
    </row>
    <row r="215" spans="1:26" ht="15" thickTop="1" x14ac:dyDescent="0.3">
      <c r="A215" s="57"/>
      <c r="B215" s="57"/>
      <c r="C215" s="57"/>
      <c r="D215" s="28"/>
      <c r="H215" s="28"/>
      <c r="I215" s="1386"/>
      <c r="J215" s="1386"/>
      <c r="K215" s="1386"/>
      <c r="L215" s="1386"/>
      <c r="M215" s="1386"/>
      <c r="N215" s="1386"/>
      <c r="O215" s="1386"/>
      <c r="P215" s="1386"/>
      <c r="Q215" s="1386"/>
      <c r="R215" s="1386"/>
      <c r="S215" s="1386"/>
      <c r="T215" s="1386"/>
    </row>
    <row r="216" spans="1:26" x14ac:dyDescent="0.3">
      <c r="B216" s="1419"/>
    </row>
    <row r="217" spans="1:26" x14ac:dyDescent="0.3">
      <c r="B217" s="1419"/>
    </row>
    <row r="218" spans="1:26" x14ac:dyDescent="0.3">
      <c r="B218" s="1419"/>
    </row>
    <row r="219" spans="1:26" x14ac:dyDescent="0.3">
      <c r="B219" s="1419"/>
    </row>
    <row r="220" spans="1:26" x14ac:dyDescent="0.3">
      <c r="B220" s="1419"/>
      <c r="P220" s="2616"/>
    </row>
    <row r="221" spans="1:26" x14ac:dyDescent="0.3">
      <c r="B221" s="1419"/>
    </row>
    <row r="222" spans="1:26" x14ac:dyDescent="0.3">
      <c r="B222" s="1419"/>
    </row>
    <row r="223" spans="1:26" x14ac:dyDescent="0.3">
      <c r="B223" s="1419"/>
    </row>
    <row r="224" spans="1:26" x14ac:dyDescent="0.3">
      <c r="B224" s="1419"/>
    </row>
    <row r="225" spans="2:2" x14ac:dyDescent="0.3">
      <c r="B225" s="1419"/>
    </row>
    <row r="226" spans="2:2" x14ac:dyDescent="0.3">
      <c r="B226" s="1419"/>
    </row>
    <row r="227" spans="2:2" x14ac:dyDescent="0.3">
      <c r="B227" s="1419"/>
    </row>
    <row r="228" spans="2:2" x14ac:dyDescent="0.3">
      <c r="B228" s="1419"/>
    </row>
  </sheetData>
  <sheetProtection algorithmName="SHA-512" hashValue="pjkseJkbcuuAYYbIdLA2zCz97Ii2m2dG+gEbEz7MQHRbUyh2ZgqtiXOTVYak4503TQs2tjjaF8FTuV4aMBOuxA==" saltValue="iWY5Tij+R/ZT1ttPKRnGNg==" spinCount="100000" sheet="1" formatCells="0" insertHyperlinks="0" selectLockedCells="1" autoFilter="0"/>
  <mergeCells count="114">
    <mergeCell ref="B2:D2"/>
    <mergeCell ref="B3:D3"/>
    <mergeCell ref="B1:D1"/>
    <mergeCell ref="A4:D4"/>
    <mergeCell ref="A6:C6"/>
    <mergeCell ref="A21:C21"/>
    <mergeCell ref="D21:N21"/>
    <mergeCell ref="A177:N177"/>
    <mergeCell ref="A48:C48"/>
    <mergeCell ref="D48:N48"/>
    <mergeCell ref="A119:C119"/>
    <mergeCell ref="D119:N119"/>
    <mergeCell ref="N101:N103"/>
    <mergeCell ref="N104:N109"/>
    <mergeCell ref="A40:C40"/>
    <mergeCell ref="D40:N40"/>
    <mergeCell ref="N89:N93"/>
    <mergeCell ref="W194:W208"/>
    <mergeCell ref="V194:V208"/>
    <mergeCell ref="O194:O208"/>
    <mergeCell ref="N194:N208"/>
    <mergeCell ref="N181:N193"/>
    <mergeCell ref="O181:O193"/>
    <mergeCell ref="V181:V193"/>
    <mergeCell ref="W181:W193"/>
    <mergeCell ref="N212:N214"/>
    <mergeCell ref="W209:W211"/>
    <mergeCell ref="V209:V211"/>
    <mergeCell ref="O209:O211"/>
    <mergeCell ref="N209:N211"/>
    <mergeCell ref="Q212:Q214"/>
    <mergeCell ref="W212:W214"/>
    <mergeCell ref="V212:V214"/>
    <mergeCell ref="R212:R214"/>
    <mergeCell ref="O212:O214"/>
    <mergeCell ref="W122:W125"/>
    <mergeCell ref="V122:V125"/>
    <mergeCell ref="O122:O125"/>
    <mergeCell ref="N122:N125"/>
    <mergeCell ref="O110:O115"/>
    <mergeCell ref="N110:N115"/>
    <mergeCell ref="V110:V115"/>
    <mergeCell ref="W110:W115"/>
    <mergeCell ref="W151:W175"/>
    <mergeCell ref="V151:V175"/>
    <mergeCell ref="O151:O175"/>
    <mergeCell ref="N127:N148"/>
    <mergeCell ref="V127:V148"/>
    <mergeCell ref="W127:W148"/>
    <mergeCell ref="O127:O148"/>
    <mergeCell ref="N151:N175"/>
    <mergeCell ref="W98:W99"/>
    <mergeCell ref="V98:V99"/>
    <mergeCell ref="O98:O99"/>
    <mergeCell ref="N98:N99"/>
    <mergeCell ref="O94:O97"/>
    <mergeCell ref="V94:V97"/>
    <mergeCell ref="W94:W97"/>
    <mergeCell ref="N94:N97"/>
    <mergeCell ref="W104:W109"/>
    <mergeCell ref="V104:V109"/>
    <mergeCell ref="W101:W103"/>
    <mergeCell ref="V101:V103"/>
    <mergeCell ref="O101:O103"/>
    <mergeCell ref="O104:O109"/>
    <mergeCell ref="W61:W66"/>
    <mergeCell ref="V61:V66"/>
    <mergeCell ref="O61:O66"/>
    <mergeCell ref="N61:N66"/>
    <mergeCell ref="O67:O70"/>
    <mergeCell ref="N67:N70"/>
    <mergeCell ref="O71:O74"/>
    <mergeCell ref="N71:N74"/>
    <mergeCell ref="N75:N78"/>
    <mergeCell ref="O75:O78"/>
    <mergeCell ref="W67:W70"/>
    <mergeCell ref="V67:V70"/>
    <mergeCell ref="O79:O81"/>
    <mergeCell ref="N79:N81"/>
    <mergeCell ref="W71:W74"/>
    <mergeCell ref="V71:V74"/>
    <mergeCell ref="W75:W78"/>
    <mergeCell ref="V75:V78"/>
    <mergeCell ref="W79:W81"/>
    <mergeCell ref="V79:V81"/>
    <mergeCell ref="W89:W93"/>
    <mergeCell ref="V89:V93"/>
    <mergeCell ref="O89:O93"/>
    <mergeCell ref="W42:W46"/>
    <mergeCell ref="V42:V46"/>
    <mergeCell ref="O42:O46"/>
    <mergeCell ref="N42:N46"/>
    <mergeCell ref="W34:W38"/>
    <mergeCell ref="V34:V38"/>
    <mergeCell ref="O34:O38"/>
    <mergeCell ref="N34:N38"/>
    <mergeCell ref="W52:W57"/>
    <mergeCell ref="V52:V57"/>
    <mergeCell ref="O52:O57"/>
    <mergeCell ref="N52:N57"/>
    <mergeCell ref="W8:W10"/>
    <mergeCell ref="V8:V10"/>
    <mergeCell ref="R8:R10"/>
    <mergeCell ref="Q8:Q10"/>
    <mergeCell ref="O8:O10"/>
    <mergeCell ref="N8:N10"/>
    <mergeCell ref="W30:W33"/>
    <mergeCell ref="V30:V33"/>
    <mergeCell ref="O30:O33"/>
    <mergeCell ref="N30:N33"/>
    <mergeCell ref="W24:W28"/>
    <mergeCell ref="V24:V28"/>
    <mergeCell ref="O24:O28"/>
    <mergeCell ref="N24:N28"/>
  </mergeCells>
  <conditionalFormatting sqref="B8 D8">
    <cfRule type="expression" dxfId="6156" priority="1165">
      <formula>IF($E8,TRUE)</formula>
    </cfRule>
  </conditionalFormatting>
  <conditionalFormatting sqref="B9">
    <cfRule type="expression" dxfId="6155" priority="1188">
      <formula>IF(AND($E9=TRUE,$E10=TRUE),TRUE,FALSE)</formula>
    </cfRule>
  </conditionalFormatting>
  <conditionalFormatting sqref="B9:B10">
    <cfRule type="expression" dxfId="6154" priority="1189">
      <formula>IF(AND($F$8&gt;0,$D9="",$E9=FALSE),TRUE,FALSE)</formula>
    </cfRule>
    <cfRule type="expression" dxfId="6153" priority="1191">
      <formula>IF(AND($E9=FALSE,OR($I9&lt;&gt;"",$L9&lt;&gt;"")),TRUE,FALSE)</formula>
    </cfRule>
    <cfRule type="expression" dxfId="6152" priority="1192">
      <formula>IF(AND($E9=TRUE,OR($I9="",$J9="")),TRUE,FALSE)</formula>
    </cfRule>
    <cfRule type="expression" dxfId="6151" priority="1193">
      <formula>IF(AND($E9=TRUE,OR($I9&lt;&gt;"",$L9="")),TRUE,FALSE)</formula>
    </cfRule>
  </conditionalFormatting>
  <conditionalFormatting sqref="B10">
    <cfRule type="expression" dxfId="6150" priority="1190">
      <formula>IF(AND($E10=TRUE,$E9=TRUE),TRUE,FALSE)</formula>
    </cfRule>
  </conditionalFormatting>
  <conditionalFormatting sqref="B12:B15">
    <cfRule type="expression" dxfId="6149" priority="1230">
      <formula>IF($E12=TRUE,TRUE,FALSE)</formula>
    </cfRule>
  </conditionalFormatting>
  <conditionalFormatting sqref="B17:B19">
    <cfRule type="expression" dxfId="6148" priority="999">
      <formula>IF(AND($E17=FALSE,OR($I17&lt;&gt;"",$L17&lt;&gt;"")),TRUE,FALSE)</formula>
    </cfRule>
    <cfRule type="expression" dxfId="6147" priority="1000">
      <formula>IF(AND($E17=TRUE,$I17&lt;&gt;"",$L17&lt;&gt;""),TRUE,FALSE)</formula>
    </cfRule>
    <cfRule type="expression" dxfId="6146" priority="1001">
      <formula>IF(AND($E17=TRUE,OR($I17="",$L17="")),TRUE,FALSE)</formula>
    </cfRule>
  </conditionalFormatting>
  <conditionalFormatting sqref="B23:B24 D23:D24">
    <cfRule type="expression" dxfId="6145" priority="1169">
      <formula>IF($E23,TRUE)</formula>
    </cfRule>
  </conditionalFormatting>
  <conditionalFormatting sqref="B25:B28 B62:B66 B68:B70 B139:B150 B211:B214">
    <cfRule type="expression" dxfId="6144" priority="1161">
      <formula>IF(AND($E25=FALSE,OR($I25&lt;&gt;"",$L25&lt;&gt;"")),TRUE,FALSE)</formula>
    </cfRule>
    <cfRule type="expression" dxfId="6143" priority="1162">
      <formula>IF(AND($E25=TRUE,$I25&lt;&gt;"",$L25&lt;&gt;""),TRUE,FALSE)</formula>
    </cfRule>
    <cfRule type="expression" dxfId="6142" priority="1163">
      <formula>IF(AND($E25=TRUE,OR($I25="",$L25="")),TRUE,FALSE)</formula>
    </cfRule>
  </conditionalFormatting>
  <conditionalFormatting sqref="B29:B30 D29:D30">
    <cfRule type="expression" dxfId="6141" priority="1171">
      <formula>IF($E29,TRUE)</formula>
    </cfRule>
  </conditionalFormatting>
  <conditionalFormatting sqref="B31:B33">
    <cfRule type="expression" dxfId="6140" priority="1053">
      <formula>IF(AND($E31=FALSE,OR($I31&lt;&gt;"",$L31&lt;&gt;"")),TRUE,FALSE)</formula>
    </cfRule>
    <cfRule type="expression" dxfId="6139" priority="1054">
      <formula>IF(AND($E31=TRUE,$I31&lt;&gt;"",$L31&lt;&gt;""),TRUE,FALSE)</formula>
    </cfRule>
    <cfRule type="expression" dxfId="6138" priority="1055">
      <formula>IF(AND($E31=TRUE,OR($I31="",$L31="")),TRUE,FALSE)</formula>
    </cfRule>
  </conditionalFormatting>
  <conditionalFormatting sqref="B34">
    <cfRule type="expression" dxfId="6137" priority="1050">
      <formula>IF($E34,TRUE)</formula>
    </cfRule>
  </conditionalFormatting>
  <conditionalFormatting sqref="B35:B38">
    <cfRule type="expression" dxfId="6136" priority="1158">
      <formula>IF(AND($E35=FALSE,OR($I35&lt;&gt;"",$L35&lt;&gt;"")),TRUE,FALSE)</formula>
    </cfRule>
    <cfRule type="expression" dxfId="6135" priority="1159">
      <formula>IF(AND($E35=TRUE,$I35&lt;&gt;"",$L35&lt;&gt;""),TRUE,FALSE)</formula>
    </cfRule>
    <cfRule type="expression" dxfId="6134" priority="1160">
      <formula>IF(AND($E35=TRUE,OR($I35="",$L35="")),TRUE,FALSE)</formula>
    </cfRule>
  </conditionalFormatting>
  <conditionalFormatting sqref="B42 D42">
    <cfRule type="expression" dxfId="6133" priority="1173">
      <formula>IF($E42,TRUE)</formula>
    </cfRule>
  </conditionalFormatting>
  <conditionalFormatting sqref="B43:B46">
    <cfRule type="expression" dxfId="6132" priority="1155">
      <formula>IF(AND($E43=FALSE,OR($I43&lt;&gt;"",$L43&lt;&gt;"")),TRUE,FALSE)</formula>
    </cfRule>
    <cfRule type="expression" dxfId="6131" priority="1156">
      <formula>IF(AND($E43=TRUE,$I43&lt;&gt;"",$L43&lt;&gt;""),TRUE,FALSE)</formula>
    </cfRule>
    <cfRule type="expression" dxfId="6130" priority="1157">
      <formula>IF(AND($E43=TRUE,OR($I43="",$L43="")),TRUE,FALSE)</formula>
    </cfRule>
  </conditionalFormatting>
  <conditionalFormatting sqref="B50:B52 D50:D52">
    <cfRule type="expression" dxfId="6129" priority="1024">
      <formula>IF($E50,TRUE)</formula>
    </cfRule>
  </conditionalFormatting>
  <conditionalFormatting sqref="B53:B58">
    <cfRule type="expression" dxfId="6128" priority="1152">
      <formula>IF(AND($E53=FALSE,OR($I53&lt;&gt;"",$L53&lt;&gt;"")),TRUE,FALSE)</formula>
    </cfRule>
    <cfRule type="expression" dxfId="6127" priority="1153">
      <formula>IF(AND($E53=TRUE,$I53&lt;&gt;"",$L53&lt;&gt;""),TRUE,FALSE)</formula>
    </cfRule>
    <cfRule type="expression" dxfId="6126" priority="1154">
      <formula>IF(AND($E53=TRUE,OR($I53="",$L53="")),TRUE,FALSE)</formula>
    </cfRule>
  </conditionalFormatting>
  <conditionalFormatting sqref="B67">
    <cfRule type="expression" dxfId="6125" priority="107">
      <formula>IF($E67,TRUE)</formula>
    </cfRule>
  </conditionalFormatting>
  <conditionalFormatting sqref="B71 D71">
    <cfRule type="expression" dxfId="6124" priority="1177">
      <formula>IF($E71,TRUE)</formula>
    </cfRule>
  </conditionalFormatting>
  <conditionalFormatting sqref="B72:B74">
    <cfRule type="expression" dxfId="6123" priority="1146">
      <formula>IF(AND($E72=FALSE,OR($I72&lt;&gt;"",$L72&lt;&gt;"")),TRUE,FALSE)</formula>
    </cfRule>
    <cfRule type="expression" dxfId="6122" priority="1147">
      <formula>IF(AND($E72=TRUE,$I72&lt;&gt;"",$L72&lt;&gt;""),TRUE,FALSE)</formula>
    </cfRule>
    <cfRule type="expression" dxfId="6121" priority="1148">
      <formula>IF(AND($E72=TRUE,OR($I72="",$L72="")),TRUE,FALSE)</formula>
    </cfRule>
  </conditionalFormatting>
  <conditionalFormatting sqref="B75 D75">
    <cfRule type="expression" dxfId="6120" priority="1178">
      <formula>IF($E75,TRUE)</formula>
    </cfRule>
  </conditionalFormatting>
  <conditionalFormatting sqref="B76:B78">
    <cfRule type="expression" dxfId="6119" priority="1143">
      <formula>IF(AND($E76=FALSE,OR($I76&lt;&gt;"",$L76&lt;&gt;"")),TRUE,FALSE)</formula>
    </cfRule>
    <cfRule type="expression" dxfId="6118" priority="1144">
      <formula>IF(AND($E76=TRUE,$I76&lt;&gt;"",$L76&lt;&gt;""),TRUE,FALSE)</formula>
    </cfRule>
    <cfRule type="expression" dxfId="6117" priority="1145">
      <formula>IF(AND($E76=TRUE,OR($I76="",$L76="")),TRUE,FALSE)</formula>
    </cfRule>
  </conditionalFormatting>
  <conditionalFormatting sqref="B79 D79">
    <cfRule type="expression" dxfId="6116" priority="1109">
      <formula>IF($E79,TRUE)</formula>
    </cfRule>
  </conditionalFormatting>
  <conditionalFormatting sqref="B80:B87">
    <cfRule type="expression" dxfId="6115" priority="1106">
      <formula>IF(AND($E80=FALSE,OR($I80&lt;&gt;"",$L80&lt;&gt;"")),TRUE,FALSE)</formula>
    </cfRule>
    <cfRule type="expression" dxfId="6114" priority="1107">
      <formula>IF(AND($E80=TRUE,$I80&lt;&gt;"",$L80&lt;&gt;""),TRUE,FALSE)</formula>
    </cfRule>
    <cfRule type="expression" dxfId="6113" priority="1108">
      <formula>IF(AND($E80=TRUE,OR($I80="",$L80="")),TRUE,FALSE)</formula>
    </cfRule>
  </conditionalFormatting>
  <conditionalFormatting sqref="B88:B89 D88:D89">
    <cfRule type="expression" dxfId="6112" priority="1179">
      <formula>IF($E88,TRUE)</formula>
    </cfRule>
  </conditionalFormatting>
  <conditionalFormatting sqref="B90:B99">
    <cfRule type="expression" dxfId="6111" priority="1137">
      <formula>IF(AND($E90=FALSE,OR($I90&lt;&gt;"",$L90&lt;&gt;"")),TRUE,FALSE)</formula>
    </cfRule>
    <cfRule type="expression" dxfId="6110" priority="1138">
      <formula>IF(AND($E90=TRUE,$I90&lt;&gt;"",$L90&lt;&gt;""),TRUE,FALSE)</formula>
    </cfRule>
    <cfRule type="expression" dxfId="6109" priority="1139">
      <formula>IF(AND($E90=TRUE,OR($I90="",$L90="")),TRUE,FALSE)</formula>
    </cfRule>
  </conditionalFormatting>
  <conditionalFormatting sqref="B98:B99">
    <cfRule type="expression" dxfId="6108" priority="1066">
      <formula>IF(AND($E$98=TRUE,$E$99=TRUE),TRUE,FALSE)</formula>
    </cfRule>
  </conditionalFormatting>
  <conditionalFormatting sqref="B100:B101 D100:D101 B104 D104">
    <cfRule type="expression" dxfId="6107" priority="1097">
      <formula>IF($E100,TRUE)</formula>
    </cfRule>
  </conditionalFormatting>
  <conditionalFormatting sqref="B102:B103">
    <cfRule type="expression" dxfId="6106" priority="1083">
      <formula>IF(AND($E102=FALSE,OR($I102&lt;&gt;"",$L102&lt;&gt;"")),TRUE,FALSE)</formula>
    </cfRule>
    <cfRule type="expression" dxfId="6105" priority="1084">
      <formula>IF(AND($E102=TRUE,$I102&lt;&gt;"",$L102&lt;&gt;""),TRUE,FALSE)</formula>
    </cfRule>
    <cfRule type="expression" dxfId="6104" priority="1085">
      <formula>IF(AND($E102=TRUE,OR($I102="",$L102="")),TRUE,FALSE)</formula>
    </cfRule>
  </conditionalFormatting>
  <conditionalFormatting sqref="B105:B115">
    <cfRule type="expression" dxfId="6103" priority="1094">
      <formula>IF(AND($E105=FALSE,OR($I105&lt;&gt;"",$L105&lt;&gt;"")),TRUE,FALSE)</formula>
    </cfRule>
    <cfRule type="expression" dxfId="6102" priority="1095">
      <formula>IF(AND($E105=TRUE,$I105&lt;&gt;"",$L105&lt;&gt;""),TRUE,FALSE)</formula>
    </cfRule>
    <cfRule type="expression" dxfId="6101" priority="1096">
      <formula>IF(AND($E105=TRUE,OR($I105="",$L105="")),TRUE,FALSE)</formula>
    </cfRule>
  </conditionalFormatting>
  <conditionalFormatting sqref="B117">
    <cfRule type="expression" dxfId="6100" priority="1134">
      <formula>IF(AND($E117=FALSE,OR($I117&lt;&gt;"",$L117&lt;&gt;"")),TRUE,FALSE)</formula>
    </cfRule>
    <cfRule type="expression" dxfId="6099" priority="1135">
      <formula>IF(AND($E117=TRUE,$I117&lt;&gt;"",$L117&lt;&gt;""),TRUE,FALSE)</formula>
    </cfRule>
    <cfRule type="expression" dxfId="6098" priority="1136">
      <formula>IF(AND($E117=TRUE,OR($I117="",$L117="")),TRUE,FALSE)</formula>
    </cfRule>
  </conditionalFormatting>
  <conditionalFormatting sqref="B118 D118:F118">
    <cfRule type="expression" dxfId="6097" priority="1490">
      <formula>IF($E118,TRUE)</formula>
    </cfRule>
  </conditionalFormatting>
  <conditionalFormatting sqref="B121:B122">
    <cfRule type="expression" dxfId="6096" priority="1186">
      <formula>IF($E121,TRUE)</formula>
    </cfRule>
  </conditionalFormatting>
  <conditionalFormatting sqref="B123:B125">
    <cfRule type="expression" dxfId="6095" priority="1131">
      <formula>IF(AND($E123=FALSE,OR($I123&lt;&gt;"",$L123&lt;&gt;"")),TRUE,FALSE)</formula>
    </cfRule>
    <cfRule type="expression" dxfId="6094" priority="1132">
      <formula>IF(AND($E123=TRUE,$I123&lt;&gt;"",$L123&lt;&gt;""),TRUE,FALSE)</formula>
    </cfRule>
    <cfRule type="expression" dxfId="6093" priority="1133">
      <formula>IF(AND($E123=TRUE,OR($I123="",$L123="")),TRUE,FALSE)</formula>
    </cfRule>
  </conditionalFormatting>
  <conditionalFormatting sqref="B126:B127 D126:D127 B138 D138 B151 D151">
    <cfRule type="expression" dxfId="6092" priority="1488">
      <formula>IF($E126,TRUE)</formula>
    </cfRule>
  </conditionalFormatting>
  <conditionalFormatting sqref="B128:B137">
    <cfRule type="expression" dxfId="6091" priority="1128">
      <formula>IF(AND($E128=FALSE,OR($I128&lt;&gt;"",$L128&lt;&gt;"")),TRUE,FALSE)</formula>
    </cfRule>
    <cfRule type="expression" dxfId="6090" priority="1129">
      <formula>IF(AND($E128=TRUE,$I128&lt;&gt;"",$L128&lt;&gt;""),TRUE,FALSE)</formula>
    </cfRule>
    <cfRule type="expression" dxfId="6089" priority="1130">
      <formula>IF(AND($E128=TRUE,OR($I128="",$L128="")),TRUE,FALSE)</formula>
    </cfRule>
  </conditionalFormatting>
  <conditionalFormatting sqref="B152:B175">
    <cfRule type="expression" dxfId="6088" priority="1122">
      <formula>IF(AND($E152=FALSE,OR($I152&lt;&gt;"",$L152&lt;&gt;"")),TRUE,FALSE)</formula>
    </cfRule>
    <cfRule type="expression" dxfId="6087" priority="1123">
      <formula>IF(AND($E152=TRUE,$I152&lt;&gt;"",$L152&lt;&gt;""),TRUE,FALSE)</formula>
    </cfRule>
    <cfRule type="expression" dxfId="6086" priority="1124">
      <formula>IF(AND($E152=TRUE,OR($I152="",$L152="")),TRUE,FALSE)</formula>
    </cfRule>
  </conditionalFormatting>
  <conditionalFormatting sqref="B176 D176:F176">
    <cfRule type="expression" dxfId="6085" priority="1398">
      <formula>IF($E176,TRUE)</formula>
    </cfRule>
  </conditionalFormatting>
  <conditionalFormatting sqref="B179">
    <cfRule type="expression" dxfId="6084" priority="1185">
      <formula>IF($E179,TRUE)</formula>
    </cfRule>
  </conditionalFormatting>
  <conditionalFormatting sqref="B180 B182:B189">
    <cfRule type="expression" dxfId="6083" priority="1119">
      <formula>IF(AND($E180=FALSE,OR($I180&lt;&gt;"",$L180&lt;&gt;"")),TRUE,FALSE)</formula>
    </cfRule>
    <cfRule type="expression" dxfId="6082" priority="1120">
      <formula>IF(AND($E180=TRUE,$I180&lt;&gt;"",$L180&lt;&gt;""),TRUE,FALSE)</formula>
    </cfRule>
    <cfRule type="expression" dxfId="6081" priority="1121">
      <formula>IF(AND($E180=TRUE,OR($I180="",$L180="")),TRUE,FALSE)</formula>
    </cfRule>
  </conditionalFormatting>
  <conditionalFormatting sqref="B181 D181 D194 D209">
    <cfRule type="expression" dxfId="6080" priority="997">
      <formula>IF($E$181=TRUE,TRUE,FALSE)</formula>
    </cfRule>
  </conditionalFormatting>
  <conditionalFormatting sqref="B190">
    <cfRule type="expression" dxfId="6079" priority="1183">
      <formula>IF($E190,TRUE)</formula>
    </cfRule>
  </conditionalFormatting>
  <conditionalFormatting sqref="B191:B193 B195:B204">
    <cfRule type="expression" dxfId="6078" priority="1116">
      <formula>IF(AND($E191=FALSE,OR($I191&lt;&gt;"",$L191&lt;&gt;"")),TRUE,FALSE)</formula>
    </cfRule>
    <cfRule type="expression" dxfId="6077" priority="1117">
      <formula>IF(AND($E191=TRUE,$I191&lt;&gt;"",$L191&lt;&gt;""),TRUE,FALSE)</formula>
    </cfRule>
    <cfRule type="expression" dxfId="6076" priority="1118">
      <formula>IF(AND($E191=TRUE,OR($I191="",$L191="")),TRUE,FALSE)</formula>
    </cfRule>
  </conditionalFormatting>
  <conditionalFormatting sqref="B194">
    <cfRule type="expression" dxfId="6075" priority="996">
      <formula>IF($E$181=TRUE,TRUE,FALSE)</formula>
    </cfRule>
  </conditionalFormatting>
  <conditionalFormatting sqref="B205:B206">
    <cfRule type="expression" dxfId="6074" priority="1181">
      <formula>IF($E205,TRUE)</formula>
    </cfRule>
  </conditionalFormatting>
  <conditionalFormatting sqref="B207:B208">
    <cfRule type="expression" dxfId="6073" priority="1113">
      <formula>IF(AND($E207=FALSE,OR($I207&lt;&gt;"",$L207&lt;&gt;"")),TRUE,FALSE)</formula>
    </cfRule>
    <cfRule type="expression" dxfId="6072" priority="1114">
      <formula>IF(AND($E207=TRUE,$I207&lt;&gt;"",$L207&lt;&gt;""),TRUE,FALSE)</formula>
    </cfRule>
    <cfRule type="expression" dxfId="6071" priority="1115">
      <formula>IF(AND($E207=TRUE,OR($I207="",$L207="")),TRUE,FALSE)</formula>
    </cfRule>
  </conditionalFormatting>
  <conditionalFormatting sqref="B209">
    <cfRule type="expression" dxfId="6070" priority="995">
      <formula>IF($E$181=TRUE,TRUE,FALSE)</formula>
    </cfRule>
  </conditionalFormatting>
  <conditionalFormatting sqref="B210">
    <cfRule type="expression" dxfId="6069" priority="1180">
      <formula>IF($E210,TRUE)</formula>
    </cfRule>
  </conditionalFormatting>
  <conditionalFormatting sqref="D9:D10">
    <cfRule type="expression" dxfId="6068" priority="1203">
      <formula>IF($D9="Compliant",TRUE)</formula>
    </cfRule>
    <cfRule type="expression" dxfId="6067" priority="1204">
      <formula>IF($D9="",TRUE)</formula>
    </cfRule>
    <cfRule type="expression" dxfId="6066" priority="1210">
      <formula>IF($D9="Not Compliant",TRUE)</formula>
    </cfRule>
  </conditionalFormatting>
  <conditionalFormatting sqref="D12:D15 B60:B61 D60:D61 D215 H215">
    <cfRule type="expression" dxfId="6065" priority="1901">
      <formula>IF($E12,TRUE)</formula>
    </cfRule>
  </conditionalFormatting>
  <conditionalFormatting sqref="D17:D18 N17:N18 Q17:Q18 V17:V18">
    <cfRule type="beginsWith" dxfId="6064" priority="2" operator="beginsWith" text="Likely">
      <formula>LEFT(D17,LEN("Likely"))="Likely"</formula>
    </cfRule>
    <cfRule type="beginsWith" dxfId="6063" priority="3" operator="beginsWith" text="Not Applicable">
      <formula>LEFT(D17,LEN("Not Applicable"))="Not Applicable"</formula>
    </cfRule>
    <cfRule type="beginsWith" dxfId="6062" priority="4" operator="beginsWith" text="Applicable">
      <formula>LEFT(D17,LEN("Applicable"))="Applicable"</formula>
    </cfRule>
    <cfRule type="beginsWith" dxfId="6061" priority="5" operator="beginsWith" text="Partly">
      <formula>LEFT(D17,LEN("Partly"))="Partly"</formula>
    </cfRule>
    <cfRule type="beginsWith" dxfId="6060" priority="6" operator="beginsWith" text="Missing">
      <formula>LEFT(D17,LEN("Missing"))="Missing"</formula>
    </cfRule>
    <cfRule type="beginsWith" dxfId="6059" priority="7" operator="beginsWith" text="Not">
      <formula>LEFT(D17,LEN("Not"))="Not"</formula>
    </cfRule>
    <cfRule type="beginsWith" dxfId="6058" priority="8" operator="beginsWith" text="Compliant">
      <formula>LEFT(D17,LEN("Compliant"))="Compliant"</formula>
    </cfRule>
    <cfRule type="containsText" dxfId="6057" priority="9" operator="containsText" text="Equivalent">
      <formula>NOT(ISERROR(SEARCH("Equivalent",D17)))</formula>
    </cfRule>
  </conditionalFormatting>
  <conditionalFormatting sqref="D19">
    <cfRule type="expression" dxfId="6056" priority="37">
      <formula>IF($D19="Compliant",TRUE)</formula>
    </cfRule>
    <cfRule type="expression" dxfId="6055" priority="38">
      <formula>IF($D19=" ",TRUE)</formula>
    </cfRule>
    <cfRule type="expression" dxfId="6054" priority="44">
      <formula>IF($D19="Not Compliant",TRUE)</formula>
    </cfRule>
  </conditionalFormatting>
  <conditionalFormatting sqref="D25:D28 D35:D38 D43:D46 D53:D58 D68:D70 D139:D150 D210:D214">
    <cfRule type="expression" dxfId="6053" priority="1335">
      <formula>IF($D25="Compliant",TRUE)</formula>
    </cfRule>
    <cfRule type="expression" dxfId="6052" priority="1336">
      <formula>IF($D25=" ",TRUE)</formula>
    </cfRule>
    <cfRule type="expression" dxfId="6051" priority="1342">
      <formula>IF($D25="Not Compliant",TRUE)</formula>
    </cfRule>
  </conditionalFormatting>
  <conditionalFormatting sqref="D31:D33">
    <cfRule type="expression" dxfId="6050" priority="1056">
      <formula>IF($D31="Compliant",TRUE)</formula>
    </cfRule>
    <cfRule type="expression" dxfId="6049" priority="1057">
      <formula>IF($D31=" ",TRUE)</formula>
    </cfRule>
    <cfRule type="expression" dxfId="6048" priority="1063">
      <formula>IF($D31="Not Compliant",TRUE)</formula>
    </cfRule>
  </conditionalFormatting>
  <conditionalFormatting sqref="D34">
    <cfRule type="expression" dxfId="6047" priority="1052">
      <formula>IF($E34,TRUE)</formula>
    </cfRule>
  </conditionalFormatting>
  <conditionalFormatting sqref="D62:D65">
    <cfRule type="expression" dxfId="6046" priority="1009">
      <formula>IF($D62=" ",TRUE)</formula>
    </cfRule>
    <cfRule type="expression" dxfId="6045" priority="1015">
      <formula>IF($D62="Not Compliant",TRUE)</formula>
    </cfRule>
  </conditionalFormatting>
  <conditionalFormatting sqref="D62:D66">
    <cfRule type="expression" dxfId="6044" priority="1008">
      <formula>IF($D62="Compliant",TRUE)</formula>
    </cfRule>
  </conditionalFormatting>
  <conditionalFormatting sqref="D66">
    <cfRule type="expression" dxfId="6043" priority="1017">
      <formula>IF($D66="",TRUE)</formula>
    </cfRule>
    <cfRule type="expression" dxfId="6042" priority="1023">
      <formula>IF($D66="Not Compliant",TRUE)</formula>
    </cfRule>
  </conditionalFormatting>
  <conditionalFormatting sqref="D67">
    <cfRule type="expression" dxfId="6041" priority="1176">
      <formula>IF($E67,TRUE)</formula>
    </cfRule>
  </conditionalFormatting>
  <conditionalFormatting sqref="D72:D74 D76:D78 D80:D87">
    <cfRule type="expression" dxfId="6040" priority="1327">
      <formula>IF($D72="Compliant",TRUE)</formula>
    </cfRule>
    <cfRule type="expression" dxfId="6039" priority="1328">
      <formula>IF($D72=" ",TRUE)</formula>
    </cfRule>
    <cfRule type="expression" dxfId="6038" priority="1334">
      <formula>IF($D72="Not Compliant",TRUE)</formula>
    </cfRule>
  </conditionalFormatting>
  <conditionalFormatting sqref="D90:D99 D117">
    <cfRule type="expression" dxfId="6037" priority="1319">
      <formula>IF($D90="Compliant",TRUE)</formula>
    </cfRule>
    <cfRule type="expression" dxfId="6036" priority="1320">
      <formula>IF($D90=" ",TRUE)</formula>
    </cfRule>
    <cfRule type="expression" dxfId="6035" priority="1326">
      <formula>IF($D90="Not Compliant",TRUE)</formula>
    </cfRule>
  </conditionalFormatting>
  <conditionalFormatting sqref="D102:D103">
    <cfRule type="expression" dxfId="6034" priority="1086">
      <formula>IF($D102="Compliant",TRUE)</formula>
    </cfRule>
    <cfRule type="expression" dxfId="6033" priority="1087">
      <formula>IF($D102=" ",TRUE)</formula>
    </cfRule>
    <cfRule type="expression" dxfId="6032" priority="1093">
      <formula>IF($D102="Not Compliant",TRUE)</formula>
    </cfRule>
  </conditionalFormatting>
  <conditionalFormatting sqref="D105:D115">
    <cfRule type="expression" dxfId="6031" priority="1098">
      <formula>IF($D105="Compliant",TRUE)</formula>
    </cfRule>
    <cfRule type="expression" dxfId="6030" priority="1099">
      <formula>IF($D105=" ",TRUE)</formula>
    </cfRule>
    <cfRule type="expression" dxfId="6029" priority="1105">
      <formula>IF($D105="Not Compliant",TRUE)</formula>
    </cfRule>
  </conditionalFormatting>
  <conditionalFormatting sqref="D121:D122">
    <cfRule type="expression" dxfId="6028" priority="1433">
      <formula>IF($E121,TRUE)</formula>
    </cfRule>
  </conditionalFormatting>
  <conditionalFormatting sqref="D123:D125">
    <cfRule type="expression" dxfId="6027" priority="1311">
      <formula>IF($D123="Compliant",TRUE)</formula>
    </cfRule>
    <cfRule type="expression" dxfId="6026" priority="1312">
      <formula>IF($D123=" ",TRUE)</formula>
    </cfRule>
    <cfRule type="expression" dxfId="6025" priority="1318">
      <formula>IF($D123="Not Compliant",TRUE)</formula>
    </cfRule>
  </conditionalFormatting>
  <conditionalFormatting sqref="D128:D137">
    <cfRule type="expression" dxfId="6024" priority="1303">
      <formula>IF($D128="Compliant",TRUE)</formula>
    </cfRule>
    <cfRule type="expression" dxfId="6023" priority="1304">
      <formula>IF($D128=" ",TRUE)</formula>
    </cfRule>
    <cfRule type="expression" dxfId="6022" priority="1310">
      <formula>IF($D128="Not Compliant",TRUE)</formula>
    </cfRule>
  </conditionalFormatting>
  <conditionalFormatting sqref="D152:D175">
    <cfRule type="expression" dxfId="6021" priority="1279">
      <formula>IF($D152="Compliant",TRUE)</formula>
    </cfRule>
    <cfRule type="expression" dxfId="6020" priority="1280">
      <formula>IF($D152=" ",TRUE)</formula>
    </cfRule>
    <cfRule type="expression" dxfId="6019" priority="1286">
      <formula>IF($D152="Not Compliant",TRUE)</formula>
    </cfRule>
  </conditionalFormatting>
  <conditionalFormatting sqref="D179">
    <cfRule type="expression" dxfId="6018" priority="1795">
      <formula>IF(AND($E179=FALSE,$N179="Not Applicable"),TRUE,FALSE)</formula>
    </cfRule>
    <cfRule type="expression" dxfId="6017" priority="1796">
      <formula>IF(AND($E179,TRUE,$N179="Not Applicable"),TRUE,FALSE)</formula>
    </cfRule>
    <cfRule type="expression" dxfId="6016" priority="1797">
      <formula>IF($E179=TRUE,TRUE,FALSE)</formula>
    </cfRule>
    <cfRule type="expression" dxfId="6015" priority="1798">
      <formula>IF(AND($E179=FALSE,$N179&lt;&gt;""),TRUE,FALSE)</formula>
    </cfRule>
  </conditionalFormatting>
  <conditionalFormatting sqref="D180">
    <cfRule type="expression" dxfId="6014" priority="1271">
      <formula>IF($D180="Compliant",TRUE)</formula>
    </cfRule>
    <cfRule type="expression" dxfId="6013" priority="1272">
      <formula>IF($D180=" ",TRUE)</formula>
    </cfRule>
    <cfRule type="expression" dxfId="6012" priority="1278">
      <formula>IF($D180="Not Compliant",TRUE)</formula>
    </cfRule>
  </conditionalFormatting>
  <conditionalFormatting sqref="D182:D193">
    <cfRule type="expression" dxfId="6011" priority="1255">
      <formula>IF($D182="Compliant",TRUE)</formula>
    </cfRule>
    <cfRule type="expression" dxfId="6010" priority="1256">
      <formula>IF($D182=" ",TRUE)</formula>
    </cfRule>
    <cfRule type="expression" dxfId="6009" priority="1262">
      <formula>IF($D182="Not Compliant",TRUE)</formula>
    </cfRule>
  </conditionalFormatting>
  <conditionalFormatting sqref="D195:D208">
    <cfRule type="expression" dxfId="6008" priority="1239">
      <formula>IF($D195="Compliant",TRUE)</formula>
    </cfRule>
    <cfRule type="expression" dxfId="6007" priority="1240">
      <formula>IF($D195=" ",TRUE)</formula>
    </cfRule>
    <cfRule type="expression" dxfId="6006" priority="1246">
      <formula>IF($D195="Not Compliant",TRUE)</formula>
    </cfRule>
  </conditionalFormatting>
  <conditionalFormatting sqref="E120:F120">
    <cfRule type="expression" dxfId="6005" priority="1506">
      <formula>IF($E120,TRUE)</formula>
    </cfRule>
  </conditionalFormatting>
  <conditionalFormatting sqref="E178:F178">
    <cfRule type="expression" dxfId="6004" priority="1414">
      <formula>IF($E178,TRUE)</formula>
    </cfRule>
  </conditionalFormatting>
  <conditionalFormatting sqref="G118:I118">
    <cfRule type="expression" dxfId="6003" priority="1485">
      <formula>IF(AND($E118=FALSE,$I118&lt;&gt;""),TRUE,FALSE)</formula>
    </cfRule>
    <cfRule type="expression" dxfId="6002" priority="1486">
      <formula>IF(AND($E118=TRUE,$I118=""),TRUE,FALSE)</formula>
    </cfRule>
    <cfRule type="expression" dxfId="6001" priority="1487">
      <formula>IF(AND($E118=TRUE,$I118&lt;&gt;""),TRUE,FALSE)</formula>
    </cfRule>
  </conditionalFormatting>
  <conditionalFormatting sqref="G176:I176">
    <cfRule type="expression" dxfId="6000" priority="1395">
      <formula>IF(AND($E176=FALSE,$I176&lt;&gt;""),TRUE,FALSE)</formula>
    </cfRule>
    <cfRule type="expression" dxfId="5999" priority="1396">
      <formula>IF(AND($E176=TRUE,$I176=""),TRUE,FALSE)</formula>
    </cfRule>
    <cfRule type="expression" dxfId="5998" priority="1397">
      <formula>IF(AND($E176=TRUE,$I176&lt;&gt;""),TRUE,FALSE)</formula>
    </cfRule>
  </conditionalFormatting>
  <conditionalFormatting sqref="J118:M118">
    <cfRule type="expression" dxfId="5997" priority="14046">
      <formula>IF(AND(#REF!=FALSE,#REF!&lt;&gt;""),TRUE,FALSE)</formula>
    </cfRule>
  </conditionalFormatting>
  <conditionalFormatting sqref="J176:M176">
    <cfRule type="expression" dxfId="5996" priority="1507">
      <formula>IF(AND($E203=FALSE,$L203&lt;&gt;""),TRUE,FALSE)</formula>
    </cfRule>
  </conditionalFormatting>
  <conditionalFormatting sqref="N8">
    <cfRule type="expression" dxfId="5995" priority="63">
      <formula>IF($N8="Compliant",TRUE)</formula>
    </cfRule>
    <cfRule type="expression" dxfId="5994" priority="64">
      <formula>IF($N8="FE with work-a-round",TRUE)</formula>
    </cfRule>
    <cfRule type="expression" dxfId="5993" priority="65">
      <formula>IF($N8="Functionally Equivalent",TRUE)</formula>
    </cfRule>
    <cfRule type="expression" dxfId="5992" priority="66">
      <formula>IF($N8="Likely to become compliant",TRUE)</formula>
    </cfRule>
    <cfRule type="expression" dxfId="5991" priority="67">
      <formula>IF($N8="Partly Compliant",TRUE)</formula>
    </cfRule>
    <cfRule type="expression" dxfId="5990" priority="68">
      <formula>IF($N8="Unknown/Missing",TRUE)</formula>
    </cfRule>
    <cfRule type="expression" dxfId="5989" priority="69">
      <formula>IF($N8="Not Required/Applicable",TRUE)</formula>
    </cfRule>
    <cfRule type="expression" dxfId="5988" priority="70">
      <formula>IF($N8="Not Compliant",TRUE)</formula>
    </cfRule>
    <cfRule type="expression" dxfId="5987" priority="71">
      <formula>IF($N8=" ",TRUE)</formula>
    </cfRule>
  </conditionalFormatting>
  <conditionalFormatting sqref="N12:N15 Q12:Q15 V12:V15">
    <cfRule type="expression" dxfId="5986" priority="924">
      <formula>IF(O12=FALSE,TRUE,FALSE)</formula>
    </cfRule>
    <cfRule type="expression" dxfId="5985" priority="925">
      <formula>IF(O12=TRUE,TRUE,FALSE)</formula>
    </cfRule>
  </conditionalFormatting>
  <conditionalFormatting sqref="N19">
    <cfRule type="expression" dxfId="5984" priority="28">
      <formula>IF($N19="Compliant",TRUE)</formula>
    </cfRule>
    <cfRule type="expression" dxfId="5983" priority="29">
      <formula>IF($N19="FE with work-a-round",TRUE)</formula>
    </cfRule>
    <cfRule type="expression" dxfId="5982" priority="30">
      <formula>IF($N19="Functionally Equivalent",TRUE)</formula>
    </cfRule>
    <cfRule type="expression" dxfId="5981" priority="31">
      <formula>IF($N19="Likely to become compliant",TRUE)</formula>
    </cfRule>
    <cfRule type="expression" dxfId="5980" priority="32">
      <formula>IF($N19="Partly Compliant",TRUE)</formula>
    </cfRule>
    <cfRule type="expression" dxfId="5979" priority="33">
      <formula>IF($N19="Unknown/Missing",TRUE)</formula>
    </cfRule>
    <cfRule type="expression" dxfId="5978" priority="34">
      <formula>IF($N19="Not Required/Applicable",TRUE)</formula>
    </cfRule>
    <cfRule type="expression" dxfId="5977" priority="35">
      <formula>IF($N19="Not Compliant",TRUE)</formula>
    </cfRule>
    <cfRule type="expression" dxfId="5976" priority="36">
      <formula>IF($N19=" ",TRUE)</formula>
    </cfRule>
  </conditionalFormatting>
  <conditionalFormatting sqref="N23">
    <cfRule type="expression" dxfId="5975" priority="918">
      <formula>IF(O23=FALSE,TRUE,FALSE)</formula>
    </cfRule>
    <cfRule type="expression" dxfId="5974" priority="919">
      <formula>IF(O23=TRUE,TRUE,FALSE)</formula>
    </cfRule>
  </conditionalFormatting>
  <conditionalFormatting sqref="N24 N30">
    <cfRule type="expression" dxfId="5973" priority="983">
      <formula>IF($N24="Compliant",TRUE)</formula>
    </cfRule>
    <cfRule type="expression" dxfId="5972" priority="984">
      <formula>IF($N24="FE with work-a-round",TRUE)</formula>
    </cfRule>
    <cfRule type="expression" dxfId="5971" priority="985">
      <formula>IF($N24="Functionally Equivalent",TRUE)</formula>
    </cfRule>
    <cfRule type="expression" dxfId="5970" priority="986">
      <formula>IF($N24="Likely to become compliant",TRUE)</formula>
    </cfRule>
    <cfRule type="expression" dxfId="5969" priority="987">
      <formula>IF($N24="Partly Compliant",TRUE)</formula>
    </cfRule>
    <cfRule type="expression" dxfId="5968" priority="988">
      <formula>IF($N24="Unknown/Missing",TRUE)</formula>
    </cfRule>
    <cfRule type="expression" dxfId="5967" priority="989">
      <formula>IF($N24="Not Required/Applicable",TRUE)</formula>
    </cfRule>
    <cfRule type="expression" dxfId="5966" priority="990">
      <formula>IF($N24="Not Compliant",TRUE)</formula>
    </cfRule>
    <cfRule type="expression" dxfId="5965" priority="991">
      <formula>IF($N24=" ",TRUE)</formula>
    </cfRule>
  </conditionalFormatting>
  <conditionalFormatting sqref="N29">
    <cfRule type="expression" dxfId="5964" priority="908">
      <formula>IF(O29=FALSE,TRUE,FALSE)</formula>
    </cfRule>
    <cfRule type="expression" dxfId="5963" priority="909">
      <formula>IF(O29=TRUE,TRUE,FALSE)</formula>
    </cfRule>
  </conditionalFormatting>
  <conditionalFormatting sqref="N34">
    <cfRule type="expression" dxfId="5962" priority="819">
      <formula>IF($N34="Compliant",TRUE)</formula>
    </cfRule>
    <cfRule type="expression" dxfId="5961" priority="820">
      <formula>IF($N34="FE with work-a-round",TRUE)</formula>
    </cfRule>
    <cfRule type="expression" dxfId="5960" priority="821">
      <formula>IF($N34="Functionally Equivalent",TRUE)</formula>
    </cfRule>
    <cfRule type="expression" dxfId="5959" priority="822">
      <formula>IF($N34="Likely to become compliant",TRUE)</formula>
    </cfRule>
    <cfRule type="expression" dxfId="5958" priority="823">
      <formula>IF($N34="Partly Compliant",TRUE)</formula>
    </cfRule>
    <cfRule type="expression" dxfId="5957" priority="824">
      <formula>IF($N34="Unknown/Missing",TRUE)</formula>
    </cfRule>
    <cfRule type="expression" dxfId="5956" priority="825">
      <formula>IF($N34="Not Required/Applicable",TRUE)</formula>
    </cfRule>
    <cfRule type="expression" dxfId="5955" priority="826">
      <formula>IF($N34="Not Compliant",TRUE)</formula>
    </cfRule>
    <cfRule type="expression" dxfId="5954" priority="827">
      <formula>IF($N34=" ",TRUE)</formula>
    </cfRule>
  </conditionalFormatting>
  <conditionalFormatting sqref="N42">
    <cfRule type="expression" dxfId="5953" priority="956">
      <formula>IF($N42="Compliant",TRUE)</formula>
    </cfRule>
    <cfRule type="expression" dxfId="5952" priority="957">
      <formula>IF($N42="FE with work-a-round",TRUE)</formula>
    </cfRule>
    <cfRule type="expression" dxfId="5951" priority="958">
      <formula>IF($N42="Functionally Equivalent",TRUE)</formula>
    </cfRule>
    <cfRule type="expression" dxfId="5950" priority="959">
      <formula>IF($N42="Likely to become compliant",TRUE)</formula>
    </cfRule>
    <cfRule type="expression" dxfId="5949" priority="960">
      <formula>IF($N42="Partly Compliant",TRUE)</formula>
    </cfRule>
    <cfRule type="expression" dxfId="5948" priority="961">
      <formula>IF($N42="Unknown/Missing",TRUE)</formula>
    </cfRule>
    <cfRule type="expression" dxfId="5947" priority="962">
      <formula>IF($N42="Not Required/Applicable",TRUE)</formula>
    </cfRule>
    <cfRule type="expression" dxfId="5946" priority="963">
      <formula>IF($N42="Not Compliant",TRUE)</formula>
    </cfRule>
    <cfRule type="expression" dxfId="5945" priority="964">
      <formula>IF($N42=" ",TRUE)</formula>
    </cfRule>
  </conditionalFormatting>
  <conditionalFormatting sqref="N50:N51">
    <cfRule type="expression" dxfId="5944" priority="930">
      <formula>IF(O50=FALSE,TRUE,FALSE)</formula>
    </cfRule>
    <cfRule type="expression" dxfId="5943" priority="931">
      <formula>IF(O50=TRUE,TRUE,FALSE)</formula>
    </cfRule>
  </conditionalFormatting>
  <conditionalFormatting sqref="N52">
    <cfRule type="expression" dxfId="5942" priority="895">
      <formula>IF($N52="Compliant",TRUE)</formula>
    </cfRule>
    <cfRule type="expression" dxfId="5941" priority="896">
      <formula>IF($N52="FE with work-a-round",TRUE)</formula>
    </cfRule>
    <cfRule type="expression" dxfId="5940" priority="897">
      <formula>IF($N52="Functionally Equivalent",TRUE)</formula>
    </cfRule>
    <cfRule type="expression" dxfId="5939" priority="898">
      <formula>IF($N52="Likely to become compliant",TRUE)</formula>
    </cfRule>
    <cfRule type="expression" dxfId="5938" priority="899">
      <formula>IF($N52="Partly Compliant",TRUE)</formula>
    </cfRule>
    <cfRule type="expression" dxfId="5937" priority="900">
      <formula>IF($N52="Unknown/Missing",TRUE)</formula>
    </cfRule>
    <cfRule type="expression" dxfId="5936" priority="901">
      <formula>IF($N52="Not Required/Applicable",TRUE)</formula>
    </cfRule>
    <cfRule type="expression" dxfId="5935" priority="902">
      <formula>IF($N52="Not Compliant",TRUE)</formula>
    </cfRule>
    <cfRule type="expression" dxfId="5934" priority="903">
      <formula>IF($N52=" ",TRUE)</formula>
    </cfRule>
  </conditionalFormatting>
  <conditionalFormatting sqref="N58">
    <cfRule type="expression" dxfId="5933" priority="117">
      <formula>IF($N58="Compliant",TRUE)</formula>
    </cfRule>
    <cfRule type="expression" dxfId="5932" priority="118">
      <formula>IF($N58="FE with work-a-round",TRUE)</formula>
    </cfRule>
    <cfRule type="expression" dxfId="5931" priority="119">
      <formula>IF($N58="Functionally Equivalent",TRUE)</formula>
    </cfRule>
    <cfRule type="expression" dxfId="5930" priority="120">
      <formula>IF($N58="Likely to become compliant",TRUE)</formula>
    </cfRule>
    <cfRule type="expression" dxfId="5929" priority="121">
      <formula>IF($N58="Partly Compliant",TRUE)</formula>
    </cfRule>
    <cfRule type="expression" dxfId="5928" priority="122">
      <formula>IF($N58="Unknown/Missing",TRUE)</formula>
    </cfRule>
    <cfRule type="expression" dxfId="5927" priority="123">
      <formula>IF($N58="Not Required/Applicable",TRUE)</formula>
    </cfRule>
    <cfRule type="expression" dxfId="5926" priority="124">
      <formula>IF($N58="Not Compliant",TRUE)</formula>
    </cfRule>
    <cfRule type="expression" dxfId="5925" priority="125">
      <formula>IF($N58=" ",TRUE)</formula>
    </cfRule>
  </conditionalFormatting>
  <conditionalFormatting sqref="N60">
    <cfRule type="expression" dxfId="5924" priority="793">
      <formula>IF(O60=FALSE,TRUE,FALSE)</formula>
    </cfRule>
    <cfRule type="expression" dxfId="5923" priority="794">
      <formula>IF(O60=TRUE,TRUE,FALSE)</formula>
    </cfRule>
  </conditionalFormatting>
  <conditionalFormatting sqref="N61">
    <cfRule type="expression" dxfId="5922" priority="780">
      <formula>IF($N61="Compliant",TRUE)</formula>
    </cfRule>
    <cfRule type="expression" dxfId="5921" priority="781">
      <formula>IF($N61="FE with work-a-round",TRUE)</formula>
    </cfRule>
    <cfRule type="expression" dxfId="5920" priority="782">
      <formula>IF($N61="Functionally Equivalent",TRUE)</formula>
    </cfRule>
    <cfRule type="expression" dxfId="5919" priority="783">
      <formula>IF($N61="Likely to become compliant",TRUE)</formula>
    </cfRule>
    <cfRule type="expression" dxfId="5918" priority="784">
      <formula>IF($N61="Partly Compliant",TRUE)</formula>
    </cfRule>
    <cfRule type="expression" dxfId="5917" priority="785">
      <formula>IF($N61="Unknown/Missing",TRUE)</formula>
    </cfRule>
    <cfRule type="expression" dxfId="5916" priority="786">
      <formula>IF($N61="Not Required/Applicable",TRUE)</formula>
    </cfRule>
    <cfRule type="expression" dxfId="5915" priority="787">
      <formula>IF($N61="Not Compliant",TRUE)</formula>
    </cfRule>
    <cfRule type="expression" dxfId="5914" priority="788">
      <formula>IF($N61=" ",TRUE)</formula>
    </cfRule>
  </conditionalFormatting>
  <conditionalFormatting sqref="N67">
    <cfRule type="expression" dxfId="5913" priority="760">
      <formula>IF($N67="Compliant",TRUE)</formula>
    </cfRule>
    <cfRule type="expression" dxfId="5912" priority="761">
      <formula>IF($N67="FE with work-a-round",TRUE)</formula>
    </cfRule>
    <cfRule type="expression" dxfId="5911" priority="762">
      <formula>IF($N67="Functionally Equivalent",TRUE)</formula>
    </cfRule>
    <cfRule type="expression" dxfId="5910" priority="763">
      <formula>IF($N67="Likely to become compliant",TRUE)</formula>
    </cfRule>
    <cfRule type="expression" dxfId="5909" priority="764">
      <formula>IF($N67="Partly Compliant",TRUE)</formula>
    </cfRule>
    <cfRule type="expression" dxfId="5908" priority="765">
      <formula>IF($N67="Unknown/Missing",TRUE)</formula>
    </cfRule>
    <cfRule type="expression" dxfId="5907" priority="766">
      <formula>IF($N67="Not Required/Applicable",TRUE)</formula>
    </cfRule>
    <cfRule type="expression" dxfId="5906" priority="767">
      <formula>IF($N67="Not Compliant",TRUE)</formula>
    </cfRule>
    <cfRule type="expression" dxfId="5905" priority="768">
      <formula>IF($N67=" ",TRUE)</formula>
    </cfRule>
  </conditionalFormatting>
  <conditionalFormatting sqref="N71">
    <cfRule type="expression" dxfId="5904" priority="722">
      <formula>IF($N71="Compliant",TRUE)</formula>
    </cfRule>
    <cfRule type="expression" dxfId="5903" priority="723">
      <formula>IF($N71="FE with work-a-round",TRUE)</formula>
    </cfRule>
    <cfRule type="expression" dxfId="5902" priority="724">
      <formula>IF($N71="Functionally Equivalent",TRUE)</formula>
    </cfRule>
    <cfRule type="expression" dxfId="5901" priority="725">
      <formula>IF($N71="Likely to become compliant",TRUE)</formula>
    </cfRule>
    <cfRule type="expression" dxfId="5900" priority="726">
      <formula>IF($N71="Partly Compliant",TRUE)</formula>
    </cfRule>
    <cfRule type="expression" dxfId="5899" priority="727">
      <formula>IF($N71="Unknown/Missing",TRUE)</formula>
    </cfRule>
    <cfRule type="expression" dxfId="5898" priority="728">
      <formula>IF($N71="Not Required/Applicable",TRUE)</formula>
    </cfRule>
    <cfRule type="expression" dxfId="5897" priority="729">
      <formula>IF($N71="Not Compliant",TRUE)</formula>
    </cfRule>
    <cfRule type="expression" dxfId="5896" priority="730">
      <formula>IF($N71=" ",TRUE)</formula>
    </cfRule>
  </conditionalFormatting>
  <conditionalFormatting sqref="N75">
    <cfRule type="expression" dxfId="5895" priority="693">
      <formula>IF($N75="Compliant",TRUE)</formula>
    </cfRule>
    <cfRule type="expression" dxfId="5894" priority="694">
      <formula>IF($N75="FE with work-a-round",TRUE)</formula>
    </cfRule>
    <cfRule type="expression" dxfId="5893" priority="695">
      <formula>IF($N75="Functionally Equivalent",TRUE)</formula>
    </cfRule>
    <cfRule type="expression" dxfId="5892" priority="696">
      <formula>IF($N75="Likely to become compliant",TRUE)</formula>
    </cfRule>
    <cfRule type="expression" dxfId="5891" priority="697">
      <formula>IF($N75="Partly Compliant",TRUE)</formula>
    </cfRule>
    <cfRule type="expression" dxfId="5890" priority="698">
      <formula>IF($N75="Unknown/Missing",TRUE)</formula>
    </cfRule>
    <cfRule type="expression" dxfId="5889" priority="699">
      <formula>IF($N75="Not Required/Applicable",TRUE)</formula>
    </cfRule>
    <cfRule type="expression" dxfId="5888" priority="700">
      <formula>IF($N75="Not Compliant",TRUE)</formula>
    </cfRule>
    <cfRule type="expression" dxfId="5887" priority="701">
      <formula>IF($N75=" ",TRUE)</formula>
    </cfRule>
  </conditionalFormatting>
  <conditionalFormatting sqref="N79">
    <cfRule type="expression" dxfId="5886" priority="664">
      <formula>IF($N79="Compliant",TRUE)</formula>
    </cfRule>
    <cfRule type="expression" dxfId="5885" priority="665">
      <formula>IF($N79="FE with work-a-round",TRUE)</formula>
    </cfRule>
    <cfRule type="expression" dxfId="5884" priority="666">
      <formula>IF($N79="Functionally Equivalent",TRUE)</formula>
    </cfRule>
    <cfRule type="expression" dxfId="5883" priority="667">
      <formula>IF($N79="Likely to become compliant",TRUE)</formula>
    </cfRule>
    <cfRule type="expression" dxfId="5882" priority="668">
      <formula>IF($N79="Partly Compliant",TRUE)</formula>
    </cfRule>
    <cfRule type="expression" dxfId="5881" priority="669">
      <formula>IF($N79="Unknown/Missing",TRUE)</formula>
    </cfRule>
    <cfRule type="expression" dxfId="5880" priority="670">
      <formula>IF($N79="Not Required/Applicable",TRUE)</formula>
    </cfRule>
    <cfRule type="expression" dxfId="5879" priority="671">
      <formula>IF($N79="Not Compliant",TRUE)</formula>
    </cfRule>
    <cfRule type="expression" dxfId="5878" priority="672">
      <formula>IF($N79=" ",TRUE)</formula>
    </cfRule>
  </conditionalFormatting>
  <conditionalFormatting sqref="N82:N87">
    <cfRule type="expression" dxfId="5877" priority="635">
      <formula>IF($N82="Compliant",TRUE)</formula>
    </cfRule>
    <cfRule type="expression" dxfId="5876" priority="636">
      <formula>IF($N82="FE with work-a-round",TRUE)</formula>
    </cfRule>
    <cfRule type="expression" dxfId="5875" priority="637">
      <formula>IF($N82="Functionally Equivalent",TRUE)</formula>
    </cfRule>
    <cfRule type="expression" dxfId="5874" priority="638">
      <formula>IF($N82="Likely to become compliant",TRUE)</formula>
    </cfRule>
    <cfRule type="expression" dxfId="5873" priority="639">
      <formula>IF($N82="Partly Compliant",TRUE)</formula>
    </cfRule>
    <cfRule type="expression" dxfId="5872" priority="640">
      <formula>IF($N82="Unknown/Missing",TRUE)</formula>
    </cfRule>
    <cfRule type="expression" dxfId="5871" priority="641">
      <formula>IF($N82="Not Required/Applicable",TRUE)</formula>
    </cfRule>
    <cfRule type="expression" dxfId="5870" priority="642">
      <formula>IF($N82="Not Compliant",TRUE)</formula>
    </cfRule>
    <cfRule type="expression" dxfId="5869" priority="643">
      <formula>IF($N82=" ",TRUE)</formula>
    </cfRule>
  </conditionalFormatting>
  <conditionalFormatting sqref="N88">
    <cfRule type="expression" dxfId="5868" priority="611">
      <formula>IF(O88=FALSE,TRUE,FALSE)</formula>
    </cfRule>
    <cfRule type="expression" dxfId="5867" priority="612">
      <formula>IF(O88=TRUE,TRUE,FALSE)</formula>
    </cfRule>
  </conditionalFormatting>
  <conditionalFormatting sqref="N89">
    <cfRule type="expression" dxfId="5866" priority="598">
      <formula>IF($N89="Compliant",TRUE)</formula>
    </cfRule>
    <cfRule type="expression" dxfId="5865" priority="599">
      <formula>IF($N89="FE with work-a-round",TRUE)</formula>
    </cfRule>
    <cfRule type="expression" dxfId="5864" priority="600">
      <formula>IF($N89="Functionally Equivalent",TRUE)</formula>
    </cfRule>
    <cfRule type="expression" dxfId="5863" priority="601">
      <formula>IF($N89="Likely to become compliant",TRUE)</formula>
    </cfRule>
    <cfRule type="expression" dxfId="5862" priority="602">
      <formula>IF($N89="Partly Compliant",TRUE)</formula>
    </cfRule>
    <cfRule type="expression" dxfId="5861" priority="603">
      <formula>IF($N89="Unknown/Missing",TRUE)</formula>
    </cfRule>
    <cfRule type="expression" dxfId="5860" priority="604">
      <formula>IF($N89="Not Required/Applicable",TRUE)</formula>
    </cfRule>
    <cfRule type="expression" dxfId="5859" priority="605">
      <formula>IF($N89="Not Compliant",TRUE)</formula>
    </cfRule>
    <cfRule type="expression" dxfId="5858" priority="606">
      <formula>IF($N89=" ",TRUE)</formula>
    </cfRule>
  </conditionalFormatting>
  <conditionalFormatting sqref="N94 N98">
    <cfRule type="expression" dxfId="5857" priority="148">
      <formula>IF($N94="Compliant",TRUE)</formula>
    </cfRule>
    <cfRule type="expression" dxfId="5856" priority="149">
      <formula>IF($N94="FE with work-a-round",TRUE)</formula>
    </cfRule>
    <cfRule type="expression" dxfId="5855" priority="150">
      <formula>IF($N94="Functionally Equivalent",TRUE)</formula>
    </cfRule>
    <cfRule type="expression" dxfId="5854" priority="151">
      <formula>IF($N94="Likely to become compliant",TRUE)</formula>
    </cfRule>
    <cfRule type="expression" dxfId="5853" priority="152">
      <formula>IF($N94="Partly Compliant",TRUE)</formula>
    </cfRule>
    <cfRule type="expression" dxfId="5852" priority="153">
      <formula>IF($N94="Unknown/Missing",TRUE)</formula>
    </cfRule>
    <cfRule type="expression" dxfId="5851" priority="154">
      <formula>IF($N94="Not Required/Applicable",TRUE)</formula>
    </cfRule>
    <cfRule type="expression" dxfId="5850" priority="155">
      <formula>IF($N94="Not Compliant",TRUE)</formula>
    </cfRule>
    <cfRule type="expression" dxfId="5849" priority="156">
      <formula>IF($N94=" ",TRUE)</formula>
    </cfRule>
  </conditionalFormatting>
  <conditionalFormatting sqref="N100">
    <cfRule type="expression" dxfId="5848" priority="572">
      <formula>IF(O100=FALSE,TRUE,FALSE)</formula>
    </cfRule>
    <cfRule type="expression" dxfId="5847" priority="573">
      <formula>IF(O100=TRUE,TRUE,FALSE)</formula>
    </cfRule>
  </conditionalFormatting>
  <conditionalFormatting sqref="N101">
    <cfRule type="expression" dxfId="5846" priority="559">
      <formula>IF($N101="Compliant",TRUE)</formula>
    </cfRule>
    <cfRule type="expression" dxfId="5845" priority="560">
      <formula>IF($N101="FE with work-a-round",TRUE)</formula>
    </cfRule>
    <cfRule type="expression" dxfId="5844" priority="561">
      <formula>IF($N101="Functionally Equivalent",TRUE)</formula>
    </cfRule>
    <cfRule type="expression" dxfId="5843" priority="562">
      <formula>IF($N101="Likely to become compliant",TRUE)</formula>
    </cfRule>
    <cfRule type="expression" dxfId="5842" priority="563">
      <formula>IF($N101="Partly Compliant",TRUE)</formula>
    </cfRule>
    <cfRule type="expression" dxfId="5841" priority="564">
      <formula>IF($N101="Unknown/Missing",TRUE)</formula>
    </cfRule>
    <cfRule type="expression" dxfId="5840" priority="565">
      <formula>IF($N101="Not Required/Applicable",TRUE)</formula>
    </cfRule>
    <cfRule type="expression" dxfId="5839" priority="566">
      <formula>IF($N101="Not Compliant",TRUE)</formula>
    </cfRule>
    <cfRule type="expression" dxfId="5838" priority="567">
      <formula>IF($N101=" ",TRUE)</formula>
    </cfRule>
  </conditionalFormatting>
  <conditionalFormatting sqref="N104">
    <cfRule type="expression" dxfId="5837" priority="530">
      <formula>IF($N104="Compliant",TRUE)</formula>
    </cfRule>
    <cfRule type="expression" dxfId="5836" priority="531">
      <formula>IF($N104="FE with work-a-round",TRUE)</formula>
    </cfRule>
    <cfRule type="expression" dxfId="5835" priority="532">
      <formula>IF($N104="Functionally Equivalent",TRUE)</formula>
    </cfRule>
    <cfRule type="expression" dxfId="5834" priority="533">
      <formula>IF($N104="Likely to become compliant",TRUE)</formula>
    </cfRule>
    <cfRule type="expression" dxfId="5833" priority="534">
      <formula>IF($N104="Partly Compliant",TRUE)</formula>
    </cfRule>
    <cfRule type="expression" dxfId="5832" priority="535">
      <formula>IF($N104="Unknown/Missing",TRUE)</formula>
    </cfRule>
    <cfRule type="expression" dxfId="5831" priority="536">
      <formula>IF($N104="Not Required/Applicable",TRUE)</formula>
    </cfRule>
    <cfRule type="expression" dxfId="5830" priority="537">
      <formula>IF($N104="Not Compliant",TRUE)</formula>
    </cfRule>
    <cfRule type="expression" dxfId="5829" priority="538">
      <formula>IF($N104=" ",TRUE)</formula>
    </cfRule>
  </conditionalFormatting>
  <conditionalFormatting sqref="N110">
    <cfRule type="expression" dxfId="5828" priority="166">
      <formula>IF($N110="Compliant",TRUE)</formula>
    </cfRule>
    <cfRule type="expression" dxfId="5827" priority="167">
      <formula>IF($N110="FE with work-a-round",TRUE)</formula>
    </cfRule>
    <cfRule type="expression" dxfId="5826" priority="168">
      <formula>IF($N110="Functionally Equivalent",TRUE)</formula>
    </cfRule>
    <cfRule type="expression" dxfId="5825" priority="169">
      <formula>IF($N110="Likely to become compliant",TRUE)</formula>
    </cfRule>
    <cfRule type="expression" dxfId="5824" priority="170">
      <formula>IF($N110="Partly Compliant",TRUE)</formula>
    </cfRule>
    <cfRule type="expression" dxfId="5823" priority="171">
      <formula>IF($N110="Unknown/Missing",TRUE)</formula>
    </cfRule>
    <cfRule type="expression" dxfId="5822" priority="172">
      <formula>IF($N110="Not Required/Applicable",TRUE)</formula>
    </cfRule>
    <cfRule type="expression" dxfId="5821" priority="173">
      <formula>IF($N110="Not Compliant",TRUE)</formula>
    </cfRule>
    <cfRule type="expression" dxfId="5820" priority="174">
      <formula>IF($N110=" ",TRUE)</formula>
    </cfRule>
  </conditionalFormatting>
  <conditionalFormatting sqref="N117">
    <cfRule type="expression" dxfId="5819" priority="501">
      <formula>IF($N117="Compliant",TRUE)</formula>
    </cfRule>
    <cfRule type="expression" dxfId="5818" priority="502">
      <formula>IF($N117="FE with work-a-round",TRUE)</formula>
    </cfRule>
    <cfRule type="expression" dxfId="5817" priority="503">
      <formula>IF($N117="Functionally Equivalent",TRUE)</formula>
    </cfRule>
    <cfRule type="expression" dxfId="5816" priority="504">
      <formula>IF($N117="Likely to become compliant",TRUE)</formula>
    </cfRule>
    <cfRule type="expression" dxfId="5815" priority="505">
      <formula>IF($N117="Partly Compliant",TRUE)</formula>
    </cfRule>
    <cfRule type="expression" dxfId="5814" priority="506">
      <formula>IF($N117="Unknown/Missing",TRUE)</formula>
    </cfRule>
    <cfRule type="expression" dxfId="5813" priority="507">
      <formula>IF($N117="Not Required/Applicable",TRUE)</formula>
    </cfRule>
    <cfRule type="expression" dxfId="5812" priority="508">
      <formula>IF($N117="Not Compliant",TRUE)</formula>
    </cfRule>
    <cfRule type="expression" dxfId="5811" priority="509">
      <formula>IF($N117=" ",TRUE)</formula>
    </cfRule>
  </conditionalFormatting>
  <conditionalFormatting sqref="N121">
    <cfRule type="expression" dxfId="5810" priority="477">
      <formula>IF(O121=FALSE,TRUE,FALSE)</formula>
    </cfRule>
    <cfRule type="expression" dxfId="5809" priority="478">
      <formula>IF(O121=TRUE,TRUE,FALSE)</formula>
    </cfRule>
  </conditionalFormatting>
  <conditionalFormatting sqref="N122">
    <cfRule type="expression" dxfId="5808" priority="464">
      <formula>IF($N122="Compliant",TRUE)</formula>
    </cfRule>
    <cfRule type="expression" dxfId="5807" priority="465">
      <formula>IF($N122="FE with work-a-round",TRUE)</formula>
    </cfRule>
    <cfRule type="expression" dxfId="5806" priority="466">
      <formula>IF($N122="Functionally Equivalent",TRUE)</formula>
    </cfRule>
    <cfRule type="expression" dxfId="5805" priority="467">
      <formula>IF($N122="Likely to become compliant",TRUE)</formula>
    </cfRule>
    <cfRule type="expression" dxfId="5804" priority="468">
      <formula>IF($N122="Partly Compliant",TRUE)</formula>
    </cfRule>
    <cfRule type="expression" dxfId="5803" priority="469">
      <formula>IF($N122="Unknown/Missing",TRUE)</formula>
    </cfRule>
    <cfRule type="expression" dxfId="5802" priority="470">
      <formula>IF($N122="Not Required/Applicable",TRUE)</formula>
    </cfRule>
    <cfRule type="expression" dxfId="5801" priority="471">
      <formula>IF($N122="Not Compliant",TRUE)</formula>
    </cfRule>
    <cfRule type="expression" dxfId="5800" priority="472">
      <formula>IF($N122=" ",TRUE)</formula>
    </cfRule>
  </conditionalFormatting>
  <conditionalFormatting sqref="N126">
    <cfRule type="expression" dxfId="5799" priority="438">
      <formula>IF(O126=FALSE,TRUE,FALSE)</formula>
    </cfRule>
    <cfRule type="expression" dxfId="5798" priority="439">
      <formula>IF(O126=TRUE,TRUE,FALSE)</formula>
    </cfRule>
  </conditionalFormatting>
  <conditionalFormatting sqref="N127">
    <cfRule type="expression" dxfId="5797" priority="425">
      <formula>IF($N127="Compliant",TRUE)</formula>
    </cfRule>
    <cfRule type="expression" dxfId="5796" priority="426">
      <formula>IF($N127="FE with work-a-round",TRUE)</formula>
    </cfRule>
    <cfRule type="expression" dxfId="5795" priority="427">
      <formula>IF($N127="Functionally Equivalent",TRUE)</formula>
    </cfRule>
    <cfRule type="expression" dxfId="5794" priority="428">
      <formula>IF($N127="Likely to become compliant",TRUE)</formula>
    </cfRule>
    <cfRule type="expression" dxfId="5793" priority="429">
      <formula>IF($N127="Partly Compliant",TRUE)</formula>
    </cfRule>
    <cfRule type="expression" dxfId="5792" priority="430">
      <formula>IF($N127="Unknown/Missing",TRUE)</formula>
    </cfRule>
    <cfRule type="expression" dxfId="5791" priority="431">
      <formula>IF($N127="Not Required/Applicable",TRUE)</formula>
    </cfRule>
    <cfRule type="expression" dxfId="5790" priority="432">
      <formula>IF($N127="Not Compliant",TRUE)</formula>
    </cfRule>
    <cfRule type="expression" dxfId="5789" priority="433">
      <formula>IF($N127=" ",TRUE)</formula>
    </cfRule>
  </conditionalFormatting>
  <conditionalFormatting sqref="N149:N151">
    <cfRule type="expression" dxfId="5788" priority="184">
      <formula>IF($N149="Compliant",TRUE)</formula>
    </cfRule>
    <cfRule type="expression" dxfId="5787" priority="185">
      <formula>IF($N149="FE with work-a-round",TRUE)</formula>
    </cfRule>
    <cfRule type="expression" dxfId="5786" priority="186">
      <formula>IF($N149="Functionally Equivalent",TRUE)</formula>
    </cfRule>
    <cfRule type="expression" dxfId="5785" priority="187">
      <formula>IF($N149="Likely to become compliant",TRUE)</formula>
    </cfRule>
    <cfRule type="expression" dxfId="5784" priority="188">
      <formula>IF($N149="Partly Compliant",TRUE)</formula>
    </cfRule>
    <cfRule type="expression" dxfId="5783" priority="189">
      <formula>IF($N149="Unknown/Missing",TRUE)</formula>
    </cfRule>
    <cfRule type="expression" dxfId="5782" priority="190">
      <formula>IF($N149="Not Required/Applicable",TRUE)</formula>
    </cfRule>
    <cfRule type="expression" dxfId="5781" priority="191">
      <formula>IF($N149="Not Compliant",TRUE)</formula>
    </cfRule>
    <cfRule type="expression" dxfId="5780" priority="192">
      <formula>IF($N149=" ",TRUE)</formula>
    </cfRule>
  </conditionalFormatting>
  <conditionalFormatting sqref="N179">
    <cfRule type="expression" dxfId="5779" priority="260">
      <formula>IF(O179=FALSE,TRUE,FALSE)</formula>
    </cfRule>
    <cfRule type="expression" dxfId="5778" priority="261">
      <formula>IF(O179=TRUE,TRUE,FALSE)</formula>
    </cfRule>
  </conditionalFormatting>
  <conditionalFormatting sqref="N180:N181">
    <cfRule type="expression" dxfId="5777" priority="247">
      <formula>IF($N180="Compliant",TRUE)</formula>
    </cfRule>
    <cfRule type="expression" dxfId="5776" priority="248">
      <formula>IF($N180="FE with work-a-round",TRUE)</formula>
    </cfRule>
    <cfRule type="expression" dxfId="5775" priority="249">
      <formula>IF($N180="Functionally Equivalent",TRUE)</formula>
    </cfRule>
    <cfRule type="expression" dxfId="5774" priority="250">
      <formula>IF($N180="Likely to become compliant",TRUE)</formula>
    </cfRule>
    <cfRule type="expression" dxfId="5773" priority="251">
      <formula>IF($N180="Partly Compliant",TRUE)</formula>
    </cfRule>
    <cfRule type="expression" dxfId="5772" priority="252">
      <formula>IF($N180="Unknown/Missing",TRUE)</formula>
    </cfRule>
    <cfRule type="expression" dxfId="5771" priority="253">
      <formula>IF($N180="Not Required/Applicable",TRUE)</formula>
    </cfRule>
    <cfRule type="expression" dxfId="5770" priority="254">
      <formula>IF($N180="Not Compliant",TRUE)</formula>
    </cfRule>
    <cfRule type="expression" dxfId="5769" priority="255">
      <formula>IF($N180=" ",TRUE)</formula>
    </cfRule>
  </conditionalFormatting>
  <conditionalFormatting sqref="N194">
    <cfRule type="expression" dxfId="5768" priority="352">
      <formula>IF($N194="Compliant",TRUE)</formula>
    </cfRule>
    <cfRule type="expression" dxfId="5767" priority="353">
      <formula>IF($N194="FE with work-a-round",TRUE)</formula>
    </cfRule>
    <cfRule type="expression" dxfId="5766" priority="354">
      <formula>IF($N194="Functionally Equivalent",TRUE)</formula>
    </cfRule>
    <cfRule type="expression" dxfId="5765" priority="355">
      <formula>IF($N194="Likely to become compliant",TRUE)</formula>
    </cfRule>
    <cfRule type="expression" dxfId="5764" priority="356">
      <formula>IF($N194="Partly Compliant",TRUE)</formula>
    </cfRule>
    <cfRule type="expression" dxfId="5763" priority="357">
      <formula>IF($N194="Unknown/Missing",TRUE)</formula>
    </cfRule>
    <cfRule type="expression" dxfId="5762" priority="358">
      <formula>IF($N194="Not Required/Applicable",TRUE)</formula>
    </cfRule>
    <cfRule type="expression" dxfId="5761" priority="359">
      <formula>IF($N194="Not Compliant",TRUE)</formula>
    </cfRule>
    <cfRule type="expression" dxfId="5760" priority="360">
      <formula>IF($N194=" ",TRUE)</formula>
    </cfRule>
  </conditionalFormatting>
  <conditionalFormatting sqref="N209">
    <cfRule type="expression" dxfId="5759" priority="319">
      <formula>IF($N209="Compliant",TRUE)</formula>
    </cfRule>
    <cfRule type="expression" dxfId="5758" priority="320">
      <formula>IF($N209="FE with work-a-round",TRUE)</formula>
    </cfRule>
    <cfRule type="expression" dxfId="5757" priority="321">
      <formula>IF($N209="Functionally Equivalent",TRUE)</formula>
    </cfRule>
    <cfRule type="expression" dxfId="5756" priority="322">
      <formula>IF($N209="Likely to become compliant",TRUE)</formula>
    </cfRule>
    <cfRule type="expression" dxfId="5755" priority="323">
      <formula>IF($N209="Partly Compliant",TRUE)</formula>
    </cfRule>
    <cfRule type="expression" dxfId="5754" priority="324">
      <formula>IF($N209="Unknown/Missing",TRUE)</formula>
    </cfRule>
    <cfRule type="expression" dxfId="5753" priority="325">
      <formula>IF($N209="Not Required/Applicable",TRUE)</formula>
    </cfRule>
    <cfRule type="expression" dxfId="5752" priority="326">
      <formula>IF($N209="Not Compliant",TRUE)</formula>
    </cfRule>
    <cfRule type="expression" dxfId="5751" priority="327">
      <formula>IF($N209=" ",TRUE)</formula>
    </cfRule>
  </conditionalFormatting>
  <conditionalFormatting sqref="N212">
    <cfRule type="expression" dxfId="5750" priority="220">
      <formula>IF($N212="Compliant",TRUE)</formula>
    </cfRule>
    <cfRule type="expression" dxfId="5749" priority="221">
      <formula>IF($N212="FE with work-a-round",TRUE)</formula>
    </cfRule>
    <cfRule type="expression" dxfId="5748" priority="222">
      <formula>IF($N212="Functionally Equivalent",TRUE)</formula>
    </cfRule>
    <cfRule type="expression" dxfId="5747" priority="223">
      <formula>IF($N212="Likely to become compliant",TRUE)</formula>
    </cfRule>
    <cfRule type="expression" dxfId="5746" priority="224">
      <formula>IF($N212="Partly Compliant",TRUE)</formula>
    </cfRule>
    <cfRule type="expression" dxfId="5745" priority="225">
      <formula>IF($N212="Unknown/Missing",TRUE)</formula>
    </cfRule>
    <cfRule type="expression" dxfId="5744" priority="226">
      <formula>IF($N212="Not Required/Applicable",TRUE)</formula>
    </cfRule>
    <cfRule type="expression" dxfId="5743" priority="227">
      <formula>IF($N212="Not Compliant",TRUE)</formula>
    </cfRule>
    <cfRule type="expression" dxfId="5742" priority="228">
      <formula>IF($N212=" ",TRUE)</formula>
    </cfRule>
  </conditionalFormatting>
  <conditionalFormatting sqref="N118:O118 N120:O120 N176:O176 N178:O178">
    <cfRule type="containsText" dxfId="5741" priority="13988" operator="containsText" text="Not Compliant">
      <formula>NOT(ISERROR(SEARCH("Not Compliant",N118)))</formula>
    </cfRule>
    <cfRule type="expression" dxfId="5740" priority="13989">
      <formula>IF(AND($E118=TRUE,$I118="",$N118="Compliant"),TRUE,FALSE)</formula>
    </cfRule>
    <cfRule type="expression" dxfId="5739" priority="13990">
      <formula>IF(AND($E118=TRUE,$I118&lt;&gt;"",$N118="Compliant"),TRUE,FALSE)</formula>
    </cfRule>
    <cfRule type="expression" dxfId="5738" priority="13991">
      <formula>IF($N118&lt;&gt;"",TRUE,FALSE)</formula>
    </cfRule>
    <cfRule type="expression" dxfId="5737" priority="13992">
      <formula>IF(AND($E118=FALSE,$N118&lt;&gt;""),TRUE,FALSE)</formula>
    </cfRule>
    <cfRule type="expression" dxfId="5736" priority="13993">
      <formula>IF(AND($I118&lt;&gt;"",$N118&lt;&gt;""),TRUE,FALSE)</formula>
    </cfRule>
  </conditionalFormatting>
  <conditionalFormatting sqref="O23">
    <cfRule type="expression" dxfId="5735" priority="920">
      <formula>IF(AND($E23=TRUE,$I23="Valid Entry required below - Check amber box",#REF!="Compliant"),TRUE,FALSE)</formula>
    </cfRule>
    <cfRule type="expression" dxfId="5734" priority="921">
      <formula>IF(AND($E23=TRUE,$I23="Valid Entry made below",#REF!="Compliant"),TRUE,FALSE)</formula>
    </cfRule>
    <cfRule type="expression" dxfId="5733" priority="922">
      <formula>IF(AND($E23=FALSE,#REF!&lt;&gt;""),TRUE,FALSE)</formula>
    </cfRule>
    <cfRule type="expression" dxfId="5732" priority="923">
      <formula>IF(AND($I23&lt;&gt;"",#REF!&lt;&gt;""),TRUE,FALSE)</formula>
    </cfRule>
  </conditionalFormatting>
  <conditionalFormatting sqref="O29">
    <cfRule type="expression" dxfId="5731" priority="910">
      <formula>IF(AND($E29=TRUE,$I29="Valid Entry required below - Check amber box",#REF!="Compliant"),TRUE,FALSE)</formula>
    </cfRule>
    <cfRule type="expression" dxfId="5730" priority="911">
      <formula>IF(AND($E29=TRUE,$I29="Valid Entry made below",#REF!="Compliant"),TRUE,FALSE)</formula>
    </cfRule>
    <cfRule type="expression" dxfId="5729" priority="912">
      <formula>IF(AND($E29=FALSE,#REF!&lt;&gt;""),TRUE,FALSE)</formula>
    </cfRule>
    <cfRule type="expression" dxfId="5728" priority="913">
      <formula>IF(AND($I29&lt;&gt;"",#REF!&lt;&gt;""),TRUE,FALSE)</formula>
    </cfRule>
  </conditionalFormatting>
  <conditionalFormatting sqref="O50:O51">
    <cfRule type="expression" dxfId="5727" priority="932">
      <formula>IF(AND($E50=TRUE,$I50="Valid Entry required below - Check amber box",#REF!="Compliant"),TRUE,FALSE)</formula>
    </cfRule>
    <cfRule type="expression" dxfId="5726" priority="933">
      <formula>IF(AND($E50=TRUE,$I50="Valid Entry made below",#REF!="Compliant"),TRUE,FALSE)</formula>
    </cfRule>
    <cfRule type="expression" dxfId="5725" priority="934">
      <formula>IF(AND($E50=FALSE,#REF!&lt;&gt;""),TRUE,FALSE)</formula>
    </cfRule>
    <cfRule type="expression" dxfId="5724" priority="935">
      <formula>IF(AND($I50&lt;&gt;"",#REF!&lt;&gt;""),TRUE,FALSE)</formula>
    </cfRule>
  </conditionalFormatting>
  <conditionalFormatting sqref="O60">
    <cfRule type="expression" dxfId="5723" priority="795">
      <formula>IF(AND($E60=TRUE,$I60="Valid Entry required below - Check amber box",#REF!="Compliant"),TRUE,FALSE)</formula>
    </cfRule>
    <cfRule type="expression" dxfId="5722" priority="796">
      <formula>IF(AND($E60=TRUE,$I60="Valid Entry made below",#REF!="Compliant"),TRUE,FALSE)</formula>
    </cfRule>
    <cfRule type="expression" dxfId="5721" priority="797">
      <formula>IF(AND($E60=FALSE,#REF!&lt;&gt;""),TRUE,FALSE)</formula>
    </cfRule>
    <cfRule type="expression" dxfId="5720" priority="798">
      <formula>IF(AND($I60&lt;&gt;"",#REF!&lt;&gt;""),TRUE,FALSE)</formula>
    </cfRule>
  </conditionalFormatting>
  <conditionalFormatting sqref="O88">
    <cfRule type="expression" dxfId="5719" priority="613">
      <formula>IF(AND($E88=TRUE,$I88="Valid Entry required below - Check amber box",#REF!="Compliant"),TRUE,FALSE)</formula>
    </cfRule>
    <cfRule type="expression" dxfId="5718" priority="614">
      <formula>IF(AND($E88=TRUE,$I88="Valid Entry made below",#REF!="Compliant"),TRUE,FALSE)</formula>
    </cfRule>
    <cfRule type="expression" dxfId="5717" priority="615">
      <formula>IF(AND($E88=FALSE,#REF!&lt;&gt;""),TRUE,FALSE)</formula>
    </cfRule>
    <cfRule type="expression" dxfId="5716" priority="616">
      <formula>IF(AND($I88&lt;&gt;"",#REF!&lt;&gt;""),TRUE,FALSE)</formula>
    </cfRule>
  </conditionalFormatting>
  <conditionalFormatting sqref="O100">
    <cfRule type="expression" dxfId="5715" priority="574">
      <formula>IF(AND($E100=TRUE,$I100="Valid Entry required below - Check amber box",#REF!="Compliant"),TRUE,FALSE)</formula>
    </cfRule>
    <cfRule type="expression" dxfId="5714" priority="575">
      <formula>IF(AND($E100=TRUE,$I100="Valid Entry made below",#REF!="Compliant"),TRUE,FALSE)</formula>
    </cfRule>
    <cfRule type="expression" dxfId="5713" priority="576">
      <formula>IF(AND($E100=FALSE,#REF!&lt;&gt;""),TRUE,FALSE)</formula>
    </cfRule>
    <cfRule type="expression" dxfId="5712" priority="577">
      <formula>IF(AND($I100&lt;&gt;"",#REF!&lt;&gt;""),TRUE,FALSE)</formula>
    </cfRule>
  </conditionalFormatting>
  <conditionalFormatting sqref="O121">
    <cfRule type="expression" dxfId="5711" priority="479">
      <formula>IF(AND($E121=TRUE,$I121="Valid Entry required below - Check amber box",#REF!="Compliant"),TRUE,FALSE)</formula>
    </cfRule>
    <cfRule type="expression" dxfId="5710" priority="480">
      <formula>IF(AND($E121=TRUE,$I121="Valid Entry made below",#REF!="Compliant"),TRUE,FALSE)</formula>
    </cfRule>
    <cfRule type="expression" dxfId="5709" priority="481">
      <formula>IF(AND($E121=FALSE,#REF!&lt;&gt;""),TRUE,FALSE)</formula>
    </cfRule>
    <cfRule type="expression" dxfId="5708" priority="482">
      <formula>IF(AND($I121&lt;&gt;"",#REF!&lt;&gt;""),TRUE,FALSE)</formula>
    </cfRule>
  </conditionalFormatting>
  <conditionalFormatting sqref="O126">
    <cfRule type="expression" dxfId="5707" priority="440">
      <formula>IF(AND($E126=TRUE,$I126="Valid Entry required below - Check amber box",#REF!="Compliant"),TRUE,FALSE)</formula>
    </cfRule>
    <cfRule type="expression" dxfId="5706" priority="441">
      <formula>IF(AND($E126=TRUE,$I126="Valid Entry made below",#REF!="Compliant"),TRUE,FALSE)</formula>
    </cfRule>
    <cfRule type="expression" dxfId="5705" priority="442">
      <formula>IF(AND($E126=FALSE,#REF!&lt;&gt;""),TRUE,FALSE)</formula>
    </cfRule>
    <cfRule type="expression" dxfId="5704" priority="443">
      <formula>IF(AND($I126&lt;&gt;"",#REF!&lt;&gt;""),TRUE,FALSE)</formula>
    </cfRule>
  </conditionalFormatting>
  <conditionalFormatting sqref="O179">
    <cfRule type="expression" dxfId="5703" priority="262">
      <formula>IF(AND($E179=TRUE,$I179="Valid Entry required below - Check amber box",#REF!="Compliant"),TRUE,FALSE)</formula>
    </cfRule>
    <cfRule type="expression" dxfId="5702" priority="263">
      <formula>IF(AND($E179=TRUE,$I179="Valid Entry made below",#REF!="Compliant"),TRUE,FALSE)</formula>
    </cfRule>
    <cfRule type="expression" dxfId="5701" priority="264">
      <formula>IF(AND($E179=FALSE,#REF!&lt;&gt;""),TRUE,FALSE)</formula>
    </cfRule>
    <cfRule type="expression" dxfId="5700" priority="265">
      <formula>IF(AND($I179&lt;&gt;"",#REF!&lt;&gt;""),TRUE,FALSE)</formula>
    </cfRule>
  </conditionalFormatting>
  <conditionalFormatting sqref="Q8">
    <cfRule type="expression" dxfId="5699" priority="45">
      <formula>IF(Q8="Compliant",TRUE)</formula>
    </cfRule>
    <cfRule type="expression" dxfId="5698" priority="46">
      <formula>IF(Q8="FE with work-a-round",TRUE)</formula>
    </cfRule>
    <cfRule type="expression" dxfId="5697" priority="47">
      <formula>IF(Q8="Functionally Equivalent",TRUE)</formula>
    </cfRule>
    <cfRule type="expression" dxfId="5696" priority="48">
      <formula>IF($Q8="Likely to become compliant",TRUE)</formula>
    </cfRule>
    <cfRule type="expression" dxfId="5695" priority="49">
      <formula>IF($Q8="Partly Compliant",TRUE)</formula>
    </cfRule>
    <cfRule type="expression" dxfId="5694" priority="50">
      <formula>IF($Q8="Unknown/Missing",TRUE)</formula>
    </cfRule>
    <cfRule type="expression" dxfId="5693" priority="51">
      <formula>IF($Q8="Not Required/Applicable",TRUE)</formula>
    </cfRule>
    <cfRule type="expression" dxfId="5692" priority="52">
      <formula>IF(Q8="Not Compliant",TRUE)</formula>
    </cfRule>
    <cfRule type="expression" dxfId="5691" priority="53">
      <formula>IF(Q8=" ",TRUE)</formula>
    </cfRule>
  </conditionalFormatting>
  <conditionalFormatting sqref="Q19">
    <cfRule type="expression" dxfId="5690" priority="10">
      <formula>IF(Q19="Compliant",TRUE)</formula>
    </cfRule>
    <cfRule type="expression" dxfId="5689" priority="11">
      <formula>IF(Q19="FE with work-a-round",TRUE)</formula>
    </cfRule>
    <cfRule type="expression" dxfId="5688" priority="12">
      <formula>IF(Q19="Functionally Equivalent",TRUE)</formula>
    </cfRule>
    <cfRule type="expression" dxfId="5687" priority="13">
      <formula>IF($Q19="Likely to become compliant",TRUE)</formula>
    </cfRule>
    <cfRule type="expression" dxfId="5686" priority="14">
      <formula>IF($Q19="Partly Compliant",TRUE)</formula>
    </cfRule>
    <cfRule type="expression" dxfId="5685" priority="15">
      <formula>IF($Q19="Unknown/Missing",TRUE)</formula>
    </cfRule>
    <cfRule type="expression" dxfId="5684" priority="16">
      <formula>IF($Q19="Not Required/Applicable",TRUE)</formula>
    </cfRule>
    <cfRule type="expression" dxfId="5683" priority="17">
      <formula>IF(Q19="Not Compliant",TRUE)</formula>
    </cfRule>
    <cfRule type="expression" dxfId="5682" priority="18">
      <formula>IF(Q19=" ",TRUE)</formula>
    </cfRule>
  </conditionalFormatting>
  <conditionalFormatting sqref="Q23:Q24 Q29:Q30">
    <cfRule type="expression" dxfId="5681" priority="906">
      <formula>IF(R23=FALSE,TRUE,FALSE)</formula>
    </cfRule>
    <cfRule type="expression" dxfId="5680" priority="907">
      <formula>IF(R23=TRUE,TRUE,FALSE)</formula>
    </cfRule>
  </conditionalFormatting>
  <conditionalFormatting sqref="Q25">
    <cfRule type="expression" dxfId="5679" priority="14396">
      <formula>IF($N24=" ",TRUE)</formula>
    </cfRule>
  </conditionalFormatting>
  <conditionalFormatting sqref="Q31">
    <cfRule type="expression" dxfId="5678" priority="968">
      <formula>IF(Q31="Likely to become compliant",TRUE)</formula>
    </cfRule>
    <cfRule type="expression" dxfId="5677" priority="969">
      <formula>IF(Q31="Partly Compliant",TRUE)</formula>
    </cfRule>
    <cfRule type="expression" dxfId="5676" priority="970">
      <formula>IF(Q31="Unknown/Missing",TRUE)</formula>
    </cfRule>
    <cfRule type="expression" dxfId="5675" priority="971">
      <formula>IF(Q31="Not Required/Applicable",TRUE)</formula>
    </cfRule>
    <cfRule type="expression" dxfId="5674" priority="973">
      <formula>IF($N31=" ",TRUE)</formula>
    </cfRule>
  </conditionalFormatting>
  <conditionalFormatting sqref="Q31:Q33 Q35:Q38 Q43:Q46 Q53:Q58 Q62:Q66 Q68:Q70 Q72:Q74">
    <cfRule type="expression" dxfId="5673" priority="130">
      <formula>IF(Q31="Compliant",TRUE)</formula>
    </cfRule>
    <cfRule type="expression" dxfId="5672" priority="131">
      <formula>IF(Q31="FE with work-a-round",TRUE)</formula>
    </cfRule>
    <cfRule type="expression" dxfId="5671" priority="132">
      <formula>IF(Q31="Functionally Equivalent",TRUE)</formula>
    </cfRule>
    <cfRule type="expression" dxfId="5670" priority="137">
      <formula>IF(Q31="Not Compliant",TRUE)</formula>
    </cfRule>
  </conditionalFormatting>
  <conditionalFormatting sqref="Q32:Q33 Q36:Q38 Q43:Q46 Q53:Q58 Q62:Q66 Q68:Q70 Q72:Q74">
    <cfRule type="expression" dxfId="5669" priority="133">
      <formula>IF($Q32="Likely to become compliant",TRUE)</formula>
    </cfRule>
    <cfRule type="expression" dxfId="5668" priority="134">
      <formula>IF($Q32="Partly Compliant",TRUE)</formula>
    </cfRule>
    <cfRule type="expression" dxfId="5667" priority="135">
      <formula>IF($Q32="Unknown/Missing",TRUE)</formula>
    </cfRule>
    <cfRule type="expression" dxfId="5666" priority="136">
      <formula>IF($Q32="Not Required/Applicable",TRUE)</formula>
    </cfRule>
    <cfRule type="expression" dxfId="5665" priority="138">
      <formula>IF(Q32=" ",TRUE)</formula>
    </cfRule>
  </conditionalFormatting>
  <conditionalFormatting sqref="Q34">
    <cfRule type="expression" dxfId="5664" priority="799">
      <formula>IF(R34=FALSE,TRUE,FALSE)</formula>
    </cfRule>
    <cfRule type="expression" dxfId="5663" priority="800">
      <formula>IF(R34=TRUE,TRUE,FALSE)</formula>
    </cfRule>
  </conditionalFormatting>
  <conditionalFormatting sqref="Q35">
    <cfRule type="expression" dxfId="5662" priority="804">
      <formula>IF(Q35="Likely to become compliant",TRUE)</formula>
    </cfRule>
    <cfRule type="expression" dxfId="5661" priority="805">
      <formula>IF(Q35="Partly Compliant",TRUE)</formula>
    </cfRule>
    <cfRule type="expression" dxfId="5660" priority="806">
      <formula>IF(Q35="Unknown/Missing",TRUE)</formula>
    </cfRule>
    <cfRule type="expression" dxfId="5659" priority="807">
      <formula>IF(Q35="Not Required/Applicable",TRUE)</formula>
    </cfRule>
    <cfRule type="expression" dxfId="5658" priority="809">
      <formula>IF($N35=" ",TRUE)</formula>
    </cfRule>
  </conditionalFormatting>
  <conditionalFormatting sqref="Q42">
    <cfRule type="expression" dxfId="5657" priority="936">
      <formula>IF(R42=FALSE,TRUE,FALSE)</formula>
    </cfRule>
    <cfRule type="expression" dxfId="5656" priority="937">
      <formula>IF(R42=TRUE,TRUE,FALSE)</formula>
    </cfRule>
  </conditionalFormatting>
  <conditionalFormatting sqref="Q50:Q52">
    <cfRule type="expression" dxfId="5655" priority="884">
      <formula>IF(R50=FALSE,TRUE,FALSE)</formula>
    </cfRule>
    <cfRule type="expression" dxfId="5654" priority="885">
      <formula>IF(R50=TRUE,TRUE,FALSE)</formula>
    </cfRule>
  </conditionalFormatting>
  <conditionalFormatting sqref="Q60:Q61">
    <cfRule type="expression" dxfId="5653" priority="769">
      <formula>IF(R60=FALSE,TRUE,FALSE)</formula>
    </cfRule>
    <cfRule type="expression" dxfId="5652" priority="770">
      <formula>IF(R60=TRUE,TRUE,FALSE)</formula>
    </cfRule>
  </conditionalFormatting>
  <conditionalFormatting sqref="Q67">
    <cfRule type="expression" dxfId="5651" priority="749">
      <formula>IF(R67=FALSE,TRUE,FALSE)</formula>
    </cfRule>
    <cfRule type="expression" dxfId="5650" priority="750">
      <formula>IF(R67=TRUE,TRUE,FALSE)</formula>
    </cfRule>
  </conditionalFormatting>
  <conditionalFormatting sqref="Q71">
    <cfRule type="expression" dxfId="5649" priority="711">
      <formula>IF(R71=FALSE,TRUE,FALSE)</formula>
    </cfRule>
    <cfRule type="expression" dxfId="5648" priority="712">
      <formula>IF(R71=TRUE,TRUE,FALSE)</formula>
    </cfRule>
  </conditionalFormatting>
  <conditionalFormatting sqref="Q75">
    <cfRule type="expression" dxfId="5647" priority="682">
      <formula>IF(R75=FALSE,TRUE,FALSE)</formula>
    </cfRule>
    <cfRule type="expression" dxfId="5646" priority="683">
      <formula>IF(R75=TRUE,TRUE,FALSE)</formula>
    </cfRule>
  </conditionalFormatting>
  <conditionalFormatting sqref="Q76:Q78">
    <cfRule type="expression" dxfId="5645" priority="673">
      <formula>IF(Q76="Compliant",TRUE)</formula>
    </cfRule>
    <cfRule type="expression" dxfId="5644" priority="674">
      <formula>IF(Q76="FE with work-a-round",TRUE)</formula>
    </cfRule>
    <cfRule type="expression" dxfId="5643" priority="675">
      <formula>IF(Q76="Functionally Equivalent",TRUE)</formula>
    </cfRule>
    <cfRule type="expression" dxfId="5642" priority="676">
      <formula>IF($Q76="Likely to become compliant",TRUE)</formula>
    </cfRule>
    <cfRule type="expression" dxfId="5641" priority="677">
      <formula>IF($Q76="Partly Compliant",TRUE)</formula>
    </cfRule>
    <cfRule type="expression" dxfId="5640" priority="678">
      <formula>IF($Q76="Unknown/Missing",TRUE)</formula>
    </cfRule>
    <cfRule type="expression" dxfId="5639" priority="679">
      <formula>IF($Q76="Not Required/Applicable",TRUE)</formula>
    </cfRule>
    <cfRule type="expression" dxfId="5638" priority="680">
      <formula>IF(Q76="Not Compliant",TRUE)</formula>
    </cfRule>
    <cfRule type="expression" dxfId="5637" priority="681">
      <formula>IF(Q76=" ",TRUE)</formula>
    </cfRule>
  </conditionalFormatting>
  <conditionalFormatting sqref="Q79">
    <cfRule type="expression" dxfId="5636" priority="653">
      <formula>IF(R79=FALSE,TRUE,FALSE)</formula>
    </cfRule>
    <cfRule type="expression" dxfId="5635" priority="654">
      <formula>IF(R79=TRUE,TRUE,FALSE)</formula>
    </cfRule>
  </conditionalFormatting>
  <conditionalFormatting sqref="Q80:Q87">
    <cfRule type="expression" dxfId="5634" priority="617">
      <formula>IF(Q80="Compliant",TRUE)</formula>
    </cfRule>
    <cfRule type="expression" dxfId="5633" priority="618">
      <formula>IF(Q80="FE with work-a-round",TRUE)</formula>
    </cfRule>
    <cfRule type="expression" dxfId="5632" priority="619">
      <formula>IF(Q80="Functionally Equivalent",TRUE)</formula>
    </cfRule>
    <cfRule type="expression" dxfId="5631" priority="620">
      <formula>IF($Q80="Likely to become compliant",TRUE)</formula>
    </cfRule>
    <cfRule type="expression" dxfId="5630" priority="621">
      <formula>IF($Q80="Partly Compliant",TRUE)</formula>
    </cfRule>
    <cfRule type="expression" dxfId="5629" priority="622">
      <formula>IF($Q80="Unknown/Missing",TRUE)</formula>
    </cfRule>
    <cfRule type="expression" dxfId="5628" priority="623">
      <formula>IF($Q80="Not Required/Applicable",TRUE)</formula>
    </cfRule>
    <cfRule type="expression" dxfId="5627" priority="624">
      <formula>IF(Q80="Not Compliant",TRUE)</formula>
    </cfRule>
    <cfRule type="expression" dxfId="5626" priority="625">
      <formula>IF(Q80=" ",TRUE)</formula>
    </cfRule>
  </conditionalFormatting>
  <conditionalFormatting sqref="Q88:Q89">
    <cfRule type="expression" dxfId="5625" priority="587">
      <formula>IF(R88=FALSE,TRUE,FALSE)</formula>
    </cfRule>
    <cfRule type="expression" dxfId="5624" priority="588">
      <formula>IF(R88=TRUE,TRUE,FALSE)</formula>
    </cfRule>
  </conditionalFormatting>
  <conditionalFormatting sqref="Q90:Q99">
    <cfRule type="expression" dxfId="5623" priority="578">
      <formula>IF(Q90="Compliant",TRUE)</formula>
    </cfRule>
    <cfRule type="expression" dxfId="5622" priority="579">
      <formula>IF(Q90="FE with work-a-round",TRUE)</formula>
    </cfRule>
    <cfRule type="expression" dxfId="5621" priority="580">
      <formula>IF(Q90="Functionally Equivalent",TRUE)</formula>
    </cfRule>
    <cfRule type="expression" dxfId="5620" priority="581">
      <formula>IF($Q90="Likely to become compliant",TRUE)</formula>
    </cfRule>
    <cfRule type="expression" dxfId="5619" priority="582">
      <formula>IF($Q90="Partly Compliant",TRUE)</formula>
    </cfRule>
    <cfRule type="expression" dxfId="5618" priority="583">
      <formula>IF($Q90="Unknown/Missing",TRUE)</formula>
    </cfRule>
    <cfRule type="expression" dxfId="5617" priority="584">
      <formula>IF($Q90="Not Required/Applicable",TRUE)</formula>
    </cfRule>
    <cfRule type="expression" dxfId="5616" priority="585">
      <formula>IF(Q90="Not Compliant",TRUE)</formula>
    </cfRule>
    <cfRule type="expression" dxfId="5615" priority="586">
      <formula>IF(Q90=" ",TRUE)</formula>
    </cfRule>
  </conditionalFormatting>
  <conditionalFormatting sqref="Q100:Q101">
    <cfRule type="expression" dxfId="5614" priority="548">
      <formula>IF(R100=FALSE,TRUE,FALSE)</formula>
    </cfRule>
    <cfRule type="expression" dxfId="5613" priority="549">
      <formula>IF(R100=TRUE,TRUE,FALSE)</formula>
    </cfRule>
  </conditionalFormatting>
  <conditionalFormatting sqref="Q102:Q103">
    <cfRule type="expression" dxfId="5612" priority="539">
      <formula>IF(Q102="Compliant",TRUE)</formula>
    </cfRule>
    <cfRule type="expression" dxfId="5611" priority="540">
      <formula>IF(Q102="FE with work-a-round",TRUE)</formula>
    </cfRule>
    <cfRule type="expression" dxfId="5610" priority="541">
      <formula>IF(Q102="Functionally Equivalent",TRUE)</formula>
    </cfRule>
    <cfRule type="expression" dxfId="5609" priority="542">
      <formula>IF($Q102="Likely to become compliant",TRUE)</formula>
    </cfRule>
    <cfRule type="expression" dxfId="5608" priority="543">
      <formula>IF($Q102="Partly Compliant",TRUE)</formula>
    </cfRule>
    <cfRule type="expression" dxfId="5607" priority="544">
      <formula>IF($Q102="Unknown/Missing",TRUE)</formula>
    </cfRule>
    <cfRule type="expression" dxfId="5606" priority="545">
      <formula>IF($Q102="Not Required/Applicable",TRUE)</formula>
    </cfRule>
    <cfRule type="expression" dxfId="5605" priority="546">
      <formula>IF(Q102="Not Compliant",TRUE)</formula>
    </cfRule>
    <cfRule type="expression" dxfId="5604" priority="547">
      <formula>IF(Q102=" ",TRUE)</formula>
    </cfRule>
  </conditionalFormatting>
  <conditionalFormatting sqref="Q104">
    <cfRule type="expression" dxfId="5603" priority="519">
      <formula>IF(R104=FALSE,TRUE,FALSE)</formula>
    </cfRule>
    <cfRule type="expression" dxfId="5602" priority="520">
      <formula>IF(R104=TRUE,TRUE,FALSE)</formula>
    </cfRule>
  </conditionalFormatting>
  <conditionalFormatting sqref="Q105:Q115">
    <cfRule type="expression" dxfId="5601" priority="510">
      <formula>IF(Q105="Compliant",TRUE)</formula>
    </cfRule>
    <cfRule type="expression" dxfId="5600" priority="511">
      <formula>IF(Q105="FE with work-a-round",TRUE)</formula>
    </cfRule>
    <cfRule type="expression" dxfId="5599" priority="512">
      <formula>IF(Q105="Functionally Equivalent",TRUE)</formula>
    </cfRule>
    <cfRule type="expression" dxfId="5598" priority="513">
      <formula>IF($Q105="Likely to become compliant",TRUE)</formula>
    </cfRule>
    <cfRule type="expression" dxfId="5597" priority="514">
      <formula>IF($Q105="Partly Compliant",TRUE)</formula>
    </cfRule>
    <cfRule type="expression" dxfId="5596" priority="515">
      <formula>IF($Q105="Unknown/Missing",TRUE)</formula>
    </cfRule>
    <cfRule type="expression" dxfId="5595" priority="516">
      <formula>IF($Q105="Not Required/Applicable",TRUE)</formula>
    </cfRule>
    <cfRule type="expression" dxfId="5594" priority="517">
      <formula>IF(Q105="Not Compliant",TRUE)</formula>
    </cfRule>
    <cfRule type="expression" dxfId="5593" priority="518">
      <formula>IF(Q105=" ",TRUE)</formula>
    </cfRule>
  </conditionalFormatting>
  <conditionalFormatting sqref="Q117">
    <cfRule type="expression" dxfId="5592" priority="483">
      <formula>IF(Q117="Compliant",TRUE)</formula>
    </cfRule>
    <cfRule type="expression" dxfId="5591" priority="484">
      <formula>IF(Q117="FE with work-a-round",TRUE)</formula>
    </cfRule>
    <cfRule type="expression" dxfId="5590" priority="485">
      <formula>IF(Q117="Functionally Equivalent",TRUE)</formula>
    </cfRule>
    <cfRule type="expression" dxfId="5589" priority="486">
      <formula>IF($Q117="Likely to become compliant",TRUE)</formula>
    </cfRule>
    <cfRule type="expression" dxfId="5588" priority="487">
      <formula>IF($Q117="Partly Compliant",TRUE)</formula>
    </cfRule>
    <cfRule type="expression" dxfId="5587" priority="488">
      <formula>IF($Q117="Unknown/Missing",TRUE)</formula>
    </cfRule>
    <cfRule type="expression" dxfId="5586" priority="489">
      <formula>IF($Q117="Not Required/Applicable",TRUE)</formula>
    </cfRule>
    <cfRule type="expression" dxfId="5585" priority="490">
      <formula>IF(Q117="Not Compliant",TRUE)</formula>
    </cfRule>
    <cfRule type="expression" dxfId="5584" priority="491">
      <formula>IF(Q117=" ",TRUE)</formula>
    </cfRule>
  </conditionalFormatting>
  <conditionalFormatting sqref="Q121:Q122">
    <cfRule type="expression" dxfId="5583" priority="453">
      <formula>IF(R121=FALSE,TRUE,FALSE)</formula>
    </cfRule>
    <cfRule type="expression" dxfId="5582" priority="454">
      <formula>IF(R121=TRUE,TRUE,FALSE)</formula>
    </cfRule>
  </conditionalFormatting>
  <conditionalFormatting sqref="Q123:Q125">
    <cfRule type="expression" dxfId="5581" priority="444">
      <formula>IF(Q123="Compliant",TRUE)</formula>
    </cfRule>
    <cfRule type="expression" dxfId="5580" priority="445">
      <formula>IF(Q123="FE with work-a-round",TRUE)</formula>
    </cfRule>
    <cfRule type="expression" dxfId="5579" priority="446">
      <formula>IF(Q123="Functionally Equivalent",TRUE)</formula>
    </cfRule>
    <cfRule type="expression" dxfId="5578" priority="447">
      <formula>IF($Q123="Likely to become compliant",TRUE)</formula>
    </cfRule>
    <cfRule type="expression" dxfId="5577" priority="448">
      <formula>IF($Q123="Partly Compliant",TRUE)</formula>
    </cfRule>
    <cfRule type="expression" dxfId="5576" priority="449">
      <formula>IF($Q123="Unknown/Missing",TRUE)</formula>
    </cfRule>
    <cfRule type="expression" dxfId="5575" priority="450">
      <formula>IF($Q123="Not Required/Applicable",TRUE)</formula>
    </cfRule>
    <cfRule type="expression" dxfId="5574" priority="451">
      <formula>IF(Q123="Not Compliant",TRUE)</formula>
    </cfRule>
    <cfRule type="expression" dxfId="5573" priority="452">
      <formula>IF(Q123=" ",TRUE)</formula>
    </cfRule>
  </conditionalFormatting>
  <conditionalFormatting sqref="Q126:Q127">
    <cfRule type="expression" dxfId="5572" priority="414">
      <formula>IF(R126=FALSE,TRUE,FALSE)</formula>
    </cfRule>
    <cfRule type="expression" dxfId="5571" priority="415">
      <formula>IF(R126=TRUE,TRUE,FALSE)</formula>
    </cfRule>
  </conditionalFormatting>
  <conditionalFormatting sqref="Q128:Q137">
    <cfRule type="expression" dxfId="5570" priority="175">
      <formula>IF(Q128="Compliant",TRUE)</formula>
    </cfRule>
    <cfRule type="expression" dxfId="5569" priority="176">
      <formula>IF(Q128="FE with work-a-round",TRUE)</formula>
    </cfRule>
    <cfRule type="expression" dxfId="5568" priority="177">
      <formula>IF(Q128="Functionally Equivalent",TRUE)</formula>
    </cfRule>
    <cfRule type="expression" dxfId="5567" priority="178">
      <formula>IF($Q128="Likely to become compliant",TRUE)</formula>
    </cfRule>
    <cfRule type="expression" dxfId="5566" priority="179">
      <formula>IF($Q128="Partly Compliant",TRUE)</formula>
    </cfRule>
    <cfRule type="expression" dxfId="5565" priority="180">
      <formula>IF($Q128="Unknown/Missing",TRUE)</formula>
    </cfRule>
    <cfRule type="expression" dxfId="5564" priority="181">
      <formula>IF($Q128="Not Required/Applicable",TRUE)</formula>
    </cfRule>
    <cfRule type="expression" dxfId="5563" priority="182">
      <formula>IF(Q128="Not Compliant",TRUE)</formula>
    </cfRule>
    <cfRule type="expression" dxfId="5562" priority="183">
      <formula>IF(Q128=" ",TRUE)</formula>
    </cfRule>
  </conditionalFormatting>
  <conditionalFormatting sqref="Q138">
    <cfRule type="expression" dxfId="5561" priority="403">
      <formula>IF(R138=FALSE,TRUE,FALSE)</formula>
    </cfRule>
    <cfRule type="expression" dxfId="5560" priority="404">
      <formula>IF(R138=TRUE,TRUE,FALSE)</formula>
    </cfRule>
  </conditionalFormatting>
  <conditionalFormatting sqref="Q139:Q150">
    <cfRule type="expression" dxfId="5559" priority="394">
      <formula>IF(Q139="Compliant",TRUE)</formula>
    </cfRule>
    <cfRule type="expression" dxfId="5558" priority="395">
      <formula>IF(Q139="FE with work-a-round",TRUE)</formula>
    </cfRule>
    <cfRule type="expression" dxfId="5557" priority="396">
      <formula>IF(Q139="Functionally Equivalent",TRUE)</formula>
    </cfRule>
    <cfRule type="expression" dxfId="5556" priority="397">
      <formula>IF($Q139="Likely to become compliant",TRUE)</formula>
    </cfRule>
    <cfRule type="expression" dxfId="5555" priority="398">
      <formula>IF($Q139="Partly Compliant",TRUE)</formula>
    </cfRule>
    <cfRule type="expression" dxfId="5554" priority="399">
      <formula>IF($Q139="Unknown/Missing",TRUE)</formula>
    </cfRule>
    <cfRule type="expression" dxfId="5553" priority="400">
      <formula>IF($Q139="Not Required/Applicable",TRUE)</formula>
    </cfRule>
    <cfRule type="expression" dxfId="5552" priority="401">
      <formula>IF(Q139="Not Compliant",TRUE)</formula>
    </cfRule>
    <cfRule type="expression" dxfId="5551" priority="402">
      <formula>IF(Q139=" ",TRUE)</formula>
    </cfRule>
  </conditionalFormatting>
  <conditionalFormatting sqref="Q151">
    <cfRule type="expression" dxfId="5550" priority="374">
      <formula>IF(R151=FALSE,TRUE,FALSE)</formula>
    </cfRule>
    <cfRule type="expression" dxfId="5549" priority="375">
      <formula>IF(R151=TRUE,TRUE,FALSE)</formula>
    </cfRule>
  </conditionalFormatting>
  <conditionalFormatting sqref="Q152:Q175">
    <cfRule type="expression" dxfId="5548" priority="365">
      <formula>IF(Q152="Compliant",TRUE)</formula>
    </cfRule>
    <cfRule type="expression" dxfId="5547" priority="366">
      <formula>IF(Q152="FE with work-a-round",TRUE)</formula>
    </cfRule>
    <cfRule type="expression" dxfId="5546" priority="367">
      <formula>IF(Q152="Functionally Equivalent",TRUE)</formula>
    </cfRule>
    <cfRule type="expression" dxfId="5545" priority="368">
      <formula>IF($Q152="Likely to become compliant",TRUE)</formula>
    </cfRule>
    <cfRule type="expression" dxfId="5544" priority="369">
      <formula>IF($Q152="Partly Compliant",TRUE)</formula>
    </cfRule>
    <cfRule type="expression" dxfId="5543" priority="370">
      <formula>IF($Q152="Unknown/Missing",TRUE)</formula>
    </cfRule>
    <cfRule type="expression" dxfId="5542" priority="371">
      <formula>IF($Q152="Not Required/Applicable",TRUE)</formula>
    </cfRule>
    <cfRule type="expression" dxfId="5541" priority="372">
      <formula>IF(Q152="Not Compliant",TRUE)</formula>
    </cfRule>
    <cfRule type="expression" dxfId="5540" priority="373">
      <formula>IF(Q152=" ",TRUE)</formula>
    </cfRule>
  </conditionalFormatting>
  <conditionalFormatting sqref="Q179">
    <cfRule type="expression" dxfId="5539" priority="258">
      <formula>IF(R179=FALSE,TRUE,FALSE)</formula>
    </cfRule>
    <cfRule type="expression" dxfId="5538" priority="259">
      <formula>IF(R179=TRUE,TRUE,FALSE)</formula>
    </cfRule>
  </conditionalFormatting>
  <conditionalFormatting sqref="Q180">
    <cfRule type="expression" dxfId="5537" priority="229">
      <formula>IF(Q180="Compliant",TRUE)</formula>
    </cfRule>
    <cfRule type="expression" dxfId="5536" priority="230">
      <formula>IF(Q180="FE with work-a-round",TRUE)</formula>
    </cfRule>
    <cfRule type="expression" dxfId="5535" priority="231">
      <formula>IF(Q180="Functionally Equivalent",TRUE)</formula>
    </cfRule>
    <cfRule type="expression" dxfId="5534" priority="232">
      <formula>IF($Q180="Likely to become compliant",TRUE)</formula>
    </cfRule>
    <cfRule type="expression" dxfId="5533" priority="233">
      <formula>IF($Q180="Partly Compliant",TRUE)</formula>
    </cfRule>
    <cfRule type="expression" dxfId="5532" priority="234">
      <formula>IF($Q180="Unknown/Missing",TRUE)</formula>
    </cfRule>
    <cfRule type="expression" dxfId="5531" priority="235">
      <formula>IF($Q180="Not Required/Applicable",TRUE)</formula>
    </cfRule>
    <cfRule type="expression" dxfId="5530" priority="236">
      <formula>IF(Q180="Not Compliant",TRUE)</formula>
    </cfRule>
    <cfRule type="expression" dxfId="5529" priority="237">
      <formula>IF(Q180=" ",TRUE)</formula>
    </cfRule>
  </conditionalFormatting>
  <conditionalFormatting sqref="Q181">
    <cfRule type="expression" dxfId="5528" priority="275">
      <formula>IF(R181=FALSE,TRUE,FALSE)</formula>
    </cfRule>
    <cfRule type="expression" dxfId="5527" priority="276">
      <formula>IF(R181=TRUE,TRUE,FALSE)</formula>
    </cfRule>
  </conditionalFormatting>
  <conditionalFormatting sqref="Q182:Q193">
    <cfRule type="expression" dxfId="5526" priority="266">
      <formula>IF(Q182="Compliant",TRUE)</formula>
    </cfRule>
    <cfRule type="expression" dxfId="5525" priority="267">
      <formula>IF(Q182="FE with work-a-round",TRUE)</formula>
    </cfRule>
    <cfRule type="expression" dxfId="5524" priority="268">
      <formula>IF(Q182="Functionally Equivalent",TRUE)</formula>
    </cfRule>
    <cfRule type="expression" dxfId="5523" priority="269">
      <formula>IF($Q182="Likely to become compliant",TRUE)</formula>
    </cfRule>
    <cfRule type="expression" dxfId="5522" priority="270">
      <formula>IF($Q182="Partly Compliant",TRUE)</formula>
    </cfRule>
    <cfRule type="expression" dxfId="5521" priority="271">
      <formula>IF($Q182="Unknown/Missing",TRUE)</formula>
    </cfRule>
    <cfRule type="expression" dxfId="5520" priority="272">
      <formula>IF($Q182="Not Required/Applicable",TRUE)</formula>
    </cfRule>
    <cfRule type="expression" dxfId="5519" priority="273">
      <formula>IF(Q182="Not Compliant",TRUE)</formula>
    </cfRule>
    <cfRule type="expression" dxfId="5518" priority="274">
      <formula>IF(Q182=" ",TRUE)</formula>
    </cfRule>
  </conditionalFormatting>
  <conditionalFormatting sqref="Q194">
    <cfRule type="expression" dxfId="5517" priority="341">
      <formula>IF(R194=FALSE,TRUE,FALSE)</formula>
    </cfRule>
    <cfRule type="expression" dxfId="5516" priority="342">
      <formula>IF(R194=TRUE,TRUE,FALSE)</formula>
    </cfRule>
  </conditionalFormatting>
  <conditionalFormatting sqref="Q195:Q208">
    <cfRule type="expression" dxfId="5515" priority="332">
      <formula>IF(Q195="Compliant",TRUE)</formula>
    </cfRule>
    <cfRule type="expression" dxfId="5514" priority="333">
      <formula>IF(Q195="FE with work-a-round",TRUE)</formula>
    </cfRule>
    <cfRule type="expression" dxfId="5513" priority="334">
      <formula>IF(Q195="Functionally Equivalent",TRUE)</formula>
    </cfRule>
    <cfRule type="expression" dxfId="5512" priority="335">
      <formula>IF($Q195="Likely to become compliant",TRUE)</formula>
    </cfRule>
    <cfRule type="expression" dxfId="5511" priority="336">
      <formula>IF($Q195="Partly Compliant",TRUE)</formula>
    </cfRule>
    <cfRule type="expression" dxfId="5510" priority="337">
      <formula>IF($Q195="Unknown/Missing",TRUE)</formula>
    </cfRule>
    <cfRule type="expression" dxfId="5509" priority="338">
      <formula>IF($Q195="Not Required/Applicable",TRUE)</formula>
    </cfRule>
    <cfRule type="expression" dxfId="5508" priority="339">
      <formula>IF(Q195="Not Compliant",TRUE)</formula>
    </cfRule>
    <cfRule type="expression" dxfId="5507" priority="340">
      <formula>IF(Q195=" ",TRUE)</formula>
    </cfRule>
  </conditionalFormatting>
  <conditionalFormatting sqref="Q209">
    <cfRule type="expression" dxfId="5506" priority="308">
      <formula>IF(R209=FALSE,TRUE,FALSE)</formula>
    </cfRule>
    <cfRule type="expression" dxfId="5505" priority="309">
      <formula>IF(R209=TRUE,TRUE,FALSE)</formula>
    </cfRule>
  </conditionalFormatting>
  <conditionalFormatting sqref="Q210:Q212">
    <cfRule type="expression" dxfId="5504" priority="202">
      <formula>IF(Q210="Compliant",TRUE)</formula>
    </cfRule>
    <cfRule type="expression" dxfId="5503" priority="203">
      <formula>IF(Q210="FE with work-a-round",TRUE)</formula>
    </cfRule>
    <cfRule type="expression" dxfId="5502" priority="204">
      <formula>IF(Q210="Functionally Equivalent",TRUE)</formula>
    </cfRule>
    <cfRule type="expression" dxfId="5501" priority="205">
      <formula>IF($Q210="Likely to become compliant",TRUE)</formula>
    </cfRule>
    <cfRule type="expression" dxfId="5500" priority="206">
      <formula>IF($Q210="Partly Compliant",TRUE)</formula>
    </cfRule>
    <cfRule type="expression" dxfId="5499" priority="207">
      <formula>IF($Q210="Unknown/Missing",TRUE)</formula>
    </cfRule>
    <cfRule type="expression" dxfId="5498" priority="208">
      <formula>IF($Q210="Not Required/Applicable",TRUE)</formula>
    </cfRule>
    <cfRule type="expression" dxfId="5497" priority="209">
      <formula>IF(Q210="Not Compliant",TRUE)</formula>
    </cfRule>
    <cfRule type="expression" dxfId="5496" priority="210">
      <formula>IF(Q210=" ",TRUE)</formula>
    </cfRule>
  </conditionalFormatting>
  <conditionalFormatting sqref="S183:S189">
    <cfRule type="containsText" dxfId="5495" priority="1944" operator="containsText" text="Likely">
      <formula>NOT(ISERROR(SEARCH("Likely",S183)))</formula>
    </cfRule>
    <cfRule type="containsText" dxfId="5494" priority="1945" operator="containsText" text="Not Compliant">
      <formula>NOT(ISERROR(SEARCH("Not Compliant",S183)))</formula>
    </cfRule>
    <cfRule type="containsText" dxfId="5493" priority="1946" operator="containsText" text="Compliant">
      <formula>NOT(ISERROR(SEARCH("Compliant",S183)))</formula>
    </cfRule>
    <cfRule type="containsText" dxfId="5492" priority="1947" operator="containsText" text="Equivalent">
      <formula>NOT(ISERROR(SEARCH("Equivalent",S183)))</formula>
    </cfRule>
  </conditionalFormatting>
  <conditionalFormatting sqref="S191:S193 S196:S204">
    <cfRule type="containsText" dxfId="5491" priority="1931" operator="containsText" text="Likely">
      <formula>NOT(ISERROR(SEARCH("Likely",S191)))</formula>
    </cfRule>
    <cfRule type="containsText" dxfId="5490" priority="1932" operator="containsText" text="Not Compliant">
      <formula>NOT(ISERROR(SEARCH("Not Compliant",S191)))</formula>
    </cfRule>
    <cfRule type="containsText" dxfId="5489" priority="1933" operator="containsText" text="Compliant">
      <formula>NOT(ISERROR(SEARCH("Compliant",S191)))</formula>
    </cfRule>
    <cfRule type="containsText" dxfId="5488" priority="1934" operator="containsText" text="Equivalent">
      <formula>NOT(ISERROR(SEARCH("Equivalent",S191)))</formula>
    </cfRule>
  </conditionalFormatting>
  <conditionalFormatting sqref="S207:S208 U207:U208 S211 U211 S213:S214 U213:U214">
    <cfRule type="containsText" dxfId="5487" priority="2011" operator="containsText" text="Likely">
      <formula>NOT(ISERROR(SEARCH("Likely",S207)))</formula>
    </cfRule>
    <cfRule type="containsText" dxfId="5486" priority="2012" operator="containsText" text="Not Compliant">
      <formula>NOT(ISERROR(SEARCH("Not Compliant",S207)))</formula>
    </cfRule>
    <cfRule type="containsText" dxfId="5485" priority="2013" operator="containsText" text="Compliant">
      <formula>NOT(ISERROR(SEARCH("Compliant",S207)))</formula>
    </cfRule>
    <cfRule type="containsText" dxfId="5484" priority="2014" operator="containsText" text="Equivalent">
      <formula>NOT(ISERROR(SEARCH("Equivalent",S207)))</formula>
    </cfRule>
  </conditionalFormatting>
  <conditionalFormatting sqref="U183:U189">
    <cfRule type="containsText" dxfId="5483" priority="1940" operator="containsText" text="Likely">
      <formula>NOT(ISERROR(SEARCH("Likely",U183)))</formula>
    </cfRule>
    <cfRule type="containsText" dxfId="5482" priority="1941" operator="containsText" text="Not Compliant">
      <formula>NOT(ISERROR(SEARCH("Not Compliant",U183)))</formula>
    </cfRule>
    <cfRule type="containsText" dxfId="5481" priority="1942" operator="containsText" text="Compliant">
      <formula>NOT(ISERROR(SEARCH("Compliant",U183)))</formula>
    </cfRule>
    <cfRule type="containsText" dxfId="5480" priority="1943" operator="containsText" text="Equivalent">
      <formula>NOT(ISERROR(SEARCH("Equivalent",U183)))</formula>
    </cfRule>
  </conditionalFormatting>
  <conditionalFormatting sqref="U191:U193 U196:U204">
    <cfRule type="containsText" dxfId="5479" priority="1927" operator="containsText" text="Likely">
      <formula>NOT(ISERROR(SEARCH("Likely",U191)))</formula>
    </cfRule>
    <cfRule type="containsText" dxfId="5478" priority="1928" operator="containsText" text="Not Compliant">
      <formula>NOT(ISERROR(SEARCH("Not Compliant",U191)))</formula>
    </cfRule>
    <cfRule type="containsText" dxfId="5477" priority="1929" operator="containsText" text="Compliant">
      <formula>NOT(ISERROR(SEARCH("Compliant",U191)))</formula>
    </cfRule>
    <cfRule type="containsText" dxfId="5476" priority="1930" operator="containsText" text="Equivalent">
      <formula>NOT(ISERROR(SEARCH("Equivalent",U191)))</formula>
    </cfRule>
  </conditionalFormatting>
  <conditionalFormatting sqref="V8">
    <cfRule type="expression" dxfId="5475" priority="54">
      <formula>IF(V8="Compliant",TRUE)</formula>
    </cfRule>
    <cfRule type="expression" dxfId="5474" priority="55">
      <formula>IF(V8="FE with work-a-round",TRUE)</formula>
    </cfRule>
    <cfRule type="expression" dxfId="5473" priority="56">
      <formula>IF(V8="Functionally Equivalent",TRUE)</formula>
    </cfRule>
    <cfRule type="expression" dxfId="5472" priority="57">
      <formula>IF(V8="Likely to become compliant",TRUE)</formula>
    </cfRule>
    <cfRule type="expression" dxfId="5471" priority="58">
      <formula>IF(V8="Partly Compliant",TRUE)</formula>
    </cfRule>
    <cfRule type="expression" dxfId="5470" priority="59">
      <formula>IF(V8="Unknown/Missing",TRUE)</formula>
    </cfRule>
    <cfRule type="expression" dxfId="5469" priority="60">
      <formula>IF(V8="Not Required/Applicable",TRUE)</formula>
    </cfRule>
    <cfRule type="expression" dxfId="5468" priority="61">
      <formula>IF(V8="Not Compliant",TRUE)</formula>
    </cfRule>
    <cfRule type="expression" dxfId="5467" priority="62">
      <formula>IF($N8=" ",TRUE)</formula>
    </cfRule>
  </conditionalFormatting>
  <conditionalFormatting sqref="V19">
    <cfRule type="expression" dxfId="5466" priority="19">
      <formula>IF(V19="Compliant",TRUE)</formula>
    </cfRule>
    <cfRule type="expression" dxfId="5465" priority="20">
      <formula>IF(V19="FE with work-a-round",TRUE)</formula>
    </cfRule>
    <cfRule type="expression" dxfId="5464" priority="21">
      <formula>IF(V19="Functionally Equivalent",TRUE)</formula>
    </cfRule>
    <cfRule type="expression" dxfId="5463" priority="22">
      <formula>IF(V19="Likely to become compliant",TRUE)</formula>
    </cfRule>
    <cfRule type="expression" dxfId="5462" priority="23">
      <formula>IF(V19="Partly Compliant",TRUE)</formula>
    </cfRule>
    <cfRule type="expression" dxfId="5461" priority="24">
      <formula>IF(V19="Unknown/Missing",TRUE)</formula>
    </cfRule>
    <cfRule type="expression" dxfId="5460" priority="25">
      <formula>IF(V19="Not Required/Applicable",TRUE)</formula>
    </cfRule>
    <cfRule type="expression" dxfId="5459" priority="26">
      <formula>IF(V19="Not Compliant",TRUE)</formula>
    </cfRule>
    <cfRule type="expression" dxfId="5458" priority="27">
      <formula>IF($N19=" ",TRUE)</formula>
    </cfRule>
  </conditionalFormatting>
  <conditionalFormatting sqref="V20">
    <cfRule type="containsText" dxfId="5457" priority="1756" operator="containsText" text="Applicable">
      <formula>NOT(ISERROR(SEARCH("Applicable",V20)))</formula>
    </cfRule>
    <cfRule type="containsText" dxfId="5456" priority="1757" operator="containsText" text="Functionally">
      <formula>NOT(ISERROR(SEARCH("Functionally",V20)))</formula>
    </cfRule>
    <cfRule type="containsText" dxfId="5455" priority="1758" operator="containsText" text="Not Compliant">
      <formula>NOT(ISERROR(SEARCH("Not Compliant",V20)))</formula>
    </cfRule>
    <cfRule type="containsText" dxfId="5454" priority="1759" operator="containsText" text="Compliant">
      <formula>NOT(ISERROR(SEARCH("Compliant",V20)))</formula>
    </cfRule>
  </conditionalFormatting>
  <conditionalFormatting sqref="V23">
    <cfRule type="expression" dxfId="5453" priority="914">
      <formula>IF(W23=FALSE,TRUE,FALSE)</formula>
    </cfRule>
    <cfRule type="expression" dxfId="5452" priority="915">
      <formula>IF(W23=TRUE,TRUE,FALSE)</formula>
    </cfRule>
  </conditionalFormatting>
  <conditionalFormatting sqref="V24 Q25:Q28 V30">
    <cfRule type="expression" dxfId="5451" priority="974">
      <formula>IF(Q24="Compliant",TRUE)</formula>
    </cfRule>
    <cfRule type="expression" dxfId="5450" priority="975">
      <formula>IF(Q24="FE with work-a-round",TRUE)</formula>
    </cfRule>
    <cfRule type="expression" dxfId="5449" priority="976">
      <formula>IF(Q24="Functionally Equivalent",TRUE)</formula>
    </cfRule>
    <cfRule type="expression" dxfId="5448" priority="977">
      <formula>IF(Q24="Likely to become compliant",TRUE)</formula>
    </cfRule>
    <cfRule type="expression" dxfId="5447" priority="978">
      <formula>IF(Q24="Partly Compliant",TRUE)</formula>
    </cfRule>
    <cfRule type="expression" dxfId="5446" priority="979">
      <formula>IF(Q24="Unknown/Missing",TRUE)</formula>
    </cfRule>
    <cfRule type="expression" dxfId="5445" priority="980">
      <formula>IF(Q24="Not Required/Applicable",TRUE)</formula>
    </cfRule>
    <cfRule type="expression" dxfId="5444" priority="981">
      <formula>IF(Q24="Not Compliant",TRUE)</formula>
    </cfRule>
  </conditionalFormatting>
  <conditionalFormatting sqref="V24 Q26:Q28 V30">
    <cfRule type="expression" dxfId="5443" priority="982">
      <formula>IF($N24=" ",TRUE)</formula>
    </cfRule>
  </conditionalFormatting>
  <conditionalFormatting sqref="V29">
    <cfRule type="expression" dxfId="5442" priority="904">
      <formula>IF(W29=FALSE,TRUE,FALSE)</formula>
    </cfRule>
    <cfRule type="expression" dxfId="5441" priority="905">
      <formula>IF(W29=TRUE,TRUE,FALSE)</formula>
    </cfRule>
  </conditionalFormatting>
  <conditionalFormatting sqref="V34">
    <cfRule type="expression" dxfId="5440" priority="810">
      <formula>IF(V34="Compliant",TRUE)</formula>
    </cfRule>
    <cfRule type="expression" dxfId="5439" priority="811">
      <formula>IF(V34="FE with work-a-round",TRUE)</formula>
    </cfRule>
    <cfRule type="expression" dxfId="5438" priority="812">
      <formula>IF(V34="Functionally Equivalent",TRUE)</formula>
    </cfRule>
    <cfRule type="expression" dxfId="5437" priority="813">
      <formula>IF(V34="Likely to become compliant",TRUE)</formula>
    </cfRule>
    <cfRule type="expression" dxfId="5436" priority="814">
      <formula>IF(V34="Partly Compliant",TRUE)</formula>
    </cfRule>
    <cfRule type="expression" dxfId="5435" priority="815">
      <formula>IF(V34="Unknown/Missing",TRUE)</formula>
    </cfRule>
    <cfRule type="expression" dxfId="5434" priority="816">
      <formula>IF(V34="Not Required/Applicable",TRUE)</formula>
    </cfRule>
    <cfRule type="expression" dxfId="5433" priority="817">
      <formula>IF(V34="Not Compliant",TRUE)</formula>
    </cfRule>
    <cfRule type="expression" dxfId="5432" priority="818">
      <formula>IF($N34=" ",TRUE)</formula>
    </cfRule>
  </conditionalFormatting>
  <conditionalFormatting sqref="V42">
    <cfRule type="expression" dxfId="5431" priority="938">
      <formula>IF(V42="Compliant",TRUE)</formula>
    </cfRule>
    <cfRule type="expression" dxfId="5430" priority="939">
      <formula>IF(V42="FE with work-a-round",TRUE)</formula>
    </cfRule>
    <cfRule type="expression" dxfId="5429" priority="940">
      <formula>IF(V42="Functionally Equivalent",TRUE)</formula>
    </cfRule>
    <cfRule type="expression" dxfId="5428" priority="941">
      <formula>IF(V42="Likely to become compliant",TRUE)</formula>
    </cfRule>
    <cfRule type="expression" dxfId="5427" priority="942">
      <formula>IF(V42="Partly Compliant",TRUE)</formula>
    </cfRule>
    <cfRule type="expression" dxfId="5426" priority="943">
      <formula>IF(V42="Unknown/Missing",TRUE)</formula>
    </cfRule>
    <cfRule type="expression" dxfId="5425" priority="944">
      <formula>IF(V42="Not Required/Applicable",TRUE)</formula>
    </cfRule>
    <cfRule type="expression" dxfId="5424" priority="945">
      <formula>IF(V42="Not Compliant",TRUE)</formula>
    </cfRule>
    <cfRule type="expression" dxfId="5423" priority="946">
      <formula>IF($N42=" ",TRUE)</formula>
    </cfRule>
  </conditionalFormatting>
  <conditionalFormatting sqref="V50:V51">
    <cfRule type="expression" dxfId="5422" priority="926">
      <formula>IF(W50=FALSE,TRUE,FALSE)</formula>
    </cfRule>
    <cfRule type="expression" dxfId="5421" priority="927">
      <formula>IF(W50=TRUE,TRUE,FALSE)</formula>
    </cfRule>
  </conditionalFormatting>
  <conditionalFormatting sqref="V52">
    <cfRule type="expression" dxfId="5420" priority="886">
      <formula>IF(V52="Compliant",TRUE)</formula>
    </cfRule>
    <cfRule type="expression" dxfId="5419" priority="887">
      <formula>IF(V52="FE with work-a-round",TRUE)</formula>
    </cfRule>
    <cfRule type="expression" dxfId="5418" priority="888">
      <formula>IF(V52="Functionally Equivalent",TRUE)</formula>
    </cfRule>
    <cfRule type="expression" dxfId="5417" priority="889">
      <formula>IF(V52="Likely to become compliant",TRUE)</formula>
    </cfRule>
    <cfRule type="expression" dxfId="5416" priority="890">
      <formula>IF(V52="Partly Compliant",TRUE)</formula>
    </cfRule>
    <cfRule type="expression" dxfId="5415" priority="891">
      <formula>IF(V52="Unknown/Missing",TRUE)</formula>
    </cfRule>
    <cfRule type="expression" dxfId="5414" priority="892">
      <formula>IF(V52="Not Required/Applicable",TRUE)</formula>
    </cfRule>
    <cfRule type="expression" dxfId="5413" priority="893">
      <formula>IF(V52="Not Compliant",TRUE)</formula>
    </cfRule>
    <cfRule type="expression" dxfId="5412" priority="894">
      <formula>IF($N52=" ",TRUE)</formula>
    </cfRule>
  </conditionalFormatting>
  <conditionalFormatting sqref="V58">
    <cfRule type="expression" dxfId="5411" priority="108">
      <formula>IF(V58="Compliant",TRUE)</formula>
    </cfRule>
    <cfRule type="expression" dxfId="5410" priority="109">
      <formula>IF(V58="FE with work-a-round",TRUE)</formula>
    </cfRule>
    <cfRule type="expression" dxfId="5409" priority="110">
      <formula>IF(V58="Functionally Equivalent",TRUE)</formula>
    </cfRule>
    <cfRule type="expression" dxfId="5408" priority="111">
      <formula>IF(V58="Likely to become compliant",TRUE)</formula>
    </cfRule>
    <cfRule type="expression" dxfId="5407" priority="112">
      <formula>IF(V58="Partly Compliant",TRUE)</formula>
    </cfRule>
    <cfRule type="expression" dxfId="5406" priority="113">
      <formula>IF(V58="Unknown/Missing",TRUE)</formula>
    </cfRule>
    <cfRule type="expression" dxfId="5405" priority="114">
      <formula>IF(V58="Not Required/Applicable",TRUE)</formula>
    </cfRule>
    <cfRule type="expression" dxfId="5404" priority="115">
      <formula>IF(V58="Not Compliant",TRUE)</formula>
    </cfRule>
    <cfRule type="expression" dxfId="5403" priority="116">
      <formula>IF($N58=" ",TRUE)</formula>
    </cfRule>
  </conditionalFormatting>
  <conditionalFormatting sqref="V60">
    <cfRule type="expression" dxfId="5402" priority="789">
      <formula>IF(W60=FALSE,TRUE,FALSE)</formula>
    </cfRule>
    <cfRule type="expression" dxfId="5401" priority="790">
      <formula>IF(W60=TRUE,TRUE,FALSE)</formula>
    </cfRule>
  </conditionalFormatting>
  <conditionalFormatting sqref="V61">
    <cfRule type="expression" dxfId="5400" priority="771">
      <formula>IF(V61="Compliant",TRUE)</formula>
    </cfRule>
    <cfRule type="expression" dxfId="5399" priority="772">
      <formula>IF(V61="FE with work-a-round",TRUE)</formula>
    </cfRule>
    <cfRule type="expression" dxfId="5398" priority="773">
      <formula>IF(V61="Functionally Equivalent",TRUE)</formula>
    </cfRule>
    <cfRule type="expression" dxfId="5397" priority="774">
      <formula>IF(V61="Likely to become compliant",TRUE)</formula>
    </cfRule>
    <cfRule type="expression" dxfId="5396" priority="775">
      <formula>IF(V61="Partly Compliant",TRUE)</formula>
    </cfRule>
    <cfRule type="expression" dxfId="5395" priority="776">
      <formula>IF(V61="Unknown/Missing",TRUE)</formula>
    </cfRule>
    <cfRule type="expression" dxfId="5394" priority="777">
      <formula>IF(V61="Not Required/Applicable",TRUE)</formula>
    </cfRule>
    <cfRule type="expression" dxfId="5393" priority="778">
      <formula>IF(V61="Not Compliant",TRUE)</formula>
    </cfRule>
    <cfRule type="expression" dxfId="5392" priority="779">
      <formula>IF($N61=" ",TRUE)</formula>
    </cfRule>
  </conditionalFormatting>
  <conditionalFormatting sqref="V67">
    <cfRule type="expression" dxfId="5391" priority="751">
      <formula>IF(V67="Compliant",TRUE)</formula>
    </cfRule>
    <cfRule type="expression" dxfId="5390" priority="752">
      <formula>IF(V67="FE with work-a-round",TRUE)</formula>
    </cfRule>
    <cfRule type="expression" dxfId="5389" priority="753">
      <formula>IF(V67="Functionally Equivalent",TRUE)</formula>
    </cfRule>
    <cfRule type="expression" dxfId="5388" priority="754">
      <formula>IF(V67="Likely to become compliant",TRUE)</formula>
    </cfRule>
    <cfRule type="expression" dxfId="5387" priority="755">
      <formula>IF(V67="Partly Compliant",TRUE)</formula>
    </cfRule>
    <cfRule type="expression" dxfId="5386" priority="756">
      <formula>IF(V67="Unknown/Missing",TRUE)</formula>
    </cfRule>
    <cfRule type="expression" dxfId="5385" priority="757">
      <formula>IF(V67="Not Required/Applicable",TRUE)</formula>
    </cfRule>
    <cfRule type="expression" dxfId="5384" priority="758">
      <formula>IF(V67="Not Compliant",TRUE)</formula>
    </cfRule>
    <cfRule type="expression" dxfId="5383" priority="759">
      <formula>IF($N67=" ",TRUE)</formula>
    </cfRule>
  </conditionalFormatting>
  <conditionalFormatting sqref="V71">
    <cfRule type="expression" dxfId="5382" priority="713">
      <formula>IF(V71="Compliant",TRUE)</formula>
    </cfRule>
    <cfRule type="expression" dxfId="5381" priority="714">
      <formula>IF(V71="FE with work-a-round",TRUE)</formula>
    </cfRule>
    <cfRule type="expression" dxfId="5380" priority="715">
      <formula>IF(V71="Functionally Equivalent",TRUE)</formula>
    </cfRule>
    <cfRule type="expression" dxfId="5379" priority="716">
      <formula>IF(V71="Likely to become compliant",TRUE)</formula>
    </cfRule>
    <cfRule type="expression" dxfId="5378" priority="717">
      <formula>IF(V71="Partly Compliant",TRUE)</formula>
    </cfRule>
    <cfRule type="expression" dxfId="5377" priority="718">
      <formula>IF(V71="Unknown/Missing",TRUE)</formula>
    </cfRule>
    <cfRule type="expression" dxfId="5376" priority="719">
      <formula>IF(V71="Not Required/Applicable",TRUE)</formula>
    </cfRule>
    <cfRule type="expression" dxfId="5375" priority="720">
      <formula>IF(V71="Not Compliant",TRUE)</formula>
    </cfRule>
    <cfRule type="expression" dxfId="5374" priority="721">
      <formula>IF($N71=" ",TRUE)</formula>
    </cfRule>
  </conditionalFormatting>
  <conditionalFormatting sqref="V75">
    <cfRule type="expression" dxfId="5373" priority="684">
      <formula>IF(V75="Compliant",TRUE)</formula>
    </cfRule>
    <cfRule type="expression" dxfId="5372" priority="685">
      <formula>IF(V75="FE with work-a-round",TRUE)</formula>
    </cfRule>
    <cfRule type="expression" dxfId="5371" priority="686">
      <formula>IF(V75="Functionally Equivalent",TRUE)</formula>
    </cfRule>
    <cfRule type="expression" dxfId="5370" priority="687">
      <formula>IF(V75="Likely to become compliant",TRUE)</formula>
    </cfRule>
    <cfRule type="expression" dxfId="5369" priority="688">
      <formula>IF(V75="Partly Compliant",TRUE)</formula>
    </cfRule>
    <cfRule type="expression" dxfId="5368" priority="689">
      <formula>IF(V75="Unknown/Missing",TRUE)</formula>
    </cfRule>
    <cfRule type="expression" dxfId="5367" priority="690">
      <formula>IF(V75="Not Required/Applicable",TRUE)</formula>
    </cfRule>
    <cfRule type="expression" dxfId="5366" priority="691">
      <formula>IF(V75="Not Compliant",TRUE)</formula>
    </cfRule>
    <cfRule type="expression" dxfId="5365" priority="692">
      <formula>IF($N75=" ",TRUE)</formula>
    </cfRule>
  </conditionalFormatting>
  <conditionalFormatting sqref="V79">
    <cfRule type="expression" dxfId="5364" priority="655">
      <formula>IF(V79="Compliant",TRUE)</formula>
    </cfRule>
    <cfRule type="expression" dxfId="5363" priority="656">
      <formula>IF(V79="FE with work-a-round",TRUE)</formula>
    </cfRule>
    <cfRule type="expression" dxfId="5362" priority="657">
      <formula>IF(V79="Functionally Equivalent",TRUE)</formula>
    </cfRule>
    <cfRule type="expression" dxfId="5361" priority="658">
      <formula>IF(V79="Likely to become compliant",TRUE)</formula>
    </cfRule>
    <cfRule type="expression" dxfId="5360" priority="659">
      <formula>IF(V79="Partly Compliant",TRUE)</formula>
    </cfRule>
    <cfRule type="expression" dxfId="5359" priority="660">
      <formula>IF(V79="Unknown/Missing",TRUE)</formula>
    </cfRule>
    <cfRule type="expression" dxfId="5358" priority="661">
      <formula>IF(V79="Not Required/Applicable",TRUE)</formula>
    </cfRule>
    <cfRule type="expression" dxfId="5357" priority="662">
      <formula>IF(V79="Not Compliant",TRUE)</formula>
    </cfRule>
    <cfRule type="expression" dxfId="5356" priority="663">
      <formula>IF($N79=" ",TRUE)</formula>
    </cfRule>
  </conditionalFormatting>
  <conditionalFormatting sqref="V82:V87">
    <cfRule type="expression" dxfId="5355" priority="626">
      <formula>IF(V82="Compliant",TRUE)</formula>
    </cfRule>
    <cfRule type="expression" dxfId="5354" priority="627">
      <formula>IF(V82="FE with work-a-round",TRUE)</formula>
    </cfRule>
    <cfRule type="expression" dxfId="5353" priority="628">
      <formula>IF(V82="Functionally Equivalent",TRUE)</formula>
    </cfRule>
    <cfRule type="expression" dxfId="5352" priority="629">
      <formula>IF(V82="Likely to become compliant",TRUE)</formula>
    </cfRule>
    <cfRule type="expression" dxfId="5351" priority="630">
      <formula>IF(V82="Partly Compliant",TRUE)</formula>
    </cfRule>
    <cfRule type="expression" dxfId="5350" priority="631">
      <formula>IF(V82="Unknown/Missing",TRUE)</formula>
    </cfRule>
    <cfRule type="expression" dxfId="5349" priority="632">
      <formula>IF(V82="Not Required/Applicable",TRUE)</formula>
    </cfRule>
    <cfRule type="expression" dxfId="5348" priority="633">
      <formula>IF(V82="Not Compliant",TRUE)</formula>
    </cfRule>
    <cfRule type="expression" dxfId="5347" priority="634">
      <formula>IF($N82=" ",TRUE)</formula>
    </cfRule>
  </conditionalFormatting>
  <conditionalFormatting sqref="V88">
    <cfRule type="expression" dxfId="5346" priority="607">
      <formula>IF(W88=FALSE,TRUE,FALSE)</formula>
    </cfRule>
    <cfRule type="expression" dxfId="5345" priority="608">
      <formula>IF(W88=TRUE,TRUE,FALSE)</formula>
    </cfRule>
  </conditionalFormatting>
  <conditionalFormatting sqref="V89">
    <cfRule type="expression" dxfId="5344" priority="589">
      <formula>IF(V89="Compliant",TRUE)</formula>
    </cfRule>
    <cfRule type="expression" dxfId="5343" priority="590">
      <formula>IF(V89="FE with work-a-round",TRUE)</formula>
    </cfRule>
    <cfRule type="expression" dxfId="5342" priority="591">
      <formula>IF(V89="Functionally Equivalent",TRUE)</formula>
    </cfRule>
    <cfRule type="expression" dxfId="5341" priority="592">
      <formula>IF(V89="Likely to become compliant",TRUE)</formula>
    </cfRule>
    <cfRule type="expression" dxfId="5340" priority="593">
      <formula>IF(V89="Partly Compliant",TRUE)</formula>
    </cfRule>
    <cfRule type="expression" dxfId="5339" priority="594">
      <formula>IF(V89="Unknown/Missing",TRUE)</formula>
    </cfRule>
    <cfRule type="expression" dxfId="5338" priority="595">
      <formula>IF(V89="Not Required/Applicable",TRUE)</formula>
    </cfRule>
    <cfRule type="expression" dxfId="5337" priority="596">
      <formula>IF(V89="Not Compliant",TRUE)</formula>
    </cfRule>
    <cfRule type="expression" dxfId="5336" priority="597">
      <formula>IF($N89=" ",TRUE)</formula>
    </cfRule>
  </conditionalFormatting>
  <conditionalFormatting sqref="V94 V98">
    <cfRule type="expression" dxfId="5335" priority="139">
      <formula>IF(V94="Compliant",TRUE)</formula>
    </cfRule>
    <cfRule type="expression" dxfId="5334" priority="140">
      <formula>IF(V94="FE with work-a-round",TRUE)</formula>
    </cfRule>
    <cfRule type="expression" dxfId="5333" priority="141">
      <formula>IF(V94="Functionally Equivalent",TRUE)</formula>
    </cfRule>
    <cfRule type="expression" dxfId="5332" priority="142">
      <formula>IF(V94="Likely to become compliant",TRUE)</formula>
    </cfRule>
    <cfRule type="expression" dxfId="5331" priority="143">
      <formula>IF(V94="Partly Compliant",TRUE)</formula>
    </cfRule>
    <cfRule type="expression" dxfId="5330" priority="144">
      <formula>IF(V94="Unknown/Missing",TRUE)</formula>
    </cfRule>
    <cfRule type="expression" dxfId="5329" priority="145">
      <formula>IF(V94="Not Required/Applicable",TRUE)</formula>
    </cfRule>
    <cfRule type="expression" dxfId="5328" priority="146">
      <formula>IF(V94="Not Compliant",TRUE)</formula>
    </cfRule>
    <cfRule type="expression" dxfId="5327" priority="147">
      <formula>IF($N94=" ",TRUE)</formula>
    </cfRule>
  </conditionalFormatting>
  <conditionalFormatting sqref="V100">
    <cfRule type="expression" dxfId="5326" priority="568">
      <formula>IF(W100=FALSE,TRUE,FALSE)</formula>
    </cfRule>
    <cfRule type="expression" dxfId="5325" priority="569">
      <formula>IF(W100=TRUE,TRUE,FALSE)</formula>
    </cfRule>
  </conditionalFormatting>
  <conditionalFormatting sqref="V101">
    <cfRule type="expression" dxfId="5324" priority="550">
      <formula>IF(V101="Compliant",TRUE)</formula>
    </cfRule>
    <cfRule type="expression" dxfId="5323" priority="551">
      <formula>IF(V101="FE with work-a-round",TRUE)</formula>
    </cfRule>
    <cfRule type="expression" dxfId="5322" priority="552">
      <formula>IF(V101="Functionally Equivalent",TRUE)</formula>
    </cfRule>
    <cfRule type="expression" dxfId="5321" priority="553">
      <formula>IF(V101="Likely to become compliant",TRUE)</formula>
    </cfRule>
    <cfRule type="expression" dxfId="5320" priority="554">
      <formula>IF(V101="Partly Compliant",TRUE)</formula>
    </cfRule>
    <cfRule type="expression" dxfId="5319" priority="555">
      <formula>IF(V101="Unknown/Missing",TRUE)</formula>
    </cfRule>
    <cfRule type="expression" dxfId="5318" priority="556">
      <formula>IF(V101="Not Required/Applicable",TRUE)</formula>
    </cfRule>
    <cfRule type="expression" dxfId="5317" priority="557">
      <formula>IF(V101="Not Compliant",TRUE)</formula>
    </cfRule>
    <cfRule type="expression" dxfId="5316" priority="558">
      <formula>IF($N101=" ",TRUE)</formula>
    </cfRule>
  </conditionalFormatting>
  <conditionalFormatting sqref="V104">
    <cfRule type="expression" dxfId="5315" priority="521">
      <formula>IF(V104="Compliant",TRUE)</formula>
    </cfRule>
    <cfRule type="expression" dxfId="5314" priority="522">
      <formula>IF(V104="FE with work-a-round",TRUE)</formula>
    </cfRule>
    <cfRule type="expression" dxfId="5313" priority="523">
      <formula>IF(V104="Functionally Equivalent",TRUE)</formula>
    </cfRule>
    <cfRule type="expression" dxfId="5312" priority="524">
      <formula>IF(V104="Likely to become compliant",TRUE)</formula>
    </cfRule>
    <cfRule type="expression" dxfId="5311" priority="525">
      <formula>IF(V104="Partly Compliant",TRUE)</formula>
    </cfRule>
    <cfRule type="expression" dxfId="5310" priority="526">
      <formula>IF(V104="Unknown/Missing",TRUE)</formula>
    </cfRule>
    <cfRule type="expression" dxfId="5309" priority="527">
      <formula>IF(V104="Not Required/Applicable",TRUE)</formula>
    </cfRule>
    <cfRule type="expression" dxfId="5308" priority="528">
      <formula>IF(V104="Not Compliant",TRUE)</formula>
    </cfRule>
    <cfRule type="expression" dxfId="5307" priority="529">
      <formula>IF($N104=" ",TRUE)</formula>
    </cfRule>
  </conditionalFormatting>
  <conditionalFormatting sqref="V110 V118 V120 V176 V178">
    <cfRule type="containsText" dxfId="5306" priority="1821" operator="containsText" text="Applicable">
      <formula>NOT(ISERROR(SEARCH("Applicable",V110)))</formula>
    </cfRule>
    <cfRule type="containsText" dxfId="5305" priority="1822" operator="containsText" text="Functionally">
      <formula>NOT(ISERROR(SEARCH("Functionally",V110)))</formula>
    </cfRule>
    <cfRule type="containsText" dxfId="5304" priority="1823" operator="containsText" text="Not Compliant">
      <formula>NOT(ISERROR(SEARCH("Not Compliant",V110)))</formula>
    </cfRule>
    <cfRule type="containsText" dxfId="5303" priority="1824" operator="containsText" text="Compliant">
      <formula>NOT(ISERROR(SEARCH("Compliant",V110)))</formula>
    </cfRule>
  </conditionalFormatting>
  <conditionalFormatting sqref="V110">
    <cfRule type="expression" dxfId="5302" priority="157">
      <formula>IF(V110="Compliant",TRUE)</formula>
    </cfRule>
    <cfRule type="expression" dxfId="5301" priority="158">
      <formula>IF(V110="FE with work-a-round",TRUE)</formula>
    </cfRule>
    <cfRule type="expression" dxfId="5300" priority="159">
      <formula>IF(V110="Functionally Equivalent",TRUE)</formula>
    </cfRule>
    <cfRule type="expression" dxfId="5299" priority="160">
      <formula>IF(V110="Likely to become compliant",TRUE)</formula>
    </cfRule>
    <cfRule type="expression" dxfId="5298" priority="161">
      <formula>IF(V110="Partly Compliant",TRUE)</formula>
    </cfRule>
    <cfRule type="expression" dxfId="5297" priority="162">
      <formula>IF(V110="Unknown/Missing",TRUE)</formula>
    </cfRule>
    <cfRule type="expression" dxfId="5296" priority="163">
      <formula>IF(V110="Not Required/Applicable",TRUE)</formula>
    </cfRule>
    <cfRule type="expression" dxfId="5295" priority="164">
      <formula>IF(V110="Not Compliant",TRUE)</formula>
    </cfRule>
    <cfRule type="expression" dxfId="5294" priority="165">
      <formula>IF($N111=" ",TRUE)</formula>
    </cfRule>
  </conditionalFormatting>
  <conditionalFormatting sqref="V117">
    <cfRule type="expression" dxfId="5293" priority="492">
      <formula>IF(V117="Compliant",TRUE)</formula>
    </cfRule>
    <cfRule type="expression" dxfId="5292" priority="493">
      <formula>IF(V117="FE with work-a-round",TRUE)</formula>
    </cfRule>
    <cfRule type="expression" dxfId="5291" priority="494">
      <formula>IF(V117="Functionally Equivalent",TRUE)</formula>
    </cfRule>
    <cfRule type="expression" dxfId="5290" priority="495">
      <formula>IF(V117="Likely to become compliant",TRUE)</formula>
    </cfRule>
    <cfRule type="expression" dxfId="5289" priority="496">
      <formula>IF(V117="Partly Compliant",TRUE)</formula>
    </cfRule>
    <cfRule type="expression" dxfId="5288" priority="497">
      <formula>IF(V117="Unknown/Missing",TRUE)</formula>
    </cfRule>
    <cfRule type="expression" dxfId="5287" priority="498">
      <formula>IF(V117="Not Required/Applicable",TRUE)</formula>
    </cfRule>
    <cfRule type="expression" dxfId="5286" priority="499">
      <formula>IF(V117="Not Compliant",TRUE)</formula>
    </cfRule>
    <cfRule type="expression" dxfId="5285" priority="500">
      <formula>IF($N117=" ",TRUE)</formula>
    </cfRule>
  </conditionalFormatting>
  <conditionalFormatting sqref="V121">
    <cfRule type="expression" dxfId="5284" priority="473">
      <formula>IF(W121=FALSE,TRUE,FALSE)</formula>
    </cfRule>
    <cfRule type="expression" dxfId="5283" priority="474">
      <formula>IF(W121=TRUE,TRUE,FALSE)</formula>
    </cfRule>
  </conditionalFormatting>
  <conditionalFormatting sqref="V122">
    <cfRule type="expression" dxfId="5282" priority="455">
      <formula>IF(V122="Compliant",TRUE)</formula>
    </cfRule>
    <cfRule type="expression" dxfId="5281" priority="456">
      <formula>IF(V122="FE with work-a-round",TRUE)</formula>
    </cfRule>
    <cfRule type="expression" dxfId="5280" priority="457">
      <formula>IF(V122="Functionally Equivalent",TRUE)</formula>
    </cfRule>
    <cfRule type="expression" dxfId="5279" priority="458">
      <formula>IF(V122="Likely to become compliant",TRUE)</formula>
    </cfRule>
    <cfRule type="expression" dxfId="5278" priority="459">
      <formula>IF(V122="Partly Compliant",TRUE)</formula>
    </cfRule>
    <cfRule type="expression" dxfId="5277" priority="460">
      <formula>IF(V122="Unknown/Missing",TRUE)</formula>
    </cfRule>
    <cfRule type="expression" dxfId="5276" priority="461">
      <formula>IF(V122="Not Required/Applicable",TRUE)</formula>
    </cfRule>
    <cfRule type="expression" dxfId="5275" priority="462">
      <formula>IF(V122="Not Compliant",TRUE)</formula>
    </cfRule>
    <cfRule type="expression" dxfId="5274" priority="463">
      <formula>IF($N122=" ",TRUE)</formula>
    </cfRule>
  </conditionalFormatting>
  <conditionalFormatting sqref="V126">
    <cfRule type="expression" dxfId="5273" priority="434">
      <formula>IF(W126=FALSE,TRUE,FALSE)</formula>
    </cfRule>
    <cfRule type="expression" dxfId="5272" priority="435">
      <formula>IF(W126=TRUE,TRUE,FALSE)</formula>
    </cfRule>
  </conditionalFormatting>
  <conditionalFormatting sqref="V127">
    <cfRule type="expression" dxfId="5271" priority="416">
      <formula>IF(V127="Compliant",TRUE)</formula>
    </cfRule>
    <cfRule type="expression" dxfId="5270" priority="417">
      <formula>IF(V127="FE with work-a-round",TRUE)</formula>
    </cfRule>
    <cfRule type="expression" dxfId="5269" priority="418">
      <formula>IF(V127="Functionally Equivalent",TRUE)</formula>
    </cfRule>
    <cfRule type="expression" dxfId="5268" priority="419">
      <formula>IF(V127="Likely to become compliant",TRUE)</formula>
    </cfRule>
    <cfRule type="expression" dxfId="5267" priority="420">
      <formula>IF(V127="Partly Compliant",TRUE)</formula>
    </cfRule>
    <cfRule type="expression" dxfId="5266" priority="421">
      <formula>IF(V127="Unknown/Missing",TRUE)</formula>
    </cfRule>
    <cfRule type="expression" dxfId="5265" priority="422">
      <formula>IF(V127="Not Required/Applicable",TRUE)</formula>
    </cfRule>
    <cfRule type="expression" dxfId="5264" priority="423">
      <formula>IF(V127="Not Compliant",TRUE)</formula>
    </cfRule>
    <cfRule type="expression" dxfId="5263" priority="424">
      <formula>IF($N127=" ",TRUE)</formula>
    </cfRule>
  </conditionalFormatting>
  <conditionalFormatting sqref="V149:V151">
    <cfRule type="expression" dxfId="5262" priority="193">
      <formula>IF(V149="Compliant",TRUE)</formula>
    </cfRule>
    <cfRule type="expression" dxfId="5261" priority="194">
      <formula>IF(V149="FE with work-a-round",TRUE)</formula>
    </cfRule>
    <cfRule type="expression" dxfId="5260" priority="195">
      <formula>IF(V149="Functionally Equivalent",TRUE)</formula>
    </cfRule>
    <cfRule type="expression" dxfId="5259" priority="196">
      <formula>IF(V149="Likely to become compliant",TRUE)</formula>
    </cfRule>
    <cfRule type="expression" dxfId="5258" priority="197">
      <formula>IF(V149="Partly Compliant",TRUE)</formula>
    </cfRule>
    <cfRule type="expression" dxfId="5257" priority="198">
      <formula>IF(V149="Unknown/Missing",TRUE)</formula>
    </cfRule>
    <cfRule type="expression" dxfId="5256" priority="199">
      <formula>IF(V149="Not Required/Applicable",TRUE)</formula>
    </cfRule>
    <cfRule type="expression" dxfId="5255" priority="200">
      <formula>IF(V149="Not Compliant",TRUE)</formula>
    </cfRule>
    <cfRule type="expression" dxfId="5254" priority="201">
      <formula>IF($N149=" ",TRUE)</formula>
    </cfRule>
  </conditionalFormatting>
  <conditionalFormatting sqref="V179">
    <cfRule type="expression" dxfId="5253" priority="256">
      <formula>IF(W179=FALSE,TRUE,FALSE)</formula>
    </cfRule>
    <cfRule type="expression" dxfId="5252" priority="257">
      <formula>IF(W179=TRUE,TRUE,FALSE)</formula>
    </cfRule>
  </conditionalFormatting>
  <conditionalFormatting sqref="V180:V181">
    <cfRule type="expression" dxfId="5251" priority="238">
      <formula>IF(V180="Compliant",TRUE)</formula>
    </cfRule>
    <cfRule type="expression" dxfId="5250" priority="239">
      <formula>IF(V180="FE with work-a-round",TRUE)</formula>
    </cfRule>
    <cfRule type="expression" dxfId="5249" priority="240">
      <formula>IF(V180="Functionally Equivalent",TRUE)</formula>
    </cfRule>
    <cfRule type="expression" dxfId="5248" priority="241">
      <formula>IF(V180="Likely to become compliant",TRUE)</formula>
    </cfRule>
    <cfRule type="expression" dxfId="5247" priority="242">
      <formula>IF(V180="Partly Compliant",TRUE)</formula>
    </cfRule>
    <cfRule type="expression" dxfId="5246" priority="243">
      <formula>IF(V180="Unknown/Missing",TRUE)</formula>
    </cfRule>
    <cfRule type="expression" dxfId="5245" priority="244">
      <formula>IF(V180="Not Required/Applicable",TRUE)</formula>
    </cfRule>
    <cfRule type="expression" dxfId="5244" priority="245">
      <formula>IF(V180="Not Compliant",TRUE)</formula>
    </cfRule>
    <cfRule type="expression" dxfId="5243" priority="246">
      <formula>IF($N180=" ",TRUE)</formula>
    </cfRule>
  </conditionalFormatting>
  <conditionalFormatting sqref="V194">
    <cfRule type="expression" dxfId="5242" priority="343">
      <formula>IF(V194="Compliant",TRUE)</formula>
    </cfRule>
    <cfRule type="expression" dxfId="5241" priority="344">
      <formula>IF(V194="FE with work-a-round",TRUE)</formula>
    </cfRule>
    <cfRule type="expression" dxfId="5240" priority="345">
      <formula>IF(V194="Functionally Equivalent",TRUE)</formula>
    </cfRule>
    <cfRule type="expression" dxfId="5239" priority="346">
      <formula>IF(V194="Likely to become compliant",TRUE)</formula>
    </cfRule>
    <cfRule type="expression" dxfId="5238" priority="347">
      <formula>IF(V194="Partly Compliant",TRUE)</formula>
    </cfRule>
    <cfRule type="expression" dxfId="5237" priority="348">
      <formula>IF(V194="Unknown/Missing",TRUE)</formula>
    </cfRule>
    <cfRule type="expression" dxfId="5236" priority="349">
      <formula>IF(V194="Not Required/Applicable",TRUE)</formula>
    </cfRule>
    <cfRule type="expression" dxfId="5235" priority="350">
      <formula>IF(V194="Not Compliant",TRUE)</formula>
    </cfRule>
    <cfRule type="expression" dxfId="5234" priority="351">
      <formula>IF($N194=" ",TRUE)</formula>
    </cfRule>
  </conditionalFormatting>
  <conditionalFormatting sqref="V209">
    <cfRule type="expression" dxfId="5233" priority="310">
      <formula>IF(V209="Compliant",TRUE)</formula>
    </cfRule>
    <cfRule type="expression" dxfId="5232" priority="311">
      <formula>IF(V209="FE with work-a-round",TRUE)</formula>
    </cfRule>
    <cfRule type="expression" dxfId="5231" priority="312">
      <formula>IF(V209="Functionally Equivalent",TRUE)</formula>
    </cfRule>
    <cfRule type="expression" dxfId="5230" priority="313">
      <formula>IF(V209="Likely to become compliant",TRUE)</formula>
    </cfRule>
    <cfRule type="expression" dxfId="5229" priority="314">
      <formula>IF(V209="Partly Compliant",TRUE)</formula>
    </cfRule>
    <cfRule type="expression" dxfId="5228" priority="315">
      <formula>IF(V209="Unknown/Missing",TRUE)</formula>
    </cfRule>
    <cfRule type="expression" dxfId="5227" priority="316">
      <formula>IF(V209="Not Required/Applicable",TRUE)</formula>
    </cfRule>
    <cfRule type="expression" dxfId="5226" priority="317">
      <formula>IF(V209="Not Compliant",TRUE)</formula>
    </cfRule>
    <cfRule type="expression" dxfId="5225" priority="318">
      <formula>IF($N209=" ",TRUE)</formula>
    </cfRule>
  </conditionalFormatting>
  <conditionalFormatting sqref="V212">
    <cfRule type="expression" dxfId="5224" priority="211">
      <formula>IF(V212="Compliant",TRUE)</formula>
    </cfRule>
    <cfRule type="expression" dxfId="5223" priority="212">
      <formula>IF(V212="FE with work-a-round",TRUE)</formula>
    </cfRule>
    <cfRule type="expression" dxfId="5222" priority="213">
      <formula>IF(V212="Functionally Equivalent",TRUE)</formula>
    </cfRule>
    <cfRule type="expression" dxfId="5221" priority="214">
      <formula>IF(V212="Likely to become compliant",TRUE)</formula>
    </cfRule>
    <cfRule type="expression" dxfId="5220" priority="215">
      <formula>IF(V212="Partly Compliant",TRUE)</formula>
    </cfRule>
    <cfRule type="expression" dxfId="5219" priority="216">
      <formula>IF(V212="Unknown/Missing",TRUE)</formula>
    </cfRule>
    <cfRule type="expression" dxfId="5218" priority="217">
      <formula>IF(V212="Not Required/Applicable",TRUE)</formula>
    </cfRule>
    <cfRule type="expression" dxfId="5217" priority="218">
      <formula>IF(V212="Not Compliant",TRUE)</formula>
    </cfRule>
    <cfRule type="expression" dxfId="5216" priority="219">
      <formula>IF($N212=" ",TRUE)</formula>
    </cfRule>
  </conditionalFormatting>
  <conditionalFormatting sqref="W100:X100">
    <cfRule type="expression" dxfId="5215" priority="126">
      <formula>IF(AND($E100=TRUE,$I100="Valid Entry required below - Check amber box",#REF!="Compliant"),TRUE,FALSE)</formula>
    </cfRule>
    <cfRule type="expression" dxfId="5214" priority="127">
      <formula>IF(AND($E100=TRUE,$I100="Valid Entry made below",#REF!="Compliant"),TRUE,FALSE)</formula>
    </cfRule>
    <cfRule type="expression" dxfId="5213" priority="128">
      <formula>IF(AND($E100=FALSE,#REF!&lt;&gt;""),TRUE,FALSE)</formula>
    </cfRule>
    <cfRule type="expression" dxfId="5212" priority="129">
      <formula>IF(AND($I100&lt;&gt;"",#REF!&lt;&gt;""),TRUE,FALSE)</formula>
    </cfRule>
  </conditionalFormatting>
  <dataValidations count="2">
    <dataValidation type="list" allowBlank="1" showInputMessage="1" showErrorMessage="1" sqref="S183:S189 S196:S204 S191:S193 S207:S208 S211 S213:S214">
      <formula1>MAO_Compliance_Submission</formula1>
    </dataValidation>
    <dataValidation type="list" allowBlank="1" showInputMessage="1" showErrorMessage="1" sqref="U183:U189 U196:U204 U191:U193 U207:U208 U211 U213:U214">
      <formula1>Final_Compliance</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205" id="{117B16D1-3EDE-4743-ABA9-9CAE821867C8}">
            <xm:f>ISNUMBER(SEARCH($D9,Dropdowns!$D$18))</xm:f>
            <x14:dxf>
              <fill>
                <patternFill>
                  <bgColor rgb="FFFFFF00"/>
                </patternFill>
              </fill>
            </x14:dxf>
          </x14:cfRule>
          <x14:cfRule type="expression" priority="1206" id="{9663DBC5-5A37-4C20-8295-E2F682F48202}">
            <xm:f>ISNUMBER(SEARCH($D9,Dropdowns!$D$19))</xm:f>
            <x14:dxf>
              <fill>
                <patternFill>
                  <bgColor theme="6" tint="0.39994506668294322"/>
                </patternFill>
              </fill>
            </x14:dxf>
          </x14:cfRule>
          <x14:cfRule type="expression" priority="1207" id="{F479D7E9-8C0D-4C20-A0DB-141EC0A5452E}">
            <xm:f>ISNUMBER(SEARCH($D9,Dropdowns!$D$20))</xm:f>
            <x14:dxf>
              <fill>
                <patternFill>
                  <bgColor theme="6" tint="0.39994506668294322"/>
                </patternFill>
              </fill>
            </x14:dxf>
          </x14:cfRule>
          <x14:cfRule type="expression" priority="1208" id="{9D579BF2-0134-4A54-AEC3-F13822F244C3}">
            <xm:f>ISNUMBER(SEARCH($D9,Dropdowns!$D$21))</xm:f>
            <x14:dxf>
              <fill>
                <patternFill>
                  <bgColor rgb="FFFFFF00"/>
                </patternFill>
              </fill>
            </x14:dxf>
          </x14:cfRule>
          <x14:cfRule type="expression" priority="1209" id="{4AAFB171-1EA2-43F3-BF95-9153AFDB2879}">
            <xm:f>ISNUMBER(SEARCH($D9,Dropdowns!$D$23))</xm:f>
            <x14:dxf>
              <fill>
                <patternFill>
                  <bgColor rgb="FFFFFF00"/>
                </patternFill>
              </fill>
            </x14:dxf>
          </x14:cfRule>
          <xm:sqref>D9:D10</xm:sqref>
        </x14:conditionalFormatting>
        <x14:conditionalFormatting xmlns:xm="http://schemas.microsoft.com/office/excel/2006/main">
          <x14:cfRule type="expression" priority="39" id="{986E46DE-2E89-4E50-84FB-E7EB57403A01}">
            <xm:f>ISNUMBER(SEARCH($D19,Dropdowns!$D$18))</xm:f>
            <x14:dxf>
              <fill>
                <patternFill>
                  <bgColor rgb="FFFFFF00"/>
                </patternFill>
              </fill>
            </x14:dxf>
          </x14:cfRule>
          <x14:cfRule type="expression" priority="40" id="{18127530-3F2F-40BA-BFF0-B789B688E605}">
            <xm:f>ISNUMBER(SEARCH($D19,Dropdowns!$D$19))</xm:f>
            <x14:dxf>
              <fill>
                <patternFill>
                  <bgColor theme="6" tint="0.39994506668294322"/>
                </patternFill>
              </fill>
            </x14:dxf>
          </x14:cfRule>
          <x14:cfRule type="expression" priority="41" id="{5DCB90AE-6AB2-4879-9ADF-FBE0B6F24800}">
            <xm:f>ISNUMBER(SEARCH($D19,Dropdowns!$D$20))</xm:f>
            <x14:dxf>
              <fill>
                <patternFill>
                  <bgColor theme="6" tint="0.39994506668294322"/>
                </patternFill>
              </fill>
            </x14:dxf>
          </x14:cfRule>
          <x14:cfRule type="expression" priority="42" id="{6E9C4B90-EE98-4B1F-82AE-5DF7642F1128}">
            <xm:f>ISNUMBER(SEARCH($D19,Dropdowns!$D$21))</xm:f>
            <x14:dxf>
              <fill>
                <patternFill>
                  <bgColor rgb="FFFFFF00"/>
                </patternFill>
              </fill>
            </x14:dxf>
          </x14:cfRule>
          <x14:cfRule type="expression" priority="43" id="{A77BA40C-0A7E-4E82-A551-3AC6F025786F}">
            <xm:f>ISNUMBER(SEARCH($D19,Dropdowns!$D$23))</xm:f>
            <x14:dxf>
              <fill>
                <patternFill>
                  <bgColor rgb="FFFFFF00"/>
                </patternFill>
              </fill>
            </x14:dxf>
          </x14:cfRule>
          <xm:sqref>D19</xm:sqref>
        </x14:conditionalFormatting>
        <x14:conditionalFormatting xmlns:xm="http://schemas.microsoft.com/office/excel/2006/main">
          <x14:cfRule type="expression" priority="1337" id="{C27FB60F-A413-4B06-BFBC-74C16F21E63D}">
            <xm:f>ISNUMBER(SEARCH($D25,Dropdowns!$D$18))</xm:f>
            <x14:dxf>
              <fill>
                <patternFill>
                  <bgColor rgb="FFFFFF00"/>
                </patternFill>
              </fill>
            </x14:dxf>
          </x14:cfRule>
          <x14:cfRule type="expression" priority="1338" id="{E1B56D45-438B-4BED-945C-BA98052AEC0B}">
            <xm:f>ISNUMBER(SEARCH($D25,Dropdowns!$D$19))</xm:f>
            <x14:dxf>
              <fill>
                <patternFill>
                  <bgColor theme="6" tint="0.39994506668294322"/>
                </patternFill>
              </fill>
            </x14:dxf>
          </x14:cfRule>
          <x14:cfRule type="expression" priority="1339" id="{12A25230-EAD2-4C62-864E-5F6A0C80CB77}">
            <xm:f>ISNUMBER(SEARCH($D25,Dropdowns!$D$20))</xm:f>
            <x14:dxf>
              <fill>
                <patternFill>
                  <bgColor theme="6" tint="0.39994506668294322"/>
                </patternFill>
              </fill>
            </x14:dxf>
          </x14:cfRule>
          <x14:cfRule type="expression" priority="1340" id="{0B71068D-2AA1-4E35-836B-DF0402E2CDC3}">
            <xm:f>ISNUMBER(SEARCH($D25,Dropdowns!$D$21))</xm:f>
            <x14:dxf>
              <fill>
                <patternFill>
                  <bgColor rgb="FFFFFF00"/>
                </patternFill>
              </fill>
            </x14:dxf>
          </x14:cfRule>
          <x14:cfRule type="expression" priority="1341" id="{58133F83-271B-4AC1-99C3-AFAFB78BEECA}">
            <xm:f>ISNUMBER(SEARCH($D25,Dropdowns!$D$23))</xm:f>
            <x14:dxf>
              <fill>
                <patternFill>
                  <bgColor rgb="FFFFFF00"/>
                </patternFill>
              </fill>
            </x14:dxf>
          </x14:cfRule>
          <xm:sqref>D25:D28 D35:D38 D43:D46 D53:D58 D68:D70 D139:D150 D210:D214</xm:sqref>
        </x14:conditionalFormatting>
        <x14:conditionalFormatting xmlns:xm="http://schemas.microsoft.com/office/excel/2006/main">
          <x14:cfRule type="expression" priority="1058" id="{49EF39BE-5C47-44AA-90C2-5B66E04387E4}">
            <xm:f>ISNUMBER(SEARCH($D31,Dropdowns!$D$18))</xm:f>
            <x14:dxf>
              <fill>
                <patternFill>
                  <bgColor rgb="FFFFFF00"/>
                </patternFill>
              </fill>
            </x14:dxf>
          </x14:cfRule>
          <x14:cfRule type="expression" priority="1059" id="{115F8BC6-8025-43FF-9E76-AA57410481CD}">
            <xm:f>ISNUMBER(SEARCH($D31,Dropdowns!$D$19))</xm:f>
            <x14:dxf>
              <fill>
                <patternFill>
                  <bgColor theme="6" tint="0.39994506668294322"/>
                </patternFill>
              </fill>
            </x14:dxf>
          </x14:cfRule>
          <x14:cfRule type="expression" priority="1060" id="{10A80B85-03F5-423E-A803-AAE650C6452D}">
            <xm:f>ISNUMBER(SEARCH($D31,Dropdowns!$D$20))</xm:f>
            <x14:dxf>
              <fill>
                <patternFill>
                  <bgColor theme="6" tint="0.39994506668294322"/>
                </patternFill>
              </fill>
            </x14:dxf>
          </x14:cfRule>
          <x14:cfRule type="expression" priority="1061" id="{2869D95D-FDB4-4FD5-B5EE-099DF518B4CF}">
            <xm:f>ISNUMBER(SEARCH($D31,Dropdowns!$D$21))</xm:f>
            <x14:dxf>
              <fill>
                <patternFill>
                  <bgColor rgb="FFFFFF00"/>
                </patternFill>
              </fill>
            </x14:dxf>
          </x14:cfRule>
          <x14:cfRule type="expression" priority="1062" id="{07273506-EC7F-484E-840D-0CB43F930EC1}">
            <xm:f>ISNUMBER(SEARCH($D31,Dropdowns!$D$23))</xm:f>
            <x14:dxf>
              <fill>
                <patternFill>
                  <bgColor rgb="FFFFFF00"/>
                </patternFill>
              </fill>
            </x14:dxf>
          </x14:cfRule>
          <xm:sqref>D31:D33</xm:sqref>
        </x14:conditionalFormatting>
        <x14:conditionalFormatting xmlns:xm="http://schemas.microsoft.com/office/excel/2006/main">
          <x14:cfRule type="expression" priority="1010" id="{212786B9-1AB7-4F13-9353-7FAD33C58C2E}">
            <xm:f>ISNUMBER(SEARCH($D62,Dropdowns!$D$18))</xm:f>
            <x14:dxf>
              <fill>
                <patternFill>
                  <bgColor rgb="FFFFFF00"/>
                </patternFill>
              </fill>
            </x14:dxf>
          </x14:cfRule>
          <x14:cfRule type="expression" priority="1011" id="{1942C6C1-1709-4F35-A4F1-87556A5EA682}">
            <xm:f>ISNUMBER(SEARCH($D62,Dropdowns!$D$19))</xm:f>
            <x14:dxf>
              <fill>
                <patternFill>
                  <bgColor theme="6" tint="0.39994506668294322"/>
                </patternFill>
              </fill>
            </x14:dxf>
          </x14:cfRule>
          <x14:cfRule type="expression" priority="1012" id="{56A922DD-DC60-4B78-BF85-BA2BFD401DD0}">
            <xm:f>ISNUMBER(SEARCH($D62,Dropdowns!$D$20))</xm:f>
            <x14:dxf>
              <fill>
                <patternFill>
                  <bgColor theme="6" tint="0.39994506668294322"/>
                </patternFill>
              </fill>
            </x14:dxf>
          </x14:cfRule>
          <x14:cfRule type="expression" priority="1013" id="{024C0EB5-1B8B-4ABD-AAB7-51A4711FC229}">
            <xm:f>ISNUMBER(SEARCH($D62,Dropdowns!$D$21))</xm:f>
            <x14:dxf>
              <fill>
                <patternFill>
                  <bgColor rgb="FFFFFF00"/>
                </patternFill>
              </fill>
            </x14:dxf>
          </x14:cfRule>
          <x14:cfRule type="expression" priority="1014" id="{2F1ACEC1-A825-4075-911E-372B2B9875DC}">
            <xm:f>ISNUMBER(SEARCH($D62,Dropdowns!$D$23))</xm:f>
            <x14:dxf>
              <fill>
                <patternFill>
                  <bgColor rgb="FFFFFF00"/>
                </patternFill>
              </fill>
            </x14:dxf>
          </x14:cfRule>
          <xm:sqref>D62:D65</xm:sqref>
        </x14:conditionalFormatting>
        <x14:conditionalFormatting xmlns:xm="http://schemas.microsoft.com/office/excel/2006/main">
          <x14:cfRule type="expression" priority="1018" id="{DAB2736D-DF9D-4739-957D-1170E938D465}">
            <xm:f>ISNUMBER(SEARCH($D66,Dropdowns!$D$18))</xm:f>
            <x14:dxf>
              <fill>
                <patternFill>
                  <bgColor rgb="FFFFFF00"/>
                </patternFill>
              </fill>
            </x14:dxf>
          </x14:cfRule>
          <x14:cfRule type="expression" priority="1019" id="{26A70458-3FB8-43D8-95EF-98AA85C93FB9}">
            <xm:f>ISNUMBER(SEARCH($D66,Dropdowns!$D$19))</xm:f>
            <x14:dxf>
              <fill>
                <patternFill>
                  <bgColor theme="6" tint="0.39994506668294322"/>
                </patternFill>
              </fill>
            </x14:dxf>
          </x14:cfRule>
          <x14:cfRule type="expression" priority="1020" id="{96909407-70EE-4C7B-9F63-CF6CE113F91A}">
            <xm:f>ISNUMBER(SEARCH($D66,Dropdowns!$D$20))</xm:f>
            <x14:dxf>
              <fill>
                <patternFill>
                  <bgColor theme="6" tint="0.39994506668294322"/>
                </patternFill>
              </fill>
            </x14:dxf>
          </x14:cfRule>
          <x14:cfRule type="expression" priority="1021" id="{9F93278C-3E93-408F-A09D-0FC337F75A54}">
            <xm:f>ISNUMBER(SEARCH($D66,Dropdowns!$D$21))</xm:f>
            <x14:dxf>
              <fill>
                <patternFill>
                  <bgColor rgb="FFFFFF00"/>
                </patternFill>
              </fill>
            </x14:dxf>
          </x14:cfRule>
          <x14:cfRule type="expression" priority="1022" id="{6B1A1A80-C0FD-4EF4-B2F9-B949D1BFDE97}">
            <xm:f>ISNUMBER(SEARCH($D66,Dropdowns!$D$23))</xm:f>
            <x14:dxf>
              <fill>
                <patternFill>
                  <bgColor rgb="FFFFFF00"/>
                </patternFill>
              </fill>
            </x14:dxf>
          </x14:cfRule>
          <xm:sqref>D66</xm:sqref>
        </x14:conditionalFormatting>
        <x14:conditionalFormatting xmlns:xm="http://schemas.microsoft.com/office/excel/2006/main">
          <x14:cfRule type="expression" priority="1329" id="{70BC9923-0C50-4B8C-A107-D9CB12220F6A}">
            <xm:f>ISNUMBER(SEARCH($D72,Dropdowns!$D$18))</xm:f>
            <x14:dxf>
              <fill>
                <patternFill>
                  <bgColor rgb="FFFFFF00"/>
                </patternFill>
              </fill>
            </x14:dxf>
          </x14:cfRule>
          <x14:cfRule type="expression" priority="1330" id="{937E698A-AF98-4665-9246-FF7CE7610875}">
            <xm:f>ISNUMBER(SEARCH($D72,Dropdowns!$D$19))</xm:f>
            <x14:dxf>
              <fill>
                <patternFill>
                  <bgColor theme="6" tint="0.39994506668294322"/>
                </patternFill>
              </fill>
            </x14:dxf>
          </x14:cfRule>
          <x14:cfRule type="expression" priority="1331" id="{729139B7-EB4A-427C-B3EE-8696D576E4D9}">
            <xm:f>ISNUMBER(SEARCH($D72,Dropdowns!$D$20))</xm:f>
            <x14:dxf>
              <fill>
                <patternFill>
                  <bgColor theme="6" tint="0.39994506668294322"/>
                </patternFill>
              </fill>
            </x14:dxf>
          </x14:cfRule>
          <x14:cfRule type="expression" priority="1332" id="{A13CB96F-7A2D-493E-BC86-6655ABF41036}">
            <xm:f>ISNUMBER(SEARCH($D72,Dropdowns!$D$21))</xm:f>
            <x14:dxf>
              <fill>
                <patternFill>
                  <bgColor rgb="FFFFFF00"/>
                </patternFill>
              </fill>
            </x14:dxf>
          </x14:cfRule>
          <x14:cfRule type="expression" priority="1333" id="{DC35B659-898F-44CF-96D9-051086EE1533}">
            <xm:f>ISNUMBER(SEARCH($D72,Dropdowns!$D$23))</xm:f>
            <x14:dxf>
              <fill>
                <patternFill>
                  <bgColor rgb="FFFFFF00"/>
                </patternFill>
              </fill>
            </x14:dxf>
          </x14:cfRule>
          <xm:sqref>D72:D74 D76:D78 D80:D87</xm:sqref>
        </x14:conditionalFormatting>
        <x14:conditionalFormatting xmlns:xm="http://schemas.microsoft.com/office/excel/2006/main">
          <x14:cfRule type="expression" priority="1321" id="{61783B94-389B-408A-A76E-2AF7A5FB8879}">
            <xm:f>ISNUMBER(SEARCH($D90,Dropdowns!$D$18))</xm:f>
            <x14:dxf>
              <fill>
                <patternFill>
                  <bgColor rgb="FFFFFF00"/>
                </patternFill>
              </fill>
            </x14:dxf>
          </x14:cfRule>
          <x14:cfRule type="expression" priority="1322" id="{4C6EE91D-2017-4FF9-BB7B-1302AB39C159}">
            <xm:f>ISNUMBER(SEARCH($D90,Dropdowns!$D$19))</xm:f>
            <x14:dxf>
              <fill>
                <patternFill>
                  <bgColor theme="6" tint="0.39994506668294322"/>
                </patternFill>
              </fill>
            </x14:dxf>
          </x14:cfRule>
          <x14:cfRule type="expression" priority="1323" id="{1DE327B2-80D0-4D77-94F2-23F262DA6DE3}">
            <xm:f>ISNUMBER(SEARCH($D90,Dropdowns!$D$20))</xm:f>
            <x14:dxf>
              <fill>
                <patternFill>
                  <bgColor theme="6" tint="0.39994506668294322"/>
                </patternFill>
              </fill>
            </x14:dxf>
          </x14:cfRule>
          <x14:cfRule type="expression" priority="1324" id="{35C15D6A-E035-4E57-8DBA-210FE73E5737}">
            <xm:f>ISNUMBER(SEARCH($D90,Dropdowns!$D$21))</xm:f>
            <x14:dxf>
              <fill>
                <patternFill>
                  <bgColor rgb="FFFFFF00"/>
                </patternFill>
              </fill>
            </x14:dxf>
          </x14:cfRule>
          <x14:cfRule type="expression" priority="1325" id="{266C4B0C-84D1-459C-A05A-8EE978BE7CA7}">
            <xm:f>ISNUMBER(SEARCH($D90,Dropdowns!$D$23))</xm:f>
            <x14:dxf>
              <fill>
                <patternFill>
                  <bgColor rgb="FFFFFF00"/>
                </patternFill>
              </fill>
            </x14:dxf>
          </x14:cfRule>
          <xm:sqref>D90:D99 D117</xm:sqref>
        </x14:conditionalFormatting>
        <x14:conditionalFormatting xmlns:xm="http://schemas.microsoft.com/office/excel/2006/main">
          <x14:cfRule type="expression" priority="1088" id="{6059ABFC-00D5-4680-BECF-BACC70DC6C5A}">
            <xm:f>ISNUMBER(SEARCH($D102,Dropdowns!$D$18))</xm:f>
            <x14:dxf>
              <fill>
                <patternFill>
                  <bgColor rgb="FFFFFF00"/>
                </patternFill>
              </fill>
            </x14:dxf>
          </x14:cfRule>
          <x14:cfRule type="expression" priority="1089" id="{3058F06A-A853-4025-92D4-D4F4B6F553F8}">
            <xm:f>ISNUMBER(SEARCH($D102,Dropdowns!$D$19))</xm:f>
            <x14:dxf>
              <fill>
                <patternFill>
                  <bgColor theme="6" tint="0.39994506668294322"/>
                </patternFill>
              </fill>
            </x14:dxf>
          </x14:cfRule>
          <x14:cfRule type="expression" priority="1090" id="{68FC64F3-CF8B-43C4-B353-C5CF6F840777}">
            <xm:f>ISNUMBER(SEARCH($D102,Dropdowns!$D$20))</xm:f>
            <x14:dxf>
              <fill>
                <patternFill>
                  <bgColor theme="6" tint="0.39994506668294322"/>
                </patternFill>
              </fill>
            </x14:dxf>
          </x14:cfRule>
          <x14:cfRule type="expression" priority="1091" id="{FBB9BB4A-5967-4DFD-B2B8-8EF1511C21AF}">
            <xm:f>ISNUMBER(SEARCH($D102,Dropdowns!$D$21))</xm:f>
            <x14:dxf>
              <fill>
                <patternFill>
                  <bgColor rgb="FFFFFF00"/>
                </patternFill>
              </fill>
            </x14:dxf>
          </x14:cfRule>
          <x14:cfRule type="expression" priority="1092" id="{9CC461F8-E7B9-4623-A917-345A87DC47EA}">
            <xm:f>ISNUMBER(SEARCH($D102,Dropdowns!$D$23))</xm:f>
            <x14:dxf>
              <fill>
                <patternFill>
                  <bgColor rgb="FFFFFF00"/>
                </patternFill>
              </fill>
            </x14:dxf>
          </x14:cfRule>
          <xm:sqref>D102:D103</xm:sqref>
        </x14:conditionalFormatting>
        <x14:conditionalFormatting xmlns:xm="http://schemas.microsoft.com/office/excel/2006/main">
          <x14:cfRule type="expression" priority="1100" id="{0E1E2876-915B-4006-8DF2-0219698EB4B1}">
            <xm:f>ISNUMBER(SEARCH($D105,Dropdowns!$D$18))</xm:f>
            <x14:dxf>
              <fill>
                <patternFill>
                  <bgColor rgb="FFFFFF00"/>
                </patternFill>
              </fill>
            </x14:dxf>
          </x14:cfRule>
          <x14:cfRule type="expression" priority="1101" id="{1643BAC4-A197-4297-A091-6F60B5B6BE02}">
            <xm:f>ISNUMBER(SEARCH($D105,Dropdowns!$D$19))</xm:f>
            <x14:dxf>
              <fill>
                <patternFill>
                  <bgColor theme="6" tint="0.39994506668294322"/>
                </patternFill>
              </fill>
            </x14:dxf>
          </x14:cfRule>
          <x14:cfRule type="expression" priority="1102" id="{F07F54A2-815D-4FA3-9046-F7249366D66E}">
            <xm:f>ISNUMBER(SEARCH($D105,Dropdowns!$D$20))</xm:f>
            <x14:dxf>
              <fill>
                <patternFill>
                  <bgColor theme="6" tint="0.39994506668294322"/>
                </patternFill>
              </fill>
            </x14:dxf>
          </x14:cfRule>
          <x14:cfRule type="expression" priority="1103" id="{2AFF52B9-CAFF-49B0-9F74-A286791699BA}">
            <xm:f>ISNUMBER(SEARCH($D105,Dropdowns!$D$21))</xm:f>
            <x14:dxf>
              <fill>
                <patternFill>
                  <bgColor rgb="FFFFFF00"/>
                </patternFill>
              </fill>
            </x14:dxf>
          </x14:cfRule>
          <x14:cfRule type="expression" priority="1104" id="{1AA86C6D-B0E8-49CB-B11B-5F86AECAC6D6}">
            <xm:f>ISNUMBER(SEARCH($D105,Dropdowns!$D$23))</xm:f>
            <x14:dxf>
              <fill>
                <patternFill>
                  <bgColor rgb="FFFFFF00"/>
                </patternFill>
              </fill>
            </x14:dxf>
          </x14:cfRule>
          <xm:sqref>D105:D115</xm:sqref>
        </x14:conditionalFormatting>
        <x14:conditionalFormatting xmlns:xm="http://schemas.microsoft.com/office/excel/2006/main">
          <x14:cfRule type="expression" priority="1313" id="{36A54306-A84E-4A30-BCF4-F9D882756D91}">
            <xm:f>ISNUMBER(SEARCH($D123,Dropdowns!$D$18))</xm:f>
            <x14:dxf>
              <fill>
                <patternFill>
                  <bgColor rgb="FFFFFF00"/>
                </patternFill>
              </fill>
            </x14:dxf>
          </x14:cfRule>
          <x14:cfRule type="expression" priority="1314" id="{CD05B2EB-4F57-489B-A0D5-A911C5E86E5C}">
            <xm:f>ISNUMBER(SEARCH($D123,Dropdowns!$D$19))</xm:f>
            <x14:dxf>
              <fill>
                <patternFill>
                  <bgColor theme="6" tint="0.39994506668294322"/>
                </patternFill>
              </fill>
            </x14:dxf>
          </x14:cfRule>
          <x14:cfRule type="expression" priority="1315" id="{65849F77-A316-402D-83BF-205153EC6EA5}">
            <xm:f>ISNUMBER(SEARCH($D123,Dropdowns!$D$20))</xm:f>
            <x14:dxf>
              <fill>
                <patternFill>
                  <bgColor theme="6" tint="0.39994506668294322"/>
                </patternFill>
              </fill>
            </x14:dxf>
          </x14:cfRule>
          <x14:cfRule type="expression" priority="1316" id="{A3817FD4-FA3F-4BFA-9206-3F91BC6F5D3A}">
            <xm:f>ISNUMBER(SEARCH($D123,Dropdowns!$D$21))</xm:f>
            <x14:dxf>
              <fill>
                <patternFill>
                  <bgColor rgb="FFFFFF00"/>
                </patternFill>
              </fill>
            </x14:dxf>
          </x14:cfRule>
          <x14:cfRule type="expression" priority="1317" id="{496E4926-1553-47F3-B009-D12D603B8270}">
            <xm:f>ISNUMBER(SEARCH($D123,Dropdowns!$D$23))</xm:f>
            <x14:dxf>
              <fill>
                <patternFill>
                  <bgColor rgb="FFFFFF00"/>
                </patternFill>
              </fill>
            </x14:dxf>
          </x14:cfRule>
          <xm:sqref>D123:D125</xm:sqref>
        </x14:conditionalFormatting>
        <x14:conditionalFormatting xmlns:xm="http://schemas.microsoft.com/office/excel/2006/main">
          <x14:cfRule type="expression" priority="1305" id="{D04E619C-45F5-41B6-B25B-7551C91CB34A}">
            <xm:f>ISNUMBER(SEARCH($D128,Dropdowns!$D$18))</xm:f>
            <x14:dxf>
              <fill>
                <patternFill>
                  <bgColor rgb="FFFFFF00"/>
                </patternFill>
              </fill>
            </x14:dxf>
          </x14:cfRule>
          <x14:cfRule type="expression" priority="1306" id="{DCD0DE45-FB33-46CF-A0B4-991FE23E8491}">
            <xm:f>ISNUMBER(SEARCH($D128,Dropdowns!$D$19))</xm:f>
            <x14:dxf>
              <fill>
                <patternFill>
                  <bgColor theme="6" tint="0.39994506668294322"/>
                </patternFill>
              </fill>
            </x14:dxf>
          </x14:cfRule>
          <x14:cfRule type="expression" priority="1307" id="{4386463A-B68A-413C-974A-459034FA31F3}">
            <xm:f>ISNUMBER(SEARCH($D128,Dropdowns!$D$20))</xm:f>
            <x14:dxf>
              <fill>
                <patternFill>
                  <bgColor theme="6" tint="0.39994506668294322"/>
                </patternFill>
              </fill>
            </x14:dxf>
          </x14:cfRule>
          <x14:cfRule type="expression" priority="1308" id="{33BBD2BC-7696-4733-885E-747DB6933E76}">
            <xm:f>ISNUMBER(SEARCH($D128,Dropdowns!$D$21))</xm:f>
            <x14:dxf>
              <fill>
                <patternFill>
                  <bgColor rgb="FFFFFF00"/>
                </patternFill>
              </fill>
            </x14:dxf>
          </x14:cfRule>
          <x14:cfRule type="expression" priority="1309" id="{0A1ABF65-AB4F-4273-BE5D-25CE65C08861}">
            <xm:f>ISNUMBER(SEARCH($D128,Dropdowns!$D$23))</xm:f>
            <x14:dxf>
              <fill>
                <patternFill>
                  <bgColor rgb="FFFFFF00"/>
                </patternFill>
              </fill>
            </x14:dxf>
          </x14:cfRule>
          <xm:sqref>D128:D137</xm:sqref>
        </x14:conditionalFormatting>
        <x14:conditionalFormatting xmlns:xm="http://schemas.microsoft.com/office/excel/2006/main">
          <x14:cfRule type="expression" priority="1281" id="{67512F97-C3C8-4CEA-B2E2-877825F2D04F}">
            <xm:f>ISNUMBER(SEARCH($D152,Dropdowns!$D$18))</xm:f>
            <x14:dxf>
              <fill>
                <patternFill>
                  <bgColor rgb="FFFFFF00"/>
                </patternFill>
              </fill>
            </x14:dxf>
          </x14:cfRule>
          <x14:cfRule type="expression" priority="1282" id="{6CE65DC9-8D14-4300-991F-CFE1932A94B8}">
            <xm:f>ISNUMBER(SEARCH($D152,Dropdowns!$D$19))</xm:f>
            <x14:dxf>
              <fill>
                <patternFill>
                  <bgColor theme="6" tint="0.39994506668294322"/>
                </patternFill>
              </fill>
            </x14:dxf>
          </x14:cfRule>
          <x14:cfRule type="expression" priority="1283" id="{C9B6D7E0-1F1B-4C2F-941C-775F4A31A1EA}">
            <xm:f>ISNUMBER(SEARCH($D152,Dropdowns!$D$20))</xm:f>
            <x14:dxf>
              <fill>
                <patternFill>
                  <bgColor theme="6" tint="0.39994506668294322"/>
                </patternFill>
              </fill>
            </x14:dxf>
          </x14:cfRule>
          <x14:cfRule type="expression" priority="1284" id="{389A6D56-E553-440A-9FEC-93AADA00381F}">
            <xm:f>ISNUMBER(SEARCH($D152,Dropdowns!$D$21))</xm:f>
            <x14:dxf>
              <fill>
                <patternFill>
                  <bgColor rgb="FFFFFF00"/>
                </patternFill>
              </fill>
            </x14:dxf>
          </x14:cfRule>
          <x14:cfRule type="expression" priority="1285" id="{C1F1F9A7-FF66-4CF5-B69C-5147AA17B916}">
            <xm:f>ISNUMBER(SEARCH($D152,Dropdowns!$D$23))</xm:f>
            <x14:dxf>
              <fill>
                <patternFill>
                  <bgColor rgb="FFFFFF00"/>
                </patternFill>
              </fill>
            </x14:dxf>
          </x14:cfRule>
          <xm:sqref>D152:D175</xm:sqref>
        </x14:conditionalFormatting>
        <x14:conditionalFormatting xmlns:xm="http://schemas.microsoft.com/office/excel/2006/main">
          <x14:cfRule type="expression" priority="1273" id="{82177A51-1637-4AE5-B19A-2E751A3F1D3F}">
            <xm:f>ISNUMBER(SEARCH($D180,Dropdowns!$D$18))</xm:f>
            <x14:dxf>
              <fill>
                <patternFill>
                  <bgColor rgb="FFFFFF00"/>
                </patternFill>
              </fill>
            </x14:dxf>
          </x14:cfRule>
          <x14:cfRule type="expression" priority="1274" id="{36F9AA1A-D87A-46A5-A14F-7064B1498B54}">
            <xm:f>ISNUMBER(SEARCH($D180,Dropdowns!$D$19))</xm:f>
            <x14:dxf>
              <fill>
                <patternFill>
                  <bgColor theme="6" tint="0.39994506668294322"/>
                </patternFill>
              </fill>
            </x14:dxf>
          </x14:cfRule>
          <x14:cfRule type="expression" priority="1275" id="{B8374D5A-9694-4840-8E52-8D6FAD69B667}">
            <xm:f>ISNUMBER(SEARCH($D180,Dropdowns!$D$20))</xm:f>
            <x14:dxf>
              <fill>
                <patternFill>
                  <bgColor theme="6" tint="0.39994506668294322"/>
                </patternFill>
              </fill>
            </x14:dxf>
          </x14:cfRule>
          <x14:cfRule type="expression" priority="1276" id="{C83C57D2-F5E5-4B33-8006-E61B50D14D76}">
            <xm:f>ISNUMBER(SEARCH($D180,Dropdowns!$D$21))</xm:f>
            <x14:dxf>
              <fill>
                <patternFill>
                  <bgColor rgb="FFFFFF00"/>
                </patternFill>
              </fill>
            </x14:dxf>
          </x14:cfRule>
          <x14:cfRule type="expression" priority="1277" id="{6581196F-ED3C-4A4D-826F-E9A6EE63BAD8}">
            <xm:f>ISNUMBER(SEARCH($D180,Dropdowns!$D$23))</xm:f>
            <x14:dxf>
              <fill>
                <patternFill>
                  <bgColor rgb="FFFFFF00"/>
                </patternFill>
              </fill>
            </x14:dxf>
          </x14:cfRule>
          <xm:sqref>D180</xm:sqref>
        </x14:conditionalFormatting>
        <x14:conditionalFormatting xmlns:xm="http://schemas.microsoft.com/office/excel/2006/main">
          <x14:cfRule type="expression" priority="1257" id="{F5EE5E25-0086-4C54-A4E5-45D23E53D381}">
            <xm:f>ISNUMBER(SEARCH($D182,Dropdowns!$D$18))</xm:f>
            <x14:dxf>
              <fill>
                <patternFill>
                  <bgColor rgb="FFFFFF00"/>
                </patternFill>
              </fill>
            </x14:dxf>
          </x14:cfRule>
          <x14:cfRule type="expression" priority="1258" id="{4AF07762-2BDC-4E73-A80B-99FCCA317941}">
            <xm:f>ISNUMBER(SEARCH($D182,Dropdowns!$D$19))</xm:f>
            <x14:dxf>
              <fill>
                <patternFill>
                  <bgColor theme="6" tint="0.39994506668294322"/>
                </patternFill>
              </fill>
            </x14:dxf>
          </x14:cfRule>
          <x14:cfRule type="expression" priority="1259" id="{DD89C42C-C7D3-4809-847C-643DFB7CD94C}">
            <xm:f>ISNUMBER(SEARCH($D182,Dropdowns!$D$20))</xm:f>
            <x14:dxf>
              <fill>
                <patternFill>
                  <bgColor theme="6" tint="0.39994506668294322"/>
                </patternFill>
              </fill>
            </x14:dxf>
          </x14:cfRule>
          <x14:cfRule type="expression" priority="1260" id="{90B0293D-2185-40D3-834E-5A4AEBD36362}">
            <xm:f>ISNUMBER(SEARCH($D182,Dropdowns!$D$21))</xm:f>
            <x14:dxf>
              <fill>
                <patternFill>
                  <bgColor rgb="FFFFFF00"/>
                </patternFill>
              </fill>
            </x14:dxf>
          </x14:cfRule>
          <x14:cfRule type="expression" priority="1261" id="{757E2B9E-E72A-4D75-8FDD-057BF5E0D515}">
            <xm:f>ISNUMBER(SEARCH($D182,Dropdowns!$D$23))</xm:f>
            <x14:dxf>
              <fill>
                <patternFill>
                  <bgColor rgb="FFFFFF00"/>
                </patternFill>
              </fill>
            </x14:dxf>
          </x14:cfRule>
          <xm:sqref>D182:D193</xm:sqref>
        </x14:conditionalFormatting>
        <x14:conditionalFormatting xmlns:xm="http://schemas.microsoft.com/office/excel/2006/main">
          <x14:cfRule type="expression" priority="1241" id="{EFC04F7D-C6C9-45E8-AF9A-EE61DD563F18}">
            <xm:f>ISNUMBER(SEARCH($D195,Dropdowns!$D$18))</xm:f>
            <x14:dxf>
              <fill>
                <patternFill>
                  <bgColor rgb="FFFFFF00"/>
                </patternFill>
              </fill>
            </x14:dxf>
          </x14:cfRule>
          <x14:cfRule type="expression" priority="1242" id="{5B8FD4B4-533E-4208-AD58-018BC45D2A63}">
            <xm:f>ISNUMBER(SEARCH($D195,Dropdowns!$D$19))</xm:f>
            <x14:dxf>
              <fill>
                <patternFill>
                  <bgColor theme="6" tint="0.39994506668294322"/>
                </patternFill>
              </fill>
            </x14:dxf>
          </x14:cfRule>
          <x14:cfRule type="expression" priority="1243" id="{18E20CA2-7CDF-4330-83CB-1B1339FDE7C0}">
            <xm:f>ISNUMBER(SEARCH($D195,Dropdowns!$D$20))</xm:f>
            <x14:dxf>
              <fill>
                <patternFill>
                  <bgColor theme="6" tint="0.39994506668294322"/>
                </patternFill>
              </fill>
            </x14:dxf>
          </x14:cfRule>
          <x14:cfRule type="expression" priority="1244" id="{101B2B8E-E48A-4FB6-B86C-C46592B2B389}">
            <xm:f>ISNUMBER(SEARCH($D195,Dropdowns!$D$21))</xm:f>
            <x14:dxf>
              <fill>
                <patternFill>
                  <bgColor rgb="FFFFFF00"/>
                </patternFill>
              </fill>
            </x14:dxf>
          </x14:cfRule>
          <x14:cfRule type="expression" priority="1245" id="{095BE148-9C8F-4CEE-8CF8-D7B6242EA513}">
            <xm:f>ISNUMBER(SEARCH($D195,Dropdowns!$D$23))</xm:f>
            <x14:dxf>
              <fill>
                <patternFill>
                  <bgColor rgb="FFFFFF00"/>
                </patternFill>
              </fill>
            </x14:dxf>
          </x14:cfRule>
          <xm:sqref>D195:D208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Dropdowns!$G$11:$G$16</xm:f>
          </x14:formula1>
          <xm:sqref>V58 V24 V34 V42 V8 V122 V178 V117:V118 V82:V87 V94 V104 V120 V149:V151 V180:V181 V209 V212 V194 V176 V127 V110 V101 V98 V89 V61 V67 V71 V75 V79 V52 V30 V19:V20</xm:sqref>
        </x14:dataValidation>
        <x14:dataValidation type="list" allowBlank="1" showInputMessage="1" showErrorMessage="1">
          <x14:formula1>
            <xm:f>Dropdowns!$E$11:$E$15</xm:f>
          </x14:formula1>
          <xm:sqref>Q32:Q33 Q43:Q46 Q53:Q58 Q62:Q66 Q68:Q70 Q72:Q74 Q76:Q78 Q80:Q87 Q90:Q99 Q102:Q103 Q105:Q115 Q117 Q123:Q125 Q128:Q137 Q139:Q150 Q152:Q175 Q195:Q208 Q182:Q193 Q180 Q210:Q212 Q36:Q38 Q8 Q19</xm:sqref>
        </x14:dataValidation>
        <x14:dataValidation type="list" allowBlank="1" showInputMessage="1" showErrorMessage="1">
          <x14:formula1>
            <xm:f>Dropdowns!$F$9:$F$12</xm:f>
          </x14:formula1>
          <xm:sqref>N120:O120 N178:O178 N176:O176 N118:O118</xm:sqref>
        </x14:dataValidation>
        <x14:dataValidation type="list" allowBlank="1" showInputMessage="1" showErrorMessage="1">
          <x14:formula1>
            <xm:f>Dropdowns!$D$16:$D$23</xm:f>
          </x14:formula1>
          <xm:sqref>D9:D11 Q35 D43:D46 D53:D58 D68:D70 D72:D74 D80:D87 D117 D123:D125 D128:D137 D62:D66 D139:D150 D182:D193 D76:D78 D90:D99 D105:D115 D102:D103 D180 D152:D175 D210:D214 D31:D33 D35:D38 D195:D208 Q31 Q25:Q28 D25:D28 D19</xm:sqref>
        </x14:dataValidation>
        <x14:dataValidation type="list" allowBlank="1" showInputMessage="1" showErrorMessage="1">
          <x14:formula1>
            <xm:f>Dropdowns!$C$16:$C$19</xm:f>
          </x14:formula1>
          <xm:sqref>V39</xm:sqref>
        </x14:dataValidation>
        <x14:dataValidation type="list" allowBlank="1" showInputMessage="1" showErrorMessage="1">
          <x14:formula1>
            <xm:f>Dropdowns!$F$2:$F$8</xm:f>
          </x14:formula1>
          <xm:sqref>N34 N42 N58 N52 N61 N67 N71 N75 N79 N82:N87 N89 N101 N104 N117 N122 N127 N194 N209 N180:N181 N212 N149:N151 N110 N94 N98 N30 N24 N8 N19</xm:sqref>
        </x14:dataValidation>
        <x14:dataValidation type="list" allowBlank="1" showInputMessage="1" showErrorMessage="1">
          <x14:formula1>
            <xm:f>Dropdowns!$C$11:$C$13</xm:f>
          </x14:formula1>
          <xm:sqref>D17:D18 N17:N18 Q17:Q18 V17:V18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52"/>
  <sheetViews>
    <sheetView zoomScale="75" zoomScaleNormal="75" workbookViewId="0">
      <pane xSplit="8" ySplit="5" topLeftCell="I6" activePane="bottomRight" state="frozen"/>
      <selection activeCell="B1" sqref="B1"/>
      <selection pane="topRight" activeCell="I1" sqref="I1"/>
      <selection pane="bottomLeft" activeCell="B6" sqref="B6"/>
      <selection pane="bottomRight" activeCell="I8" sqref="I8"/>
    </sheetView>
  </sheetViews>
  <sheetFormatPr defaultRowHeight="14.5" x14ac:dyDescent="0.3"/>
  <cols>
    <col min="1" max="1" width="11" hidden="1" customWidth="1"/>
    <col min="2" max="3" width="43.796875" customWidth="1"/>
    <col min="4" max="4" width="27" customWidth="1"/>
    <col min="5" max="5" width="10.3984375" hidden="1" customWidth="1"/>
    <col min="6" max="6" width="10.19921875" hidden="1" customWidth="1"/>
    <col min="7" max="7" width="9.19921875" hidden="1" customWidth="1"/>
    <col min="8" max="8" width="9.796875" hidden="1" customWidth="1"/>
    <col min="9" max="9" width="44.19921875" customWidth="1"/>
    <col min="10" max="10" width="26.296875" hidden="1" customWidth="1"/>
    <col min="11" max="11" width="26.3984375" hidden="1" customWidth="1"/>
    <col min="12" max="12" width="26.19921875" customWidth="1"/>
    <col min="13" max="13" width="39.19921875" customWidth="1"/>
    <col min="14" max="14" width="26.296875" customWidth="1"/>
    <col min="15" max="15" width="9.69921875" style="70" hidden="1" customWidth="1"/>
    <col min="16" max="16" width="42.796875" customWidth="1"/>
    <col min="17" max="17" width="33.69921875" customWidth="1"/>
    <col min="18" max="18" width="10.3984375" hidden="1" customWidth="1"/>
    <col min="19" max="19" width="47.19921875" customWidth="1"/>
    <col min="20" max="22" width="33.69921875" customWidth="1"/>
    <col min="23" max="23" width="11.19921875" hidden="1" customWidth="1"/>
    <col min="24" max="26" width="33.69921875" customWidth="1"/>
  </cols>
  <sheetData>
    <row r="1" spans="1:28" ht="69.75" customHeight="1" x14ac:dyDescent="0.3">
      <c r="B1" s="4521"/>
      <c r="C1" s="4521"/>
      <c r="D1" s="4521"/>
    </row>
    <row r="2" spans="1:28" ht="74.25" customHeight="1" x14ac:dyDescent="0.3">
      <c r="B2" s="4398" t="s">
        <v>2280</v>
      </c>
      <c r="C2" s="4494"/>
      <c r="D2" s="4494"/>
    </row>
    <row r="3" spans="1:28" ht="24" customHeight="1" x14ac:dyDescent="0.3">
      <c r="B3" s="4643"/>
      <c r="C3" s="4643"/>
      <c r="D3" s="4643"/>
    </row>
    <row r="4" spans="1:28" s="1147" customFormat="1" ht="74.25" customHeight="1" thickBot="1" x14ac:dyDescent="0.55000000000000004">
      <c r="A4" s="4644" t="s">
        <v>1890</v>
      </c>
      <c r="B4" s="4645"/>
      <c r="C4" s="4645"/>
      <c r="D4" s="4645"/>
      <c r="E4" s="1148"/>
      <c r="F4" s="1149"/>
      <c r="G4" s="1149"/>
      <c r="H4" s="1149"/>
      <c r="I4" s="1149"/>
      <c r="J4" s="1149"/>
      <c r="K4" s="1149"/>
      <c r="L4" s="1881"/>
      <c r="M4" s="1881"/>
      <c r="N4" s="1881"/>
      <c r="O4" s="1882"/>
      <c r="P4" s="1881"/>
      <c r="Q4" s="1881"/>
      <c r="R4" s="1881"/>
      <c r="S4" s="1881"/>
      <c r="T4" s="1881"/>
      <c r="U4" s="1881"/>
      <c r="V4" s="1881"/>
      <c r="W4" s="1881"/>
      <c r="X4" s="1881"/>
      <c r="Y4" s="1881"/>
      <c r="Z4" s="1881"/>
    </row>
    <row r="5" spans="1:28" ht="47.15" customHeight="1" thickTop="1" thickBot="1" x14ac:dyDescent="0.35">
      <c r="A5" s="1877" t="s">
        <v>1159</v>
      </c>
      <c r="B5" s="62" t="s">
        <v>1872</v>
      </c>
      <c r="C5" s="1878" t="s">
        <v>1874</v>
      </c>
      <c r="D5" s="1879" t="s">
        <v>1205</v>
      </c>
      <c r="E5" s="62"/>
      <c r="F5" s="62"/>
      <c r="G5" s="62"/>
      <c r="H5" s="62"/>
      <c r="I5" s="1879" t="s">
        <v>458</v>
      </c>
      <c r="J5" s="1883"/>
      <c r="K5" s="1883"/>
      <c r="L5" s="1879" t="s">
        <v>1187</v>
      </c>
      <c r="M5" s="1879" t="s">
        <v>466</v>
      </c>
      <c r="N5" s="1879" t="s">
        <v>465</v>
      </c>
      <c r="O5" s="1884"/>
      <c r="P5" s="1879" t="s">
        <v>1220</v>
      </c>
      <c r="Q5" s="1879" t="s">
        <v>1212</v>
      </c>
      <c r="R5" s="1879"/>
      <c r="S5" s="1879" t="s">
        <v>396</v>
      </c>
      <c r="T5" s="1879" t="s">
        <v>409</v>
      </c>
      <c r="U5" s="1879" t="s">
        <v>1211</v>
      </c>
      <c r="V5" s="1879" t="s">
        <v>1824</v>
      </c>
      <c r="W5" s="376"/>
      <c r="X5" s="1879" t="s">
        <v>10</v>
      </c>
      <c r="Y5" s="1879" t="s">
        <v>11</v>
      </c>
      <c r="Z5" s="1879" t="s">
        <v>12</v>
      </c>
    </row>
    <row r="6" spans="1:28" ht="19" thickTop="1" x14ac:dyDescent="0.3">
      <c r="A6" s="4646" t="s">
        <v>1239</v>
      </c>
      <c r="B6" s="4647"/>
      <c r="C6" s="4647"/>
      <c r="D6" s="1880"/>
      <c r="E6" s="151"/>
      <c r="F6" s="151"/>
      <c r="G6" s="151"/>
      <c r="H6" s="151"/>
      <c r="I6" s="1885"/>
      <c r="J6" s="1886"/>
      <c r="K6" s="1886"/>
      <c r="L6" s="1887"/>
      <c r="M6" s="1888"/>
      <c r="N6" s="1888"/>
      <c r="O6" s="1889"/>
      <c r="P6" s="1890"/>
      <c r="Q6" s="1891"/>
      <c r="R6" s="1887"/>
      <c r="S6" s="1892"/>
      <c r="T6" s="1892"/>
      <c r="U6" s="1892"/>
      <c r="V6" s="1893"/>
      <c r="W6" s="1486"/>
      <c r="X6" s="1894"/>
      <c r="Y6" s="1487"/>
      <c r="Z6" s="1487"/>
    </row>
    <row r="7" spans="1:28" s="6" customFormat="1" ht="21" customHeight="1" thickBot="1" x14ac:dyDescent="0.35">
      <c r="A7" s="126"/>
      <c r="B7" s="1176"/>
      <c r="C7" s="1177"/>
      <c r="D7" s="1178"/>
      <c r="E7" s="1179"/>
      <c r="F7" s="1179"/>
      <c r="G7" s="1179"/>
      <c r="H7" s="1179"/>
      <c r="I7" s="1178"/>
      <c r="J7" s="1180"/>
      <c r="K7" s="1180"/>
      <c r="L7" s="1178"/>
      <c r="M7" s="55"/>
      <c r="N7" s="55"/>
      <c r="O7" s="1171"/>
      <c r="P7" s="1178"/>
      <c r="Q7" s="1181"/>
      <c r="R7" s="1181"/>
      <c r="S7" s="1181"/>
      <c r="T7" s="1182"/>
      <c r="U7" s="1183"/>
      <c r="V7" s="1178"/>
      <c r="W7" s="477"/>
      <c r="X7" s="33"/>
      <c r="Y7" s="32"/>
      <c r="Z7" s="84"/>
      <c r="AA7" s="73"/>
    </row>
    <row r="8" spans="1:28" s="6" customFormat="1" ht="30" thickTop="1" thickBot="1" x14ac:dyDescent="0.4">
      <c r="A8" s="54"/>
      <c r="B8" s="1896" t="s">
        <v>1902</v>
      </c>
      <c r="C8" s="1897" t="s">
        <v>475</v>
      </c>
      <c r="D8" s="1895" t="s">
        <v>1233</v>
      </c>
      <c r="E8" s="1152" t="b">
        <f>IF(AND(E12=TRUE,E14=TRUE,E13=TRUE,E15=TRUE,E16=TRUE,E17=TRUE,E18=TRUE,E19=TRUE,E20=TRUE,E21=TRUE,E22=TRUE,E23=TRUE,E24=TRUE,E25=TRUE,E26=TRUE,E27=TRUE,E28=TRUE,E29=TRUE,E30=TRUE,E31=TRUE,E32=TRUE,E33=TRUE,E34=TRUE),TRUE,FALSE)</f>
        <v>0</v>
      </c>
      <c r="F8" s="1153"/>
      <c r="G8" s="1153"/>
      <c r="H8" s="1184"/>
      <c r="I8" s="4155"/>
      <c r="J8" s="4156"/>
      <c r="K8" s="4156"/>
      <c r="L8" s="4155"/>
      <c r="M8" s="4157"/>
      <c r="N8" s="1895" t="s">
        <v>1233</v>
      </c>
      <c r="O8" s="1185" t="b">
        <f>IF(AND(O12=TRUE,O13=TRUE,O14=TRUE,O16=TRUE,O22=TRUE,O25=TRUE,O28=TRUE,O29=TRUE,O30=TRUE,O31=TRUE,O33=TRUE,O34=TRUE),TRUE,FALSE)</f>
        <v>0</v>
      </c>
      <c r="P8" s="2565"/>
      <c r="Q8" s="1895" t="s">
        <v>1233</v>
      </c>
      <c r="R8" s="1185" t="b">
        <f>IF(AND(R12=TRUE,R14=TRUE,R13=TRUE,R15=TRUE,R16=TRUE,R17=TRUE,R18=TRUE,R19=TRUE,R20=TRUE,R21=TRUE,R22=TRUE,R23=TRUE,R24=TRUE,R25=TRUE,R26=TRUE,R27=TRUE,R28=TRUE,R29=TRUE,R30=TRUE,R31=TRUE,R32=TRUE,R33=TRUE,R34=TRUE),TRUE,FALSE)</f>
        <v>0</v>
      </c>
      <c r="S8" s="821"/>
      <c r="T8" s="821"/>
      <c r="U8" s="2633"/>
      <c r="V8" s="1895" t="s">
        <v>1233</v>
      </c>
      <c r="W8" s="240" t="b">
        <f>IF(AND(W12=TRUE,W13=TRUE,W14=TRUE,W16=TRUE,W22=TRUE,W25=TRUE,W28=TRUE,W29=TRUE,W30=TRUE,W31=TRUE,W33=TRUE,W34=TRUE),TRUE,FALSE)</f>
        <v>0</v>
      </c>
      <c r="X8" s="1186"/>
      <c r="Y8" s="1416"/>
      <c r="Z8" s="1417"/>
      <c r="AA8" s="105"/>
    </row>
    <row r="9" spans="1:28" s="4145" customFormat="1" ht="18.649999999999999" customHeight="1" thickTop="1" x14ac:dyDescent="0.3">
      <c r="A9" s="3861"/>
      <c r="B9" s="4139"/>
      <c r="C9" s="4140"/>
      <c r="D9" s="4141"/>
      <c r="E9" s="3861"/>
      <c r="F9" s="3861"/>
      <c r="G9" s="3861"/>
      <c r="H9" s="3861"/>
      <c r="I9" s="3861"/>
      <c r="J9" s="4142"/>
      <c r="K9" s="4142"/>
      <c r="L9" s="4143"/>
      <c r="M9" s="4143"/>
      <c r="N9" s="3861"/>
      <c r="O9" s="4144"/>
      <c r="P9" s="3861"/>
      <c r="Q9" s="4141"/>
      <c r="R9" s="4141"/>
      <c r="S9" s="4141"/>
      <c r="T9" s="4141"/>
      <c r="U9" s="4141"/>
      <c r="V9" s="3863"/>
      <c r="W9" s="3639"/>
      <c r="X9" s="3863"/>
      <c r="Y9" s="3639"/>
      <c r="Z9" s="3639"/>
      <c r="AA9" s="3639"/>
    </row>
    <row r="10" spans="1:28" s="4145" customFormat="1" ht="18.649999999999999" customHeight="1" x14ac:dyDescent="0.3">
      <c r="A10" s="4648" t="s">
        <v>1903</v>
      </c>
      <c r="B10" s="4649"/>
      <c r="C10" s="4649"/>
      <c r="D10" s="4649"/>
      <c r="E10" s="4649"/>
      <c r="F10" s="4649"/>
      <c r="G10" s="4649"/>
      <c r="H10" s="4649"/>
      <c r="I10" s="4649"/>
      <c r="J10" s="4649"/>
      <c r="K10" s="4649"/>
      <c r="L10" s="4649"/>
      <c r="M10" s="4649"/>
      <c r="N10" s="4649"/>
      <c r="O10" s="4146"/>
      <c r="P10" s="4147"/>
      <c r="Q10" s="4147"/>
      <c r="R10" s="4147"/>
      <c r="S10" s="4148"/>
      <c r="T10" s="4149"/>
      <c r="U10" s="4149"/>
      <c r="V10" s="4150"/>
      <c r="W10" s="3673"/>
      <c r="X10" s="3674"/>
      <c r="Y10" s="3675"/>
      <c r="Z10" s="3676"/>
    </row>
    <row r="11" spans="1:28" s="3694" customFormat="1" ht="16" customHeight="1" thickBot="1" x14ac:dyDescent="0.35">
      <c r="C11" s="3768"/>
      <c r="D11" s="3734"/>
      <c r="E11" s="4151"/>
      <c r="F11" s="4151"/>
      <c r="G11" s="4152"/>
      <c r="H11" s="4151"/>
      <c r="I11" s="3731"/>
      <c r="J11" s="4152"/>
      <c r="K11" s="4152"/>
      <c r="L11" s="3734"/>
      <c r="M11" s="3734"/>
      <c r="N11" s="4152"/>
      <c r="O11" s="4153"/>
      <c r="P11" s="3734"/>
      <c r="Q11" s="3734"/>
      <c r="R11" s="3734"/>
      <c r="S11" s="3734"/>
      <c r="T11" s="3734"/>
      <c r="U11" s="3734"/>
      <c r="V11" s="4154"/>
      <c r="X11" s="4154"/>
      <c r="Y11" s="3734"/>
      <c r="Z11" s="3734"/>
    </row>
    <row r="12" spans="1:28" s="26" customFormat="1" ht="81.75" customHeight="1" thickTop="1" thickBot="1" x14ac:dyDescent="0.35">
      <c r="A12" s="54"/>
      <c r="B12" s="1808" t="s">
        <v>1904</v>
      </c>
      <c r="C12" s="1898" t="s">
        <v>1905</v>
      </c>
      <c r="D12" s="580" t="s">
        <v>3</v>
      </c>
      <c r="E12" s="1165" t="b">
        <f t="shared" ref="E12:E34" si="0">IF(D12="Compliant",TRUE,FALSE)</f>
        <v>0</v>
      </c>
      <c r="F12" s="1150"/>
      <c r="G12" s="1151"/>
      <c r="H12" s="202"/>
      <c r="I12" s="132"/>
      <c r="J12" s="1899"/>
      <c r="K12" s="1899"/>
      <c r="L12" s="133"/>
      <c r="M12" s="134"/>
      <c r="N12" s="925" t="s">
        <v>3</v>
      </c>
      <c r="O12" s="1061" t="b">
        <f>IF(OR(N12="Compliant",N12="FE with work-a-round",N12="Functionally Equivalent"),TRUE,FALSE)</f>
        <v>0</v>
      </c>
      <c r="P12" s="2144"/>
      <c r="Q12" s="1134" t="s">
        <v>3</v>
      </c>
      <c r="R12" s="749" t="b">
        <f>IF(OR(Q12="Compliant",Q12="FE with work-a-round",Q12="Functionally Equivalent"),TRUE,FALSE)</f>
        <v>0</v>
      </c>
      <c r="S12" s="418"/>
      <c r="T12" s="418"/>
      <c r="U12" s="1009"/>
      <c r="V12" s="924" t="s">
        <v>3</v>
      </c>
      <c r="W12" s="1565" t="b">
        <f>IF(OR(V12="Compliant",V12="FE with work-a-round",V12="Functionally Equivalent",V12="Not Required/Applicable"),TRUE,FALSE)</f>
        <v>0</v>
      </c>
      <c r="X12" s="1565"/>
      <c r="Y12" s="2634"/>
      <c r="Z12" s="2635"/>
      <c r="AA12" s="6"/>
      <c r="AB12" s="6"/>
    </row>
    <row r="13" spans="1:28" s="26" customFormat="1" ht="30" thickTop="1" thickBot="1" x14ac:dyDescent="0.35">
      <c r="A13" s="54"/>
      <c r="B13" s="1808" t="s">
        <v>1906</v>
      </c>
      <c r="C13" s="2087" t="s">
        <v>2049</v>
      </c>
      <c r="D13" s="580" t="s">
        <v>3</v>
      </c>
      <c r="E13" s="1166" t="b">
        <f t="shared" si="0"/>
        <v>0</v>
      </c>
      <c r="F13" s="1154"/>
      <c r="G13" s="1155"/>
      <c r="H13" s="1156"/>
      <c r="I13" s="3482"/>
      <c r="J13" s="747"/>
      <c r="K13" s="747"/>
      <c r="L13" s="3441"/>
      <c r="M13" s="3442"/>
      <c r="N13" s="925" t="s">
        <v>3</v>
      </c>
      <c r="O13" s="892" t="b">
        <f>IF(OR(N13="Compliant",N13="FE with work-a-round",N13="Functionally Equivalent"),TRUE,FALSE)</f>
        <v>0</v>
      </c>
      <c r="P13" s="640"/>
      <c r="Q13" s="1188" t="s">
        <v>3</v>
      </c>
      <c r="R13" s="995" t="b">
        <f>IF(OR(Q13="Compliant",Q13="FE with work-a-round",Q13="Functionally Equivalent"),TRUE,FALSE)</f>
        <v>0</v>
      </c>
      <c r="S13" s="336"/>
      <c r="T13" s="336"/>
      <c r="U13" s="640"/>
      <c r="V13" s="925" t="s">
        <v>3</v>
      </c>
      <c r="W13" s="1187" t="b">
        <f>IF(OR(V13="Compliant",V13="FE with work-a-round",V13="Functionally Equivalent",V13="Not Required/Applicable"),TRUE,FALSE)</f>
        <v>0</v>
      </c>
      <c r="X13" s="335"/>
      <c r="Y13" s="1416"/>
      <c r="Z13" s="1417"/>
      <c r="AA13" s="6"/>
      <c r="AB13" s="6"/>
    </row>
    <row r="14" spans="1:28" s="26" customFormat="1" ht="29.5" thickTop="1" x14ac:dyDescent="0.3">
      <c r="A14" s="54"/>
      <c r="B14" s="1495" t="s">
        <v>1907</v>
      </c>
      <c r="C14" s="1708" t="s">
        <v>1908</v>
      </c>
      <c r="D14" s="750" t="s">
        <v>3</v>
      </c>
      <c r="E14" s="1167" t="b">
        <f t="shared" si="0"/>
        <v>0</v>
      </c>
      <c r="F14" s="185"/>
      <c r="G14" s="137"/>
      <c r="H14" s="130"/>
      <c r="I14" s="3445"/>
      <c r="J14" s="619"/>
      <c r="K14" s="619"/>
      <c r="L14" s="3445"/>
      <c r="M14" s="3479"/>
      <c r="N14" s="4414" t="s">
        <v>3</v>
      </c>
      <c r="O14" s="4640" t="b">
        <f t="shared" ref="O14:O34" si="1">IF(OR(N14="Compliant",N14="FE with work-a-round",N14="Functionally Equivalent"),TRUE,FALSE)</f>
        <v>0</v>
      </c>
      <c r="P14" s="1211"/>
      <c r="Q14" s="1135" t="s">
        <v>3</v>
      </c>
      <c r="R14" s="1172" t="b">
        <f t="shared" ref="R14:R34" si="2">IF(OR(Q14="Compliant",Q14="FE with work-a-round",Q14="Functionally Equivalent"),TRUE,FALSE)</f>
        <v>0</v>
      </c>
      <c r="S14" s="406"/>
      <c r="T14" s="406"/>
      <c r="U14" s="1211"/>
      <c r="V14" s="4414" t="s">
        <v>3</v>
      </c>
      <c r="W14" s="4637" t="b">
        <f>IF(OR(V14="Compliant",V14="FE with work-a-round",V14="Functionally Equivalent",V14="Not Required/Applicable"),TRUE,FALSE)</f>
        <v>0</v>
      </c>
      <c r="X14" s="1433"/>
      <c r="Y14" s="1433"/>
      <c r="Z14" s="1434"/>
      <c r="AA14" s="6"/>
      <c r="AB14" s="6"/>
    </row>
    <row r="15" spans="1:28" s="26" customFormat="1" ht="29.5" thickBot="1" x14ac:dyDescent="0.35">
      <c r="A15" s="54"/>
      <c r="B15" s="1505"/>
      <c r="C15" s="1800" t="s">
        <v>2050</v>
      </c>
      <c r="D15" s="567" t="s">
        <v>3</v>
      </c>
      <c r="E15" s="1168" t="b">
        <f t="shared" si="0"/>
        <v>0</v>
      </c>
      <c r="F15" s="1161"/>
      <c r="G15" s="1162"/>
      <c r="H15" s="1160"/>
      <c r="I15" s="3448"/>
      <c r="J15" s="901"/>
      <c r="K15" s="901"/>
      <c r="L15" s="3448"/>
      <c r="M15" s="3480"/>
      <c r="N15" s="4416"/>
      <c r="O15" s="4641" t="b">
        <f t="shared" si="1"/>
        <v>0</v>
      </c>
      <c r="P15" s="1225"/>
      <c r="Q15" s="1017" t="s">
        <v>3</v>
      </c>
      <c r="R15" s="1173" t="b">
        <f t="shared" si="2"/>
        <v>0</v>
      </c>
      <c r="S15" s="1224"/>
      <c r="T15" s="1224"/>
      <c r="U15" s="1225"/>
      <c r="V15" s="4416"/>
      <c r="W15" s="4638"/>
      <c r="X15" s="1435"/>
      <c r="Y15" s="1435"/>
      <c r="Z15" s="1436"/>
      <c r="AA15" s="6"/>
      <c r="AB15" s="6"/>
    </row>
    <row r="16" spans="1:28" s="26" customFormat="1" ht="29.5" thickTop="1" x14ac:dyDescent="0.3">
      <c r="A16" s="54"/>
      <c r="B16" s="1495" t="s">
        <v>1909</v>
      </c>
      <c r="C16" s="1708" t="s">
        <v>1910</v>
      </c>
      <c r="D16" s="750" t="s">
        <v>3</v>
      </c>
      <c r="E16" s="1167" t="b">
        <f t="shared" si="0"/>
        <v>0</v>
      </c>
      <c r="F16" s="185"/>
      <c r="G16" s="137"/>
      <c r="H16" s="130"/>
      <c r="I16" s="3433"/>
      <c r="J16" s="619"/>
      <c r="K16" s="619"/>
      <c r="L16" s="3433"/>
      <c r="M16" s="3479"/>
      <c r="N16" s="4414" t="s">
        <v>3</v>
      </c>
      <c r="O16" s="4640" t="b">
        <f t="shared" si="1"/>
        <v>0</v>
      </c>
      <c r="P16" s="1211"/>
      <c r="Q16" s="1135" t="s">
        <v>3</v>
      </c>
      <c r="R16" s="1172" t="b">
        <f t="shared" si="2"/>
        <v>0</v>
      </c>
      <c r="S16" s="406"/>
      <c r="T16" s="406"/>
      <c r="U16" s="1211"/>
      <c r="V16" s="4414" t="s">
        <v>3</v>
      </c>
      <c r="W16" s="4637" t="b">
        <f>IF(OR(V16="Compliant",V16="FE with work-a-round",V16="Functionally Equivalent",V16="Not Required/Applicable"),TRUE,FALSE)</f>
        <v>0</v>
      </c>
      <c r="X16" s="1433"/>
      <c r="Y16" s="1433"/>
      <c r="Z16" s="1434"/>
      <c r="AA16" s="6"/>
      <c r="AB16" s="6"/>
    </row>
    <row r="17" spans="1:28" s="26" customFormat="1" ht="29" x14ac:dyDescent="0.3">
      <c r="A17" s="54"/>
      <c r="B17" s="1504"/>
      <c r="C17" s="1717" t="s">
        <v>1911</v>
      </c>
      <c r="D17" s="554" t="s">
        <v>3</v>
      </c>
      <c r="E17" s="1169" t="b">
        <f t="shared" si="0"/>
        <v>0</v>
      </c>
      <c r="F17" s="1158"/>
      <c r="G17" s="1159"/>
      <c r="H17" s="1157"/>
      <c r="I17" s="3433"/>
      <c r="J17" s="900"/>
      <c r="K17" s="900"/>
      <c r="L17" s="3433"/>
      <c r="M17" s="3460"/>
      <c r="N17" s="4415"/>
      <c r="O17" s="4642" t="b">
        <f t="shared" si="1"/>
        <v>0</v>
      </c>
      <c r="P17" s="1218"/>
      <c r="Q17" s="1060" t="s">
        <v>3</v>
      </c>
      <c r="R17" s="1174" t="b">
        <f t="shared" si="2"/>
        <v>0</v>
      </c>
      <c r="S17" s="471"/>
      <c r="T17" s="471"/>
      <c r="U17" s="1218"/>
      <c r="V17" s="4415"/>
      <c r="W17" s="4639"/>
      <c r="X17" s="1431"/>
      <c r="Y17" s="1431"/>
      <c r="Z17" s="1432"/>
      <c r="AA17" s="6"/>
      <c r="AB17" s="6"/>
    </row>
    <row r="18" spans="1:28" s="26" customFormat="1" ht="29" x14ac:dyDescent="0.3">
      <c r="A18" s="54"/>
      <c r="B18" s="1504"/>
      <c r="C18" s="1717" t="s">
        <v>1912</v>
      </c>
      <c r="D18" s="554" t="s">
        <v>3</v>
      </c>
      <c r="E18" s="1169" t="b">
        <f t="shared" si="0"/>
        <v>0</v>
      </c>
      <c r="F18" s="1158"/>
      <c r="G18" s="1159"/>
      <c r="H18" s="1157"/>
      <c r="I18" s="3433"/>
      <c r="J18" s="900"/>
      <c r="K18" s="900"/>
      <c r="L18" s="3433"/>
      <c r="M18" s="3460"/>
      <c r="N18" s="4415"/>
      <c r="O18" s="4642" t="b">
        <f t="shared" si="1"/>
        <v>0</v>
      </c>
      <c r="P18" s="1218"/>
      <c r="Q18" s="1060" t="s">
        <v>3</v>
      </c>
      <c r="R18" s="1174" t="b">
        <f t="shared" si="2"/>
        <v>0</v>
      </c>
      <c r="S18" s="471"/>
      <c r="T18" s="471"/>
      <c r="U18" s="1218"/>
      <c r="V18" s="4415"/>
      <c r="W18" s="4639"/>
      <c r="X18" s="1431"/>
      <c r="Y18" s="1431"/>
      <c r="Z18" s="1432"/>
      <c r="AA18" s="6"/>
      <c r="AB18" s="6"/>
    </row>
    <row r="19" spans="1:28" s="26" customFormat="1" ht="29" x14ac:dyDescent="0.3">
      <c r="A19" s="54"/>
      <c r="B19" s="1504"/>
      <c r="C19" s="1717" t="s">
        <v>1913</v>
      </c>
      <c r="D19" s="554" t="s">
        <v>3</v>
      </c>
      <c r="E19" s="1169" t="b">
        <f t="shared" si="0"/>
        <v>0</v>
      </c>
      <c r="F19" s="1158"/>
      <c r="G19" s="1159"/>
      <c r="H19" s="1157"/>
      <c r="I19" s="3433"/>
      <c r="J19" s="900"/>
      <c r="K19" s="900"/>
      <c r="L19" s="3433"/>
      <c r="M19" s="3460"/>
      <c r="N19" s="4415"/>
      <c r="O19" s="4642" t="b">
        <f t="shared" si="1"/>
        <v>0</v>
      </c>
      <c r="P19" s="1218"/>
      <c r="Q19" s="1060" t="s">
        <v>3</v>
      </c>
      <c r="R19" s="1174" t="b">
        <f t="shared" si="2"/>
        <v>0</v>
      </c>
      <c r="S19" s="471"/>
      <c r="T19" s="471"/>
      <c r="U19" s="1218"/>
      <c r="V19" s="4415"/>
      <c r="W19" s="4639"/>
      <c r="X19" s="1431"/>
      <c r="Y19" s="1431"/>
      <c r="Z19" s="1432"/>
      <c r="AA19" s="6"/>
      <c r="AB19" s="6"/>
    </row>
    <row r="20" spans="1:28" s="26" customFormat="1" ht="29" x14ac:dyDescent="0.3">
      <c r="A20" s="54"/>
      <c r="B20" s="1504"/>
      <c r="C20" s="1717" t="s">
        <v>2051</v>
      </c>
      <c r="D20" s="554" t="s">
        <v>3</v>
      </c>
      <c r="E20" s="1169" t="b">
        <f t="shared" si="0"/>
        <v>0</v>
      </c>
      <c r="F20" s="1158"/>
      <c r="G20" s="1159"/>
      <c r="H20" s="1157"/>
      <c r="I20" s="3433"/>
      <c r="J20" s="900"/>
      <c r="K20" s="900"/>
      <c r="L20" s="3433"/>
      <c r="M20" s="3460"/>
      <c r="N20" s="4415"/>
      <c r="O20" s="4642" t="b">
        <f t="shared" si="1"/>
        <v>0</v>
      </c>
      <c r="P20" s="1218"/>
      <c r="Q20" s="1060" t="s">
        <v>3</v>
      </c>
      <c r="R20" s="1174" t="b">
        <f t="shared" si="2"/>
        <v>0</v>
      </c>
      <c r="S20" s="471"/>
      <c r="T20" s="471"/>
      <c r="U20" s="1218"/>
      <c r="V20" s="4415"/>
      <c r="W20" s="4639"/>
      <c r="X20" s="1431"/>
      <c r="Y20" s="1431"/>
      <c r="Z20" s="1432"/>
      <c r="AA20" s="6"/>
      <c r="AB20" s="6"/>
    </row>
    <row r="21" spans="1:28" s="26" customFormat="1" ht="29.5" thickBot="1" x14ac:dyDescent="0.35">
      <c r="A21" s="54"/>
      <c r="B21" s="1505"/>
      <c r="C21" s="1800" t="s">
        <v>1914</v>
      </c>
      <c r="D21" s="567" t="s">
        <v>3</v>
      </c>
      <c r="E21" s="1168" t="b">
        <f t="shared" si="0"/>
        <v>0</v>
      </c>
      <c r="F21" s="1161"/>
      <c r="G21" s="1162"/>
      <c r="H21" s="1160"/>
      <c r="I21" s="3448"/>
      <c r="J21" s="901"/>
      <c r="K21" s="901"/>
      <c r="L21" s="3448"/>
      <c r="M21" s="3460"/>
      <c r="N21" s="4416"/>
      <c r="O21" s="4641" t="b">
        <f t="shared" si="1"/>
        <v>0</v>
      </c>
      <c r="P21" s="1225"/>
      <c r="Q21" s="1017" t="s">
        <v>3</v>
      </c>
      <c r="R21" s="1173" t="b">
        <f t="shared" si="2"/>
        <v>0</v>
      </c>
      <c r="S21" s="1224"/>
      <c r="T21" s="1224"/>
      <c r="U21" s="1225"/>
      <c r="V21" s="4416"/>
      <c r="W21" s="4638"/>
      <c r="X21" s="1435"/>
      <c r="Y21" s="1435"/>
      <c r="Z21" s="1436"/>
      <c r="AA21" s="6"/>
      <c r="AB21" s="6"/>
    </row>
    <row r="22" spans="1:28" s="26" customFormat="1" ht="29.5" thickTop="1" x14ac:dyDescent="0.3">
      <c r="A22" s="54"/>
      <c r="B22" s="1495" t="s">
        <v>1929</v>
      </c>
      <c r="C22" s="1708" t="s">
        <v>1915</v>
      </c>
      <c r="D22" s="750" t="s">
        <v>3</v>
      </c>
      <c r="E22" s="1167" t="b">
        <f t="shared" si="0"/>
        <v>0</v>
      </c>
      <c r="F22" s="185"/>
      <c r="G22" s="137"/>
      <c r="H22" s="130"/>
      <c r="I22" s="3445"/>
      <c r="J22" s="619"/>
      <c r="K22" s="619"/>
      <c r="L22" s="3445"/>
      <c r="M22" s="3479"/>
      <c r="N22" s="4414" t="s">
        <v>3</v>
      </c>
      <c r="O22" s="4640" t="b">
        <f t="shared" si="1"/>
        <v>0</v>
      </c>
      <c r="P22" s="1211"/>
      <c r="Q22" s="1135" t="s">
        <v>3</v>
      </c>
      <c r="R22" s="1172" t="b">
        <f t="shared" si="2"/>
        <v>0</v>
      </c>
      <c r="S22" s="406"/>
      <c r="T22" s="406"/>
      <c r="U22" s="1211"/>
      <c r="V22" s="4414" t="s">
        <v>3</v>
      </c>
      <c r="W22" s="4637" t="b">
        <f>IF(OR(V22="Compliant",V22="FE with work-a-round",V22="Functionally Equivalent",V22="Not Required/Applicable"),TRUE,FALSE)</f>
        <v>0</v>
      </c>
      <c r="X22" s="1433"/>
      <c r="Y22" s="1433"/>
      <c r="Z22" s="1434"/>
      <c r="AA22" s="6"/>
      <c r="AB22" s="6"/>
    </row>
    <row r="23" spans="1:28" s="26" customFormat="1" ht="29" x14ac:dyDescent="0.3">
      <c r="A23" s="54"/>
      <c r="B23" s="1504"/>
      <c r="C23" s="1717" t="s">
        <v>2052</v>
      </c>
      <c r="D23" s="554" t="s">
        <v>3</v>
      </c>
      <c r="E23" s="1169" t="b">
        <f t="shared" si="0"/>
        <v>0</v>
      </c>
      <c r="F23" s="1158"/>
      <c r="G23" s="1159"/>
      <c r="H23" s="1157"/>
      <c r="I23" s="3433"/>
      <c r="J23" s="900"/>
      <c r="K23" s="900"/>
      <c r="L23" s="3433"/>
      <c r="M23" s="3460"/>
      <c r="N23" s="4415"/>
      <c r="O23" s="4642" t="b">
        <f t="shared" si="1"/>
        <v>0</v>
      </c>
      <c r="P23" s="1218"/>
      <c r="Q23" s="1060" t="s">
        <v>3</v>
      </c>
      <c r="R23" s="1174" t="b">
        <f t="shared" si="2"/>
        <v>0</v>
      </c>
      <c r="S23" s="471"/>
      <c r="T23" s="471"/>
      <c r="U23" s="1218"/>
      <c r="V23" s="4415"/>
      <c r="W23" s="4639"/>
      <c r="X23" s="1431"/>
      <c r="Y23" s="1431"/>
      <c r="Z23" s="1432"/>
      <c r="AA23" s="6"/>
      <c r="AB23" s="6"/>
    </row>
    <row r="24" spans="1:28" s="26" customFormat="1" ht="29.5" thickBot="1" x14ac:dyDescent="0.35">
      <c r="A24" s="54"/>
      <c r="B24" s="1505"/>
      <c r="C24" s="1800" t="s">
        <v>2053</v>
      </c>
      <c r="D24" s="567" t="s">
        <v>3</v>
      </c>
      <c r="E24" s="1168" t="b">
        <f t="shared" si="0"/>
        <v>0</v>
      </c>
      <c r="F24" s="1161"/>
      <c r="G24" s="1162"/>
      <c r="H24" s="1160"/>
      <c r="I24" s="3448"/>
      <c r="J24" s="901"/>
      <c r="K24" s="901"/>
      <c r="L24" s="3448"/>
      <c r="M24" s="3480"/>
      <c r="N24" s="4416"/>
      <c r="O24" s="4641" t="b">
        <f t="shared" si="1"/>
        <v>0</v>
      </c>
      <c r="P24" s="1225"/>
      <c r="Q24" s="1017" t="s">
        <v>3</v>
      </c>
      <c r="R24" s="1173" t="b">
        <f t="shared" si="2"/>
        <v>0</v>
      </c>
      <c r="S24" s="1224"/>
      <c r="T24" s="1224"/>
      <c r="U24" s="1225"/>
      <c r="V24" s="4416"/>
      <c r="W24" s="4638"/>
      <c r="X24" s="1435"/>
      <c r="Y24" s="1435"/>
      <c r="Z24" s="1436"/>
      <c r="AA24" s="6"/>
      <c r="AB24" s="6"/>
    </row>
    <row r="25" spans="1:28" s="26" customFormat="1" ht="58.5" thickTop="1" x14ac:dyDescent="0.3">
      <c r="A25" s="54"/>
      <c r="B25" s="1495" t="s">
        <v>1916</v>
      </c>
      <c r="C25" s="1708" t="s">
        <v>2072</v>
      </c>
      <c r="D25" s="750" t="s">
        <v>3</v>
      </c>
      <c r="E25" s="1167" t="b">
        <f t="shared" si="0"/>
        <v>0</v>
      </c>
      <c r="F25" s="185"/>
      <c r="G25" s="137"/>
      <c r="H25" s="130"/>
      <c r="I25" s="3445"/>
      <c r="J25" s="619"/>
      <c r="K25" s="619"/>
      <c r="L25" s="3445"/>
      <c r="M25" s="3479"/>
      <c r="N25" s="4414" t="s">
        <v>3</v>
      </c>
      <c r="O25" s="4640" t="b">
        <f t="shared" si="1"/>
        <v>0</v>
      </c>
      <c r="P25" s="1211"/>
      <c r="Q25" s="1135" t="s">
        <v>3</v>
      </c>
      <c r="R25" s="1172" t="b">
        <f t="shared" si="2"/>
        <v>0</v>
      </c>
      <c r="S25" s="406"/>
      <c r="T25" s="406"/>
      <c r="U25" s="1211"/>
      <c r="V25" s="4414" t="s">
        <v>3</v>
      </c>
      <c r="W25" s="4637" t="b">
        <f>IF(OR(V25="Compliant",V25="FE with work-a-round",V25="Functionally Equivalent",V25="Not Required/Applicable"),TRUE,FALSE)</f>
        <v>0</v>
      </c>
      <c r="X25" s="1433"/>
      <c r="Y25" s="1433"/>
      <c r="Z25" s="1434"/>
      <c r="AA25" s="6"/>
      <c r="AB25" s="6"/>
    </row>
    <row r="26" spans="1:28" s="26" customFormat="1" ht="43.5" x14ac:dyDescent="0.3">
      <c r="A26" s="54"/>
      <c r="B26" s="1504"/>
      <c r="C26" s="1717" t="s">
        <v>2073</v>
      </c>
      <c r="D26" s="554" t="s">
        <v>3</v>
      </c>
      <c r="E26" s="1169" t="b">
        <f t="shared" si="0"/>
        <v>0</v>
      </c>
      <c r="F26" s="1158"/>
      <c r="G26" s="1159"/>
      <c r="H26" s="1157"/>
      <c r="I26" s="3433"/>
      <c r="J26" s="900"/>
      <c r="K26" s="900"/>
      <c r="L26" s="3433"/>
      <c r="M26" s="3460"/>
      <c r="N26" s="4415"/>
      <c r="O26" s="4642" t="b">
        <f t="shared" si="1"/>
        <v>0</v>
      </c>
      <c r="P26" s="1218"/>
      <c r="Q26" s="1060" t="s">
        <v>3</v>
      </c>
      <c r="R26" s="1174" t="b">
        <f t="shared" si="2"/>
        <v>0</v>
      </c>
      <c r="S26" s="471"/>
      <c r="T26" s="471"/>
      <c r="U26" s="1218"/>
      <c r="V26" s="4415"/>
      <c r="W26" s="4639"/>
      <c r="X26" s="1431"/>
      <c r="Y26" s="1431"/>
      <c r="Z26" s="1432"/>
      <c r="AA26" s="6"/>
      <c r="AB26" s="6"/>
    </row>
    <row r="27" spans="1:28" s="26" customFormat="1" ht="58.5" thickBot="1" x14ac:dyDescent="0.35">
      <c r="A27" s="54"/>
      <c r="B27" s="1505"/>
      <c r="C27" s="1800" t="s">
        <v>2074</v>
      </c>
      <c r="D27" s="567" t="s">
        <v>3</v>
      </c>
      <c r="E27" s="1168" t="b">
        <f t="shared" si="0"/>
        <v>0</v>
      </c>
      <c r="F27" s="1161"/>
      <c r="G27" s="1162"/>
      <c r="H27" s="1160"/>
      <c r="I27" s="3448"/>
      <c r="J27" s="901"/>
      <c r="K27" s="901"/>
      <c r="L27" s="3448"/>
      <c r="M27" s="3480"/>
      <c r="N27" s="4416"/>
      <c r="O27" s="4641" t="b">
        <f t="shared" si="1"/>
        <v>0</v>
      </c>
      <c r="P27" s="1225"/>
      <c r="Q27" s="1017" t="s">
        <v>3</v>
      </c>
      <c r="R27" s="1173" t="b">
        <f t="shared" si="2"/>
        <v>0</v>
      </c>
      <c r="S27" s="1224"/>
      <c r="T27" s="1224"/>
      <c r="U27" s="1225"/>
      <c r="V27" s="4416"/>
      <c r="W27" s="4638"/>
      <c r="X27" s="1435"/>
      <c r="Y27" s="1435"/>
      <c r="Z27" s="1436"/>
      <c r="AA27" s="6"/>
      <c r="AB27" s="6"/>
    </row>
    <row r="28" spans="1:28" s="26" customFormat="1" ht="30" thickTop="1" thickBot="1" x14ac:dyDescent="0.35">
      <c r="A28" s="54"/>
      <c r="B28" s="1808" t="s">
        <v>1928</v>
      </c>
      <c r="C28" s="1809" t="s">
        <v>1917</v>
      </c>
      <c r="D28" s="580" t="s">
        <v>3</v>
      </c>
      <c r="E28" s="1166" t="b">
        <f t="shared" si="0"/>
        <v>0</v>
      </c>
      <c r="F28" s="1154"/>
      <c r="G28" s="1163"/>
      <c r="H28" s="1153"/>
      <c r="I28" s="3441"/>
      <c r="J28" s="747"/>
      <c r="K28" s="747"/>
      <c r="L28" s="3441"/>
      <c r="M28" s="3481"/>
      <c r="N28" s="848" t="s">
        <v>3</v>
      </c>
      <c r="O28" s="1170" t="b">
        <f t="shared" si="1"/>
        <v>0</v>
      </c>
      <c r="P28" s="2633"/>
      <c r="Q28" s="1188" t="s">
        <v>3</v>
      </c>
      <c r="R28" s="1175" t="b">
        <f t="shared" si="2"/>
        <v>0</v>
      </c>
      <c r="S28" s="821"/>
      <c r="T28" s="821"/>
      <c r="U28" s="2633"/>
      <c r="V28" s="925" t="s">
        <v>3</v>
      </c>
      <c r="W28" s="2426" t="b">
        <f>IF(OR(V28="Compliant",V28="FE with work-a-round",V28="Functionally Equivalent",V28="Not Required/Applicable"),TRUE,FALSE)</f>
        <v>0</v>
      </c>
      <c r="X28" s="1416"/>
      <c r="Y28" s="1416"/>
      <c r="Z28" s="1417"/>
      <c r="AA28" s="6"/>
      <c r="AB28" s="6"/>
    </row>
    <row r="29" spans="1:28" s="26" customFormat="1" ht="44.5" thickTop="1" thickBot="1" x14ac:dyDescent="0.35">
      <c r="A29" s="54"/>
      <c r="B29" s="1808" t="s">
        <v>1918</v>
      </c>
      <c r="C29" s="1809" t="s">
        <v>1919</v>
      </c>
      <c r="D29" s="580" t="s">
        <v>3</v>
      </c>
      <c r="E29" s="1166" t="b">
        <f t="shared" si="0"/>
        <v>0</v>
      </c>
      <c r="F29" s="1154"/>
      <c r="G29" s="1163"/>
      <c r="H29" s="1153"/>
      <c r="I29" s="3441"/>
      <c r="J29" s="747"/>
      <c r="K29" s="747"/>
      <c r="L29" s="3441"/>
      <c r="M29" s="3481"/>
      <c r="N29" s="848" t="s">
        <v>3</v>
      </c>
      <c r="O29" s="1170" t="b">
        <f t="shared" si="1"/>
        <v>0</v>
      </c>
      <c r="P29" s="2633"/>
      <c r="Q29" s="1188" t="s">
        <v>3</v>
      </c>
      <c r="R29" s="1175" t="b">
        <f t="shared" si="2"/>
        <v>0</v>
      </c>
      <c r="S29" s="821"/>
      <c r="T29" s="821"/>
      <c r="U29" s="2633"/>
      <c r="V29" s="925" t="s">
        <v>3</v>
      </c>
      <c r="W29" s="2426" t="b">
        <f>IF(OR(V29="Compliant",V29="FE with work-a-round",V29="Functionally Equivalent",V29="Not Required/Applicable"),TRUE,FALSE)</f>
        <v>0</v>
      </c>
      <c r="X29" s="1416"/>
      <c r="Y29" s="1416"/>
      <c r="Z29" s="1417"/>
      <c r="AA29" s="6"/>
      <c r="AB29" s="6"/>
    </row>
    <row r="30" spans="1:28" s="26" customFormat="1" ht="73.5" thickTop="1" thickBot="1" x14ac:dyDescent="0.35">
      <c r="A30" s="54"/>
      <c r="B30" s="1808" t="s">
        <v>1920</v>
      </c>
      <c r="C30" s="1809" t="s">
        <v>1926</v>
      </c>
      <c r="D30" s="580" t="s">
        <v>3</v>
      </c>
      <c r="E30" s="1166" t="b">
        <f t="shared" si="0"/>
        <v>0</v>
      </c>
      <c r="F30" s="1154"/>
      <c r="G30" s="1163"/>
      <c r="H30" s="1153"/>
      <c r="I30" s="3441"/>
      <c r="J30" s="747"/>
      <c r="K30" s="747"/>
      <c r="L30" s="3441"/>
      <c r="M30" s="3481"/>
      <c r="N30" s="848" t="s">
        <v>3</v>
      </c>
      <c r="O30" s="1170" t="b">
        <f t="shared" si="1"/>
        <v>0</v>
      </c>
      <c r="P30" s="2633"/>
      <c r="Q30" s="1188" t="s">
        <v>3</v>
      </c>
      <c r="R30" s="1175" t="b">
        <f t="shared" si="2"/>
        <v>0</v>
      </c>
      <c r="S30" s="821"/>
      <c r="T30" s="821"/>
      <c r="U30" s="2633"/>
      <c r="V30" s="925" t="s">
        <v>3</v>
      </c>
      <c r="W30" s="2426" t="b">
        <f>IF(OR(V30="Compliant",V30="FE with work-a-round",V30="Functionally Equivalent",V30="Not Required/Applicable"),TRUE,FALSE)</f>
        <v>0</v>
      </c>
      <c r="X30" s="1416"/>
      <c r="Y30" s="1416"/>
      <c r="Z30" s="1417"/>
      <c r="AA30" s="6"/>
      <c r="AB30" s="6"/>
    </row>
    <row r="31" spans="1:28" s="26" customFormat="1" ht="58.5" thickTop="1" x14ac:dyDescent="0.3">
      <c r="A31" s="54"/>
      <c r="B31" s="1495" t="s">
        <v>1921</v>
      </c>
      <c r="C31" s="1708" t="s">
        <v>1925</v>
      </c>
      <c r="D31" s="750" t="s">
        <v>3</v>
      </c>
      <c r="E31" s="1167" t="b">
        <f t="shared" si="0"/>
        <v>0</v>
      </c>
      <c r="F31" s="185"/>
      <c r="G31" s="137"/>
      <c r="H31" s="130"/>
      <c r="I31" s="3445"/>
      <c r="J31" s="619"/>
      <c r="K31" s="619"/>
      <c r="L31" s="3445"/>
      <c r="M31" s="3479"/>
      <c r="N31" s="4414" t="s">
        <v>3</v>
      </c>
      <c r="O31" s="4640" t="b">
        <f t="shared" si="1"/>
        <v>0</v>
      </c>
      <c r="P31" s="1211"/>
      <c r="Q31" s="1135" t="s">
        <v>3</v>
      </c>
      <c r="R31" s="1172" t="b">
        <f t="shared" si="2"/>
        <v>0</v>
      </c>
      <c r="S31" s="406"/>
      <c r="T31" s="406"/>
      <c r="U31" s="1211"/>
      <c r="V31" s="4414" t="s">
        <v>3</v>
      </c>
      <c r="W31" s="4637" t="b">
        <f>IF(OR(V31="Compliant",V31="FE with work-a-round",V31="Functionally Equivalent",V31="Not Required/Applicable"),TRUE,FALSE)</f>
        <v>0</v>
      </c>
      <c r="X31" s="1433"/>
      <c r="Y31" s="1433"/>
      <c r="Z31" s="1434"/>
      <c r="AA31" s="6"/>
      <c r="AB31" s="6"/>
    </row>
    <row r="32" spans="1:28" s="26" customFormat="1" ht="44" thickBot="1" x14ac:dyDescent="0.35">
      <c r="A32" s="54"/>
      <c r="B32" s="1505"/>
      <c r="C32" s="1800" t="s">
        <v>1924</v>
      </c>
      <c r="D32" s="567" t="s">
        <v>3</v>
      </c>
      <c r="E32" s="1168" t="b">
        <f t="shared" si="0"/>
        <v>0</v>
      </c>
      <c r="F32" s="1161"/>
      <c r="G32" s="1162"/>
      <c r="H32" s="1160"/>
      <c r="I32" s="3448"/>
      <c r="J32" s="901"/>
      <c r="K32" s="901"/>
      <c r="L32" s="3448"/>
      <c r="M32" s="3480"/>
      <c r="N32" s="4416"/>
      <c r="O32" s="4641" t="b">
        <f t="shared" si="1"/>
        <v>0</v>
      </c>
      <c r="P32" s="1225"/>
      <c r="Q32" s="1017" t="s">
        <v>3</v>
      </c>
      <c r="R32" s="1173" t="b">
        <f t="shared" si="2"/>
        <v>0</v>
      </c>
      <c r="S32" s="1224"/>
      <c r="T32" s="1224"/>
      <c r="U32" s="1225"/>
      <c r="V32" s="4416"/>
      <c r="W32" s="4638"/>
      <c r="X32" s="1435"/>
      <c r="Y32" s="1435"/>
      <c r="Z32" s="1436"/>
      <c r="AA32" s="6"/>
      <c r="AB32" s="6"/>
    </row>
    <row r="33" spans="1:28" s="26" customFormat="1" ht="44.5" thickTop="1" thickBot="1" x14ac:dyDescent="0.35">
      <c r="A33" s="54"/>
      <c r="B33" s="1808" t="s">
        <v>1000</v>
      </c>
      <c r="C33" s="1809" t="s">
        <v>1923</v>
      </c>
      <c r="D33" s="580" t="s">
        <v>3</v>
      </c>
      <c r="E33" s="1166" t="b">
        <f t="shared" si="0"/>
        <v>0</v>
      </c>
      <c r="F33" s="1154"/>
      <c r="G33" s="1163"/>
      <c r="H33" s="1153"/>
      <c r="I33" s="3441"/>
      <c r="J33" s="747"/>
      <c r="K33" s="747"/>
      <c r="L33" s="3441"/>
      <c r="M33" s="3481"/>
      <c r="N33" s="848" t="s">
        <v>3</v>
      </c>
      <c r="O33" s="1170" t="b">
        <f t="shared" si="1"/>
        <v>0</v>
      </c>
      <c r="P33" s="2633"/>
      <c r="Q33" s="1188" t="s">
        <v>3</v>
      </c>
      <c r="R33" s="1175" t="b">
        <f t="shared" si="2"/>
        <v>0</v>
      </c>
      <c r="S33" s="821"/>
      <c r="T33" s="821"/>
      <c r="U33" s="2633"/>
      <c r="V33" s="925" t="s">
        <v>3</v>
      </c>
      <c r="W33" s="2426" t="b">
        <f>IF(OR(V33="Compliant",V33="FE with work-a-round",V33="Functionally Equivalent",V33="Not Required/Applicable"),TRUE,FALSE)</f>
        <v>0</v>
      </c>
      <c r="X33" s="1416"/>
      <c r="Y33" s="1416"/>
      <c r="Z33" s="1417"/>
      <c r="AA33" s="6"/>
      <c r="AB33" s="6"/>
    </row>
    <row r="34" spans="1:28" s="26" customFormat="1" ht="44.5" thickTop="1" thickBot="1" x14ac:dyDescent="0.35">
      <c r="A34" s="54"/>
      <c r="B34" s="1808" t="s">
        <v>1922</v>
      </c>
      <c r="C34" s="1809" t="s">
        <v>2076</v>
      </c>
      <c r="D34" s="580" t="s">
        <v>3</v>
      </c>
      <c r="E34" s="1166" t="b">
        <f t="shared" si="0"/>
        <v>0</v>
      </c>
      <c r="F34" s="1154"/>
      <c r="G34" s="1163"/>
      <c r="H34" s="1153"/>
      <c r="I34" s="3441"/>
      <c r="J34" s="747"/>
      <c r="K34" s="747"/>
      <c r="L34" s="3441"/>
      <c r="M34" s="3481"/>
      <c r="N34" s="848" t="s">
        <v>3</v>
      </c>
      <c r="O34" s="1170" t="b">
        <f t="shared" si="1"/>
        <v>0</v>
      </c>
      <c r="P34" s="2633"/>
      <c r="Q34" s="1188" t="s">
        <v>3</v>
      </c>
      <c r="R34" s="1175" t="b">
        <f t="shared" si="2"/>
        <v>0</v>
      </c>
      <c r="S34" s="821"/>
      <c r="T34" s="821"/>
      <c r="U34" s="2633"/>
      <c r="V34" s="925" t="s">
        <v>3</v>
      </c>
      <c r="W34" s="2426" t="b">
        <f>IF(OR(V34="Compliant",V34="FE with work-a-round",V34="Functionally Equivalent",V34="Not Required/Applicable"),TRUE,FALSE)</f>
        <v>0</v>
      </c>
      <c r="X34" s="1416"/>
      <c r="Y34" s="1416"/>
      <c r="Z34" s="1417"/>
      <c r="AA34" s="6"/>
      <c r="AB34" s="6"/>
    </row>
    <row r="35" spans="1:28" s="4159" customFormat="1" ht="15" thickTop="1" x14ac:dyDescent="0.3">
      <c r="A35" s="3861"/>
      <c r="B35" s="4158"/>
      <c r="C35" s="3635"/>
      <c r="D35" s="3861"/>
      <c r="E35" s="3861"/>
      <c r="F35" s="3861"/>
      <c r="G35" s="4142"/>
      <c r="H35" s="3861"/>
      <c r="I35" s="4139"/>
      <c r="J35" s="3862"/>
      <c r="K35" s="3862"/>
      <c r="L35" s="4139"/>
      <c r="M35" s="3634"/>
      <c r="N35" s="3694"/>
      <c r="O35" s="3644"/>
      <c r="P35" s="4141"/>
      <c r="Q35" s="4141"/>
      <c r="R35" s="4141"/>
      <c r="S35" s="4141"/>
      <c r="T35" s="4141"/>
      <c r="U35" s="4141"/>
      <c r="V35" s="3694"/>
      <c r="W35" s="3694"/>
      <c r="X35" s="3660"/>
      <c r="Y35" s="3660"/>
      <c r="Z35" s="3660"/>
      <c r="AA35" s="4145"/>
      <c r="AB35" s="4145"/>
    </row>
    <row r="36" spans="1:28" s="3634" customFormat="1" ht="18" customHeight="1" x14ac:dyDescent="0.3">
      <c r="A36" s="4143" t="s">
        <v>2066</v>
      </c>
      <c r="B36" s="4466" t="s">
        <v>2065</v>
      </c>
      <c r="C36" s="4467"/>
      <c r="D36" s="3854"/>
      <c r="E36" s="3854"/>
      <c r="F36" s="3854"/>
      <c r="G36" s="4160"/>
      <c r="H36" s="4161"/>
      <c r="I36" s="3811"/>
      <c r="J36" s="3805"/>
      <c r="K36" s="3805"/>
      <c r="L36" s="3805"/>
      <c r="M36" s="3805"/>
      <c r="N36" s="3855"/>
      <c r="O36" s="4162"/>
      <c r="P36" s="3805"/>
      <c r="Q36" s="3805"/>
      <c r="R36" s="4163"/>
      <c r="S36" s="3805"/>
      <c r="T36" s="3805"/>
      <c r="U36" s="3805"/>
      <c r="V36" s="4164"/>
      <c r="W36" s="3782"/>
      <c r="X36" s="3805"/>
      <c r="Y36" s="3805"/>
      <c r="Z36" s="3805"/>
    </row>
    <row r="37" spans="1:28" s="3694" customFormat="1" x14ac:dyDescent="0.3">
      <c r="A37" s="3640" t="s">
        <v>2067</v>
      </c>
      <c r="O37" s="3644"/>
    </row>
    <row r="38" spans="1:28" s="3694" customFormat="1" ht="15" thickBot="1" x14ac:dyDescent="0.35">
      <c r="D38" s="3734"/>
      <c r="E38" s="3734"/>
      <c r="F38" s="3734"/>
      <c r="G38" s="3734"/>
      <c r="H38" s="3734"/>
      <c r="I38" s="3734"/>
      <c r="J38" s="3734"/>
      <c r="K38" s="3734"/>
      <c r="L38" s="3734"/>
      <c r="M38" s="3734"/>
      <c r="N38" s="3734"/>
      <c r="O38" s="3697"/>
      <c r="P38" s="3734"/>
      <c r="Q38" s="3734"/>
      <c r="S38" s="3734"/>
    </row>
    <row r="39" spans="1:28" s="1384" customFormat="1" ht="29.5" thickTop="1" x14ac:dyDescent="0.3">
      <c r="B39" s="1945" t="s">
        <v>2068</v>
      </c>
      <c r="C39" s="1685" t="s">
        <v>2060</v>
      </c>
      <c r="I39" s="2617"/>
      <c r="L39" s="2618"/>
      <c r="N39" s="2617"/>
      <c r="O39" s="2619"/>
      <c r="P39" s="2618"/>
      <c r="S39" s="2617"/>
      <c r="T39" s="2618"/>
      <c r="U39" s="2620"/>
      <c r="V39" s="2618"/>
      <c r="W39" s="2620"/>
      <c r="X39" s="2618"/>
      <c r="Y39" s="2621"/>
      <c r="Z39" s="2618"/>
    </row>
    <row r="40" spans="1:28" s="1384" customFormat="1" ht="43.5" x14ac:dyDescent="0.3">
      <c r="B40" s="1869"/>
      <c r="C40" s="1686" t="s">
        <v>2061</v>
      </c>
      <c r="I40" s="2622"/>
      <c r="L40" s="2623"/>
      <c r="N40" s="2622"/>
      <c r="O40" s="2624"/>
      <c r="P40" s="2623"/>
      <c r="S40" s="2622"/>
      <c r="T40" s="2623"/>
      <c r="V40" s="2623"/>
      <c r="X40" s="2623"/>
      <c r="Y40" s="2625"/>
      <c r="Z40" s="2623"/>
    </row>
    <row r="41" spans="1:28" s="1384" customFormat="1" ht="43.5" x14ac:dyDescent="0.3">
      <c r="B41" s="1869"/>
      <c r="C41" s="2036" t="s">
        <v>2062</v>
      </c>
      <c r="I41" s="2622"/>
      <c r="L41" s="2623"/>
      <c r="N41" s="2622"/>
      <c r="O41" s="2624"/>
      <c r="P41" s="2623"/>
      <c r="S41" s="2622"/>
      <c r="T41" s="2623"/>
      <c r="V41" s="2623"/>
      <c r="X41" s="2623"/>
      <c r="Y41" s="2625"/>
      <c r="Z41" s="2623"/>
    </row>
    <row r="42" spans="1:28" s="1384" customFormat="1" ht="44" thickBot="1" x14ac:dyDescent="0.35">
      <c r="B42" s="1869"/>
      <c r="C42" s="1721" t="s">
        <v>2063</v>
      </c>
      <c r="D42" s="2622"/>
      <c r="I42" s="2622"/>
      <c r="L42" s="2623"/>
      <c r="N42" s="2623"/>
      <c r="O42" s="2626"/>
      <c r="P42" s="2625"/>
      <c r="S42" s="2622"/>
      <c r="T42" s="2623"/>
      <c r="V42" s="2623"/>
      <c r="X42" s="2623"/>
      <c r="Y42" s="2625"/>
      <c r="Z42" s="2623"/>
    </row>
    <row r="43" spans="1:28" s="1384" customFormat="1" ht="131.5" thickTop="1" thickBot="1" x14ac:dyDescent="0.35">
      <c r="B43" s="2632"/>
      <c r="C43" s="1687" t="s">
        <v>2064</v>
      </c>
      <c r="D43" s="2627"/>
      <c r="E43" s="2628"/>
      <c r="F43" s="2628"/>
      <c r="G43" s="2628"/>
      <c r="H43" s="2628"/>
      <c r="I43" s="2627"/>
      <c r="J43" s="2628"/>
      <c r="K43" s="2628"/>
      <c r="L43" s="2629"/>
      <c r="M43" s="2629"/>
      <c r="N43" s="2629"/>
      <c r="O43" s="2630"/>
      <c r="P43" s="2631"/>
      <c r="Q43" s="1415"/>
      <c r="R43" s="2628"/>
      <c r="S43" s="2629"/>
      <c r="T43" s="2629"/>
      <c r="U43" s="1415"/>
      <c r="V43" s="2629"/>
      <c r="W43" s="1415"/>
      <c r="X43" s="2629"/>
      <c r="Y43" s="2631"/>
      <c r="Z43" s="2629"/>
    </row>
    <row r="44" spans="1:28" ht="15" thickTop="1" x14ac:dyDescent="0.3">
      <c r="B44" s="2127"/>
    </row>
    <row r="45" spans="1:28" ht="18.5" x14ac:dyDescent="0.3">
      <c r="B45" s="4412" t="s">
        <v>2069</v>
      </c>
      <c r="C45" s="4413"/>
    </row>
    <row r="46" spans="1:28" ht="15" thickBot="1" x14ac:dyDescent="0.35"/>
    <row r="47" spans="1:28" ht="88" thickTop="1" thickBot="1" x14ac:dyDescent="0.35">
      <c r="B47" s="199" t="s">
        <v>2070</v>
      </c>
    </row>
    <row r="48" spans="1:28" ht="88" thickTop="1" thickBot="1" x14ac:dyDescent="0.35">
      <c r="B48" s="199" t="s">
        <v>2071</v>
      </c>
    </row>
    <row r="49" spans="2:3" ht="102" thickTop="1" x14ac:dyDescent="0.3">
      <c r="B49" s="199" t="s">
        <v>2075</v>
      </c>
    </row>
    <row r="52" spans="2:3" ht="18.5" x14ac:dyDescent="0.3">
      <c r="B52" s="4412" t="s">
        <v>2041</v>
      </c>
      <c r="C52" s="4413"/>
    </row>
  </sheetData>
  <sheetProtection algorithmName="SHA-512" hashValue="Kz5aRJcFm0XHZ9/KydaXpD9eXOEaK0ZU2lGPvooLRbCdoGXt/c6AtT0dPlbB9mYTCSgO+6jQZLSxx0QzADe0Hg==" saltValue="9TsaevFIb4PVSs+TrRnPFw==" spinCount="100000" sheet="1" formatCells="0" insertHyperlinks="0" selectLockedCells="1" autoFilter="0"/>
  <mergeCells count="30">
    <mergeCell ref="B2:D2"/>
    <mergeCell ref="N16:N21"/>
    <mergeCell ref="N22:N24"/>
    <mergeCell ref="N25:N27"/>
    <mergeCell ref="B1:D1"/>
    <mergeCell ref="B3:D3"/>
    <mergeCell ref="A4:D4"/>
    <mergeCell ref="A6:C6"/>
    <mergeCell ref="A10:C10"/>
    <mergeCell ref="D10:N10"/>
    <mergeCell ref="W14:W15"/>
    <mergeCell ref="N31:N32"/>
    <mergeCell ref="V14:V15"/>
    <mergeCell ref="V16:V21"/>
    <mergeCell ref="V22:V24"/>
    <mergeCell ref="V25:V27"/>
    <mergeCell ref="V31:V32"/>
    <mergeCell ref="O31:O32"/>
    <mergeCell ref="O25:O27"/>
    <mergeCell ref="O22:O24"/>
    <mergeCell ref="O16:O21"/>
    <mergeCell ref="O14:O15"/>
    <mergeCell ref="N14:N15"/>
    <mergeCell ref="B52:C52"/>
    <mergeCell ref="W31:W32"/>
    <mergeCell ref="W25:W27"/>
    <mergeCell ref="W22:W24"/>
    <mergeCell ref="W16:W21"/>
    <mergeCell ref="B36:C36"/>
    <mergeCell ref="B45:C45"/>
  </mergeCells>
  <conditionalFormatting sqref="P9">
    <cfRule type="beginsWith" dxfId="5131" priority="278" operator="beginsWith" text="Likely">
      <formula>LEFT(P9,LEN("Likely"))="Likely"</formula>
    </cfRule>
    <cfRule type="beginsWith" dxfId="5130" priority="279" operator="beginsWith" text="Not Applicable">
      <formula>LEFT(P9,LEN("Not Applicable"))="Not Applicable"</formula>
    </cfRule>
    <cfRule type="beginsWith" dxfId="5129" priority="280" operator="beginsWith" text="Applicable">
      <formula>LEFT(P9,LEN("Applicable"))="Applicable"</formula>
    </cfRule>
    <cfRule type="beginsWith" dxfId="5128" priority="281" operator="beginsWith" text="Partly">
      <formula>LEFT(P9,LEN("Partly"))="Partly"</formula>
    </cfRule>
    <cfRule type="beginsWith" dxfId="5127" priority="282" operator="beginsWith" text="Missing">
      <formula>LEFT(P9,LEN("Missing"))="Missing"</formula>
    </cfRule>
    <cfRule type="beginsWith" dxfId="5126" priority="283" operator="beginsWith" text="Not">
      <formula>LEFT(P9,LEN("Not"))="Not"</formula>
    </cfRule>
    <cfRule type="beginsWith" dxfId="5125" priority="284" operator="beginsWith" text="Compliant">
      <formula>LEFT(P9,LEN("Compliant"))="Compliant"</formula>
    </cfRule>
    <cfRule type="containsText" dxfId="5124" priority="285" operator="containsText" text="Equivalent">
      <formula>NOT(ISERROR(SEARCH("Equivalent",P9)))</formula>
    </cfRule>
  </conditionalFormatting>
  <conditionalFormatting sqref="B9 D9:F9">
    <cfRule type="expression" dxfId="5123" priority="259">
      <formula>IF($E9,TRUE)</formula>
    </cfRule>
  </conditionalFormatting>
  <conditionalFormatting sqref="F9 B9">
    <cfRule type="expression" dxfId="5122" priority="286">
      <formula>IF(AND($E9=FALSE,$N9="Not Applicable"),TRUE,FALSE)</formula>
    </cfRule>
    <cfRule type="expression" dxfId="5121" priority="287">
      <formula>IF(AND($E9,TRUE,$N9="Not Applicable"),TRUE,FALSE)</formula>
    </cfRule>
    <cfRule type="expression" dxfId="5120" priority="288">
      <formula>IF($E9=TRUE,TRUE,FALSE)</formula>
    </cfRule>
    <cfRule type="expression" dxfId="5119" priority="289">
      <formula>IF(AND($E9=FALSE,$N9&lt;&gt;""),TRUE,FALSE)</formula>
    </cfRule>
  </conditionalFormatting>
  <conditionalFormatting sqref="N9:O9">
    <cfRule type="expression" dxfId="5118" priority="290">
      <formula>IF(AND($E9=FALSE,$N9="Not Applicable"),TRUE,FALSE)</formula>
    </cfRule>
    <cfRule type="expression" dxfId="5117" priority="291">
      <formula>IF(AND($E9=TRUE,$L9="",$N9="Applicable"),TRUE,FALSE)</formula>
    </cfRule>
    <cfRule type="expression" dxfId="5116" priority="292">
      <formula>IF(AND($E9=TRUE,$L9&lt;&gt;"",$N9="Applicable"),TRUE,FALSE)</formula>
    </cfRule>
    <cfRule type="expression" dxfId="5115" priority="293">
      <formula>IF(AND($E9=FALSE,$N9&lt;&gt;""),TRUE,FALSE)</formula>
    </cfRule>
    <cfRule type="expression" dxfId="5114" priority="294">
      <formula>IF(AND($L9&lt;&gt;"",$N9&lt;&gt;""),TRUE,FALSE)</formula>
    </cfRule>
  </conditionalFormatting>
  <conditionalFormatting sqref="N35:O35">
    <cfRule type="expression" dxfId="5113" priority="254">
      <formula>IF(AND(#REF!&gt;1,$N35&lt;&gt;""),TRUE,FALSE)</formula>
    </cfRule>
    <cfRule type="expression" dxfId="5112" priority="255">
      <formula>IF(AND(#REF!=0,$N35&lt;&gt;""),TRUE,FALSE)</formula>
    </cfRule>
    <cfRule type="expression" dxfId="5111" priority="256">
      <formula>IF(AND($E35=TRUE,#REF!=1,$N35="Compliant"),TRUE,FALSE)</formula>
    </cfRule>
    <cfRule type="expression" dxfId="5110" priority="257">
      <formula>IF(AND($E35=FALSE,$N35&lt;&gt;""),TRUE,FALSE)</formula>
    </cfRule>
  </conditionalFormatting>
  <conditionalFormatting sqref="D35 B35">
    <cfRule type="expression" dxfId="5109" priority="253">
      <formula>IF($E35=TRUE,TRUE,FALSE)</formula>
    </cfRule>
  </conditionalFormatting>
  <conditionalFormatting sqref="B8">
    <cfRule type="expression" dxfId="5108" priority="185">
      <formula>IF($E8=TRUE,TRUE,FALSE)</formula>
    </cfRule>
  </conditionalFormatting>
  <conditionalFormatting sqref="N13">
    <cfRule type="expression" dxfId="5107" priority="170">
      <formula>IF($N13="Compliant",TRUE)</formula>
    </cfRule>
    <cfRule type="expression" dxfId="5106" priority="171">
      <formula>IF($N13="FE with work-a-round",TRUE)</formula>
    </cfRule>
    <cfRule type="expression" dxfId="5105" priority="172">
      <formula>IF($N13="Functionally Equivalent",TRUE)</formula>
    </cfRule>
    <cfRule type="expression" dxfId="5104" priority="173">
      <formula>IF($N13="Likely to become compliant",TRUE)</formula>
    </cfRule>
    <cfRule type="expression" dxfId="5103" priority="174">
      <formula>IF($N13="Partly Compliant",TRUE)</formula>
    </cfRule>
    <cfRule type="expression" dxfId="5102" priority="175">
      <formula>IF($N13="Unknown/Missing",TRUE)</formula>
    </cfRule>
    <cfRule type="expression" dxfId="5101" priority="176">
      <formula>IF($N13="Not Required/Applicable",TRUE)</formula>
    </cfRule>
    <cfRule type="expression" dxfId="5100" priority="177">
      <formula>IF($N13="Not Compliant",TRUE)</formula>
    </cfRule>
    <cfRule type="expression" dxfId="5099" priority="178">
      <formula>IF($N13=" ",TRUE)</formula>
    </cfRule>
  </conditionalFormatting>
  <conditionalFormatting sqref="V13:W13">
    <cfRule type="expression" dxfId="5098" priority="161">
      <formula>IF(V13="Compliant",TRUE)</formula>
    </cfRule>
    <cfRule type="expression" dxfId="5097" priority="162">
      <formula>IF(V13="FE with work-a-round",TRUE)</formula>
    </cfRule>
    <cfRule type="expression" dxfId="5096" priority="163">
      <formula>IF(V13="Functionally Equivalent",TRUE)</formula>
    </cfRule>
    <cfRule type="expression" dxfId="5095" priority="164">
      <formula>IF(V13="Likely to become compliant",TRUE)</formula>
    </cfRule>
    <cfRule type="expression" dxfId="5094" priority="165">
      <formula>IF(V13="Partly Compliant",TRUE)</formula>
    </cfRule>
    <cfRule type="expression" dxfId="5093" priority="166">
      <formula>IF(V13="Unknown/Missing",TRUE)</formula>
    </cfRule>
    <cfRule type="expression" dxfId="5092" priority="167">
      <formula>IF(V13="Not Required/Applicable",TRUE)</formula>
    </cfRule>
    <cfRule type="expression" dxfId="5091" priority="168">
      <formula>IF(V13="Not Compliant",TRUE)</formula>
    </cfRule>
    <cfRule type="expression" dxfId="5090" priority="169">
      <formula>IF($N13=" ",TRUE)</formula>
    </cfRule>
  </conditionalFormatting>
  <conditionalFormatting sqref="Q13">
    <cfRule type="expression" dxfId="5089" priority="152">
      <formula>IF(Q13="Compliant",TRUE)</formula>
    </cfRule>
    <cfRule type="expression" dxfId="5088" priority="153">
      <formula>IF(Q13="FE with work-a-round",TRUE)</formula>
    </cfRule>
    <cfRule type="expression" dxfId="5087" priority="154">
      <formula>IF(Q13="Functionally Equivalent",TRUE)</formula>
    </cfRule>
    <cfRule type="expression" dxfId="5086" priority="155">
      <formula>IF(Q13="Likely to become compliant",TRUE)</formula>
    </cfRule>
    <cfRule type="expression" dxfId="5085" priority="156">
      <formula>IF(Q13="Partly Compliant",TRUE)</formula>
    </cfRule>
    <cfRule type="expression" dxfId="5084" priority="157">
      <formula>IF(Q13="Unknown/Missing",TRUE)</formula>
    </cfRule>
    <cfRule type="expression" dxfId="5083" priority="158">
      <formula>IF(Q13="Not Required/Applicable",TRUE)</formula>
    </cfRule>
    <cfRule type="expression" dxfId="5082" priority="159">
      <formula>IF(Q13="Not Compliant",TRUE)</formula>
    </cfRule>
    <cfRule type="expression" dxfId="5081" priority="160">
      <formula>IF($N13=" ",TRUE)</formula>
    </cfRule>
  </conditionalFormatting>
  <conditionalFormatting sqref="Q8 N8">
    <cfRule type="expression" dxfId="5080" priority="117">
      <formula>IF(O8=FALSE,TRUE,FALSE)</formula>
    </cfRule>
    <cfRule type="expression" dxfId="5079" priority="118">
      <formula>IF(O8=TRUE,TRUE,FALSE)</formula>
    </cfRule>
  </conditionalFormatting>
  <conditionalFormatting sqref="V8">
    <cfRule type="expression" dxfId="5078" priority="15335">
      <formula>IF(X8=FALSE,TRUE,FALSE)</formula>
    </cfRule>
    <cfRule type="expression" dxfId="5077" priority="15336">
      <formula>IF(X8=TRUE,TRUE,FALSE)</formula>
    </cfRule>
  </conditionalFormatting>
  <conditionalFormatting sqref="Q12">
    <cfRule type="expression" dxfId="5076" priority="94">
      <formula>IF(Q12="Compliant",TRUE)</formula>
    </cfRule>
    <cfRule type="expression" dxfId="5075" priority="95">
      <formula>IF(Q12="FE with work-a-round",TRUE)</formula>
    </cfRule>
    <cfRule type="expression" dxfId="5074" priority="96">
      <formula>IF(Q12="Functionally Equivalent",TRUE)</formula>
    </cfRule>
    <cfRule type="expression" dxfId="5073" priority="97">
      <formula>IF(Q12="Likely to become compliant",TRUE)</formula>
    </cfRule>
    <cfRule type="expression" dxfId="5072" priority="98">
      <formula>IF(Q12="Partly Compliant",TRUE)</formula>
    </cfRule>
    <cfRule type="expression" dxfId="5071" priority="99">
      <formula>IF(Q12="Unknown/Missing",TRUE)</formula>
    </cfRule>
    <cfRule type="expression" dxfId="5070" priority="100">
      <formula>IF(Q12="Not Required/Applicable",TRUE)</formula>
    </cfRule>
    <cfRule type="expression" dxfId="5069" priority="101">
      <formula>IF(Q12="Not Compliant",TRUE)</formula>
    </cfRule>
    <cfRule type="expression" dxfId="5068" priority="102">
      <formula>IF($N12=" ",TRUE)</formula>
    </cfRule>
  </conditionalFormatting>
  <conditionalFormatting sqref="Q14:Q34">
    <cfRule type="expression" dxfId="5067" priority="85">
      <formula>IF(Q14="Compliant",TRUE)</formula>
    </cfRule>
    <cfRule type="expression" dxfId="5066" priority="86">
      <formula>IF(Q14="FE with work-a-round",TRUE)</formula>
    </cfRule>
    <cfRule type="expression" dxfId="5065" priority="87">
      <formula>IF(Q14="Functionally Equivalent",TRUE)</formula>
    </cfRule>
    <cfRule type="expression" dxfId="5064" priority="88">
      <formula>IF(Q14="Likely to become compliant",TRUE)</formula>
    </cfRule>
    <cfRule type="expression" dxfId="5063" priority="89">
      <formula>IF(Q14="Partly Compliant",TRUE)</formula>
    </cfRule>
    <cfRule type="expression" dxfId="5062" priority="90">
      <formula>IF(Q14="Unknown/Missing",TRUE)</formula>
    </cfRule>
    <cfRule type="expression" dxfId="5061" priority="91">
      <formula>IF(Q14="Not Required/Applicable",TRUE)</formula>
    </cfRule>
    <cfRule type="expression" dxfId="5060" priority="92">
      <formula>IF(Q14="Not Compliant",TRUE)</formula>
    </cfRule>
    <cfRule type="expression" dxfId="5059" priority="93">
      <formula>IF($N14=" ",TRUE)</formula>
    </cfRule>
  </conditionalFormatting>
  <conditionalFormatting sqref="V12">
    <cfRule type="expression" dxfId="5058" priority="76">
      <formula>IF(V12="Compliant",TRUE)</formula>
    </cfRule>
    <cfRule type="expression" dxfId="5057" priority="77">
      <formula>IF(V12="FE with work-a-round",TRUE)</formula>
    </cfRule>
    <cfRule type="expression" dxfId="5056" priority="78">
      <formula>IF(V12="Functionally Equivalent",TRUE)</formula>
    </cfRule>
    <cfRule type="expression" dxfId="5055" priority="79">
      <formula>IF(V12="Likely to become compliant",TRUE)</formula>
    </cfRule>
    <cfRule type="expression" dxfId="5054" priority="80">
      <formula>IF(V12="Partly Compliant",TRUE)</formula>
    </cfRule>
    <cfRule type="expression" dxfId="5053" priority="81">
      <formula>IF(V12="Unknown/Missing",TRUE)</formula>
    </cfRule>
    <cfRule type="expression" dxfId="5052" priority="82">
      <formula>IF(V12="Not Required/Applicable",TRUE)</formula>
    </cfRule>
    <cfRule type="expression" dxfId="5051" priority="83">
      <formula>IF(V12="Not Compliant",TRUE)</formula>
    </cfRule>
    <cfRule type="expression" dxfId="5050" priority="84">
      <formula>IF($N12=" ",TRUE)</formula>
    </cfRule>
  </conditionalFormatting>
  <conditionalFormatting sqref="V14 V16 V22 V25 V28:V31 V33:V34">
    <cfRule type="expression" dxfId="5049" priority="67">
      <formula>IF(V14="Compliant",TRUE)</formula>
    </cfRule>
    <cfRule type="expression" dxfId="5048" priority="68">
      <formula>IF(V14="FE with work-a-round",TRUE)</formula>
    </cfRule>
    <cfRule type="expression" dxfId="5047" priority="69">
      <formula>IF(V14="Functionally Equivalent",TRUE)</formula>
    </cfRule>
    <cfRule type="expression" dxfId="5046" priority="70">
      <formula>IF(V14="Likely to become compliant",TRUE)</formula>
    </cfRule>
    <cfRule type="expression" dxfId="5045" priority="71">
      <formula>IF(V14="Partly Compliant",TRUE)</formula>
    </cfRule>
    <cfRule type="expression" dxfId="5044" priority="72">
      <formula>IF(V14="Unknown/Missing",TRUE)</formula>
    </cfRule>
    <cfRule type="expression" dxfId="5043" priority="73">
      <formula>IF(V14="Not Required/Applicable",TRUE)</formula>
    </cfRule>
    <cfRule type="expression" dxfId="5042" priority="74">
      <formula>IF(V14="Not Compliant",TRUE)</formula>
    </cfRule>
    <cfRule type="expression" dxfId="5041" priority="75">
      <formula>IF($N14=" ",TRUE)</formula>
    </cfRule>
  </conditionalFormatting>
  <conditionalFormatting sqref="N14">
    <cfRule type="expression" dxfId="5040" priority="58">
      <formula>IF($N14="Compliant",TRUE)</formula>
    </cfRule>
    <cfRule type="expression" dxfId="5039" priority="59">
      <formula>IF($N14="FE with work-a-round",TRUE)</formula>
    </cfRule>
    <cfRule type="expression" dxfId="5038" priority="60">
      <formula>IF($N14="Functionally Equivalent",TRUE)</formula>
    </cfRule>
    <cfRule type="expression" dxfId="5037" priority="61">
      <formula>IF($N14="Likely to become compliant",TRUE)</formula>
    </cfRule>
    <cfRule type="expression" dxfId="5036" priority="62">
      <formula>IF($N14="Partly Compliant",TRUE)</formula>
    </cfRule>
    <cfRule type="expression" dxfId="5035" priority="63">
      <formula>IF($N14="Unknown/Missing",TRUE)</formula>
    </cfRule>
    <cfRule type="expression" dxfId="5034" priority="64">
      <formula>IF($N14="Not Required/Applicable",TRUE)</formula>
    </cfRule>
    <cfRule type="expression" dxfId="5033" priority="65">
      <formula>IF($N14="Not Compliant",TRUE)</formula>
    </cfRule>
    <cfRule type="expression" dxfId="5032" priority="66">
      <formula>IF($N14=" ",TRUE)</formula>
    </cfRule>
  </conditionalFormatting>
  <conditionalFormatting sqref="N33:N34 N28:N31 N25 N22 N16">
    <cfRule type="expression" dxfId="5031" priority="49">
      <formula>IF($N16="Compliant",TRUE)</formula>
    </cfRule>
    <cfRule type="expression" dxfId="5030" priority="50">
      <formula>IF($N16="FE with work-a-round",TRUE)</formula>
    </cfRule>
    <cfRule type="expression" dxfId="5029" priority="51">
      <formula>IF($N16="Functionally Equivalent",TRUE)</formula>
    </cfRule>
    <cfRule type="expression" dxfId="5028" priority="52">
      <formula>IF($N16="Likely to become compliant",TRUE)</formula>
    </cfRule>
    <cfRule type="expression" dxfId="5027" priority="53">
      <formula>IF($N16="Partly Compliant",TRUE)</formula>
    </cfRule>
    <cfRule type="expression" dxfId="5026" priority="54">
      <formula>IF($N16="Unknown/Missing",TRUE)</formula>
    </cfRule>
    <cfRule type="expression" dxfId="5025" priority="55">
      <formula>IF($N16="Not Required/Applicable",TRUE)</formula>
    </cfRule>
    <cfRule type="expression" dxfId="5024" priority="56">
      <formula>IF($N16="Not Compliant",TRUE)</formula>
    </cfRule>
    <cfRule type="expression" dxfId="5023" priority="57">
      <formula>IF($N16=" ",TRUE)</formula>
    </cfRule>
  </conditionalFormatting>
  <conditionalFormatting sqref="D13:D34">
    <cfRule type="expression" dxfId="5022" priority="41">
      <formula>IF($D13="Compliant",TRUE)</formula>
    </cfRule>
    <cfRule type="expression" dxfId="5021" priority="42">
      <formula>IF($D13=" ",TRUE)</formula>
    </cfRule>
    <cfRule type="expression" dxfId="5020" priority="48">
      <formula>IF($D13="Not Compliant",TRUE)</formula>
    </cfRule>
  </conditionalFormatting>
  <conditionalFormatting sqref="B13:B34">
    <cfRule type="expression" dxfId="5019" priority="35">
      <formula>IF(AND($E13=FALSE,OR($I13&lt;&gt;"",$L13&lt;&gt;"")),TRUE,FALSE)</formula>
    </cfRule>
    <cfRule type="expression" dxfId="5018" priority="36">
      <formula>IF(AND($E13=TRUE,$I13&lt;&gt;"",$L13&lt;&gt;""),TRUE,FALSE)</formula>
    </cfRule>
    <cfRule type="expression" dxfId="5017" priority="37">
      <formula>IF(AND($E13=TRUE,OR($I13="",$L13="")),TRUE,FALSE)</formula>
    </cfRule>
  </conditionalFormatting>
  <conditionalFormatting sqref="B12">
    <cfRule type="expression" dxfId="5016" priority="24">
      <formula>IF(AND($E12=FALSE,OR($I12&lt;&gt;"",$L12&lt;&gt;"")),TRUE,FALSE)</formula>
    </cfRule>
    <cfRule type="expression" dxfId="5015" priority="25">
      <formula>IF(AND($E12=TRUE,$I12&lt;&gt;"",$L12&lt;&gt;""),TRUE,FALSE)</formula>
    </cfRule>
    <cfRule type="expression" dxfId="5014" priority="26">
      <formula>IF(AND($E12=TRUE,OR($I12="",$L12="")),TRUE,FALSE)</formula>
    </cfRule>
  </conditionalFormatting>
  <conditionalFormatting sqref="D12">
    <cfRule type="expression" dxfId="5013" priority="16">
      <formula>IF($D12="Compliant",TRUE)</formula>
    </cfRule>
    <cfRule type="expression" dxfId="5012" priority="17">
      <formula>IF($D12=" ",TRUE)</formula>
    </cfRule>
    <cfRule type="expression" dxfId="5011" priority="23">
      <formula>IF($D12="Not Compliant",TRUE)</formula>
    </cfRule>
  </conditionalFormatting>
  <conditionalFormatting sqref="N12">
    <cfRule type="expression" dxfId="5010" priority="7">
      <formula>IF($N12="Compliant",TRUE)</formula>
    </cfRule>
    <cfRule type="expression" dxfId="5009" priority="8">
      <formula>IF($N12="FE with work-a-round",TRUE)</formula>
    </cfRule>
    <cfRule type="expression" dxfId="5008" priority="9">
      <formula>IF($N12="Functionally Equivalent",TRUE)</formula>
    </cfRule>
    <cfRule type="expression" dxfId="5007" priority="10">
      <formula>IF($N12="Likely to become compliant",TRUE)</formula>
    </cfRule>
    <cfRule type="expression" dxfId="5006" priority="11">
      <formula>IF($N12="Partly Compliant",TRUE)</formula>
    </cfRule>
    <cfRule type="expression" dxfId="5005" priority="12">
      <formula>IF($N12="Unknown/Missing",TRUE)</formula>
    </cfRule>
    <cfRule type="expression" dxfId="5004" priority="13">
      <formula>IF($N12="Not Required/Applicable",TRUE)</formula>
    </cfRule>
    <cfRule type="expression" dxfId="5003" priority="14">
      <formula>IF($N12="Not Compliant",TRUE)</formula>
    </cfRule>
    <cfRule type="expression" dxfId="5002" priority="15">
      <formula>IF($N12=" ",TRUE)</formula>
    </cfRule>
  </conditionalFormatting>
  <conditionalFormatting sqref="D8">
    <cfRule type="expression" dxfId="5001" priority="5">
      <formula>IF(E8=FALSE,TRUE,FALSE)</formula>
    </cfRule>
    <cfRule type="expression" dxfId="5000" priority="6">
      <formula>IF(E8=TRUE,TRUE,FALSE)</formula>
    </cfRule>
  </conditionalFormatting>
  <conditionalFormatting sqref="B39:B43">
    <cfRule type="expression" dxfId="4999" priority="2">
      <formula>IF(AND($E39=FALSE,OR($I39&lt;&gt;"",$L39&lt;&gt;"")),TRUE,FALSE)</formula>
    </cfRule>
    <cfRule type="expression" dxfId="4998" priority="3">
      <formula>IF(AND($E39=TRUE,$I39&lt;&gt;"",$L39&lt;&gt;""),TRUE,FALSE)</formula>
    </cfRule>
    <cfRule type="expression" dxfId="4997" priority="4">
      <formula>IF(AND($E39=TRUE,OR($I39="",$L39="")),TRUE,FALSE)</formula>
    </cfRule>
  </conditionalFormatting>
  <dataValidations count="1">
    <dataValidation type="list" allowBlank="1" showInputMessage="1" showErrorMessage="1" sqref="N35:O35 N9">
      <formula1>Initial_Compliance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3" id="{05114AED-3FE5-4348-9A84-2466E68BD4E6}">
            <xm:f>ISNUMBER(SEARCH($D13,Dropdowns!$D$18))</xm:f>
            <x14:dxf>
              <fill>
                <patternFill>
                  <bgColor rgb="FFFFFF00"/>
                </patternFill>
              </fill>
            </x14:dxf>
          </x14:cfRule>
          <x14:cfRule type="expression" priority="44" id="{B8ED62FE-FE9D-4157-A7C1-DF02C6E499EF}">
            <xm:f>ISNUMBER(SEARCH($D13,Dropdowns!$D$19))</xm:f>
            <x14:dxf>
              <fill>
                <patternFill>
                  <bgColor theme="6" tint="0.39994506668294322"/>
                </patternFill>
              </fill>
            </x14:dxf>
          </x14:cfRule>
          <x14:cfRule type="expression" priority="45" id="{76060659-E539-47D7-9300-B51EB4C25576}">
            <xm:f>ISNUMBER(SEARCH($D13,Dropdowns!$D$20))</xm:f>
            <x14:dxf>
              <fill>
                <patternFill>
                  <bgColor theme="6" tint="0.39994506668294322"/>
                </patternFill>
              </fill>
            </x14:dxf>
          </x14:cfRule>
          <x14:cfRule type="expression" priority="46" id="{98843F53-7AB0-48E6-A23D-4C09A1F3A88C}">
            <xm:f>ISNUMBER(SEARCH($D13,Dropdowns!$D$21))</xm:f>
            <x14:dxf>
              <fill>
                <patternFill>
                  <bgColor rgb="FFFFFF00"/>
                </patternFill>
              </fill>
            </x14:dxf>
          </x14:cfRule>
          <x14:cfRule type="expression" priority="47" id="{BBDFD34D-860D-4B9D-BA58-3A8BA2E1BF76}">
            <xm:f>ISNUMBER(SEARCH($D13,Dropdowns!$D$23))</xm:f>
            <x14:dxf>
              <fill>
                <patternFill>
                  <bgColor rgb="FFFFFF00"/>
                </patternFill>
              </fill>
            </x14:dxf>
          </x14:cfRule>
          <xm:sqref>D13:D34</xm:sqref>
        </x14:conditionalFormatting>
        <x14:conditionalFormatting xmlns:xm="http://schemas.microsoft.com/office/excel/2006/main">
          <x14:cfRule type="expression" priority="18" id="{F6B447DB-756B-4DC7-AD54-F8DEB718B4D2}">
            <xm:f>ISNUMBER(SEARCH($D12,Dropdowns!$D$18))</xm:f>
            <x14:dxf>
              <fill>
                <patternFill>
                  <bgColor rgb="FFFFFF00"/>
                </patternFill>
              </fill>
            </x14:dxf>
          </x14:cfRule>
          <x14:cfRule type="expression" priority="19" id="{AED72809-E2B0-4C35-A121-37B80BAF95CB}">
            <xm:f>ISNUMBER(SEARCH($D12,Dropdowns!$D$19))</xm:f>
            <x14:dxf>
              <fill>
                <patternFill>
                  <bgColor theme="6" tint="0.39994506668294322"/>
                </patternFill>
              </fill>
            </x14:dxf>
          </x14:cfRule>
          <x14:cfRule type="expression" priority="20" id="{848DC25E-7824-4B6D-95DE-4E2971175998}">
            <xm:f>ISNUMBER(SEARCH($D12,Dropdowns!$D$20))</xm:f>
            <x14:dxf>
              <fill>
                <patternFill>
                  <bgColor theme="6" tint="0.39994506668294322"/>
                </patternFill>
              </fill>
            </x14:dxf>
          </x14:cfRule>
          <x14:cfRule type="expression" priority="21" id="{7BE1098D-3D68-47F2-A65E-C21495DB6ADE}">
            <xm:f>ISNUMBER(SEARCH($D12,Dropdowns!$D$21))</xm:f>
            <x14:dxf>
              <fill>
                <patternFill>
                  <bgColor rgb="FFFFFF00"/>
                </patternFill>
              </fill>
            </x14:dxf>
          </x14:cfRule>
          <x14:cfRule type="expression" priority="22" id="{6F14CEA5-77A2-44FC-A1EE-9374F9909537}">
            <xm:f>ISNUMBER(SEARCH($D12,Dropdowns!$D$23))</xm:f>
            <x14:dxf>
              <fill>
                <patternFill>
                  <bgColor rgb="FFFFFF00"/>
                </patternFill>
              </fill>
            </x14:dxf>
          </x14:cfRule>
          <xm:sqref>D12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Dropdowns!$G$11:$G$16</xm:f>
          </x14:formula1>
          <xm:sqref>V16:W16 V12:V14 V33:W35 V28:W31 V25:W25 V22:W22 W13:W14</xm:sqref>
        </x14:dataValidation>
        <x14:dataValidation type="list" allowBlank="1" showInputMessage="1" showErrorMessage="1">
          <x14:formula1>
            <xm:f>Dropdowns!$C$11:$C$13</xm:f>
          </x14:formula1>
          <xm:sqref>P9 X9</xm:sqref>
        </x14:dataValidation>
        <x14:dataValidation type="list" allowBlank="1" showInputMessage="1" showErrorMessage="1">
          <x14:formula1>
            <xm:f>Dropdowns!$D$16:$D$23</xm:f>
          </x14:formula1>
          <xm:sqref>Q12:Q34 D12:D34</xm:sqref>
        </x14:dataValidation>
        <x14:dataValidation type="list" allowBlank="1" showInputMessage="1" showErrorMessage="1">
          <x14:formula1>
            <xm:f>Dropdowns!$F$2:$F$8</xm:f>
          </x14:formula1>
          <xm:sqref>N12:N14 N16 N22 N25 N28:N31 N33:N34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Instructions for completion</vt:lpstr>
      <vt:lpstr>Form 1307 Application Page</vt:lpstr>
      <vt:lpstr>Compliance - RVSM</vt:lpstr>
      <vt:lpstr>Compliance RNAV-RNP 10</vt:lpstr>
      <vt:lpstr>Compliance - RNP 4</vt:lpstr>
      <vt:lpstr>Compliance - RNP AR</vt:lpstr>
      <vt:lpstr>Compliance - RNP 0.3</vt:lpstr>
      <vt:lpstr>Compliance - ARNP</vt:lpstr>
      <vt:lpstr>Compliance - NAT HLA</vt:lpstr>
      <vt:lpstr>Compliance - RNAV 5</vt:lpstr>
      <vt:lpstr>Compliance - RNAV 1 &amp; 2</vt:lpstr>
      <vt:lpstr>Compliance - RNP 2</vt:lpstr>
      <vt:lpstr>Compliance - RNP 1</vt:lpstr>
      <vt:lpstr>Compliance - RNP APCH</vt:lpstr>
      <vt:lpstr>Compliance - Baro VNAV</vt:lpstr>
      <vt:lpstr>Compliance - RF Legs</vt:lpstr>
      <vt:lpstr>Compliance - FRT</vt:lpstr>
      <vt:lpstr>Compliance - TOAC</vt:lpstr>
      <vt:lpstr>Compliance - Conventional Route</vt:lpstr>
      <vt:lpstr>Compliance - EFVS EFS</vt:lpstr>
      <vt:lpstr>LVTO - TBD</vt:lpstr>
      <vt:lpstr>LVOPS APCH - TBD</vt:lpstr>
      <vt:lpstr>AUTOLAND and ROLLOUT - TBD</vt:lpstr>
      <vt:lpstr>HUD HGS - TBD</vt:lpstr>
      <vt:lpstr>Dropdowns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hendo</dc:creator>
  <cp:lastModifiedBy>Jadhav, Khushi</cp:lastModifiedBy>
  <dcterms:created xsi:type="dcterms:W3CDTF">2021-02-09T06:33:51Z</dcterms:created>
  <dcterms:modified xsi:type="dcterms:W3CDTF">2025-09-02T23:03:18Z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BP23524250</vt:lpwstr>
  </property>
  <property fmtid="{D5CDD505-2E9C-101B-9397-08002B2CF9AE}" pid="4" name="Objective-Title">
    <vt:lpwstr>1307 - Application for Navigation Specification Approval</vt:lpwstr>
  </property>
  <property fmtid="{D5CDD505-2E9C-101B-9397-08002B2CF9AE}" pid="5" name="Objective-Comment">
    <vt:lpwstr>Baseline Form 1307 - needs code added for first page display</vt:lpwstr>
  </property>
  <property fmtid="{D5CDD505-2E9C-101B-9397-08002B2CF9AE}" pid="6" name="Objective-CreationStamp">
    <vt:filetime>2022-03-10T10:41:06Z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2022-04-05T22:53:05Z</vt:filetime>
  </property>
  <property fmtid="{D5CDD505-2E9C-101B-9397-08002B2CF9AE}" pid="11" name="Objective-Owner">
    <vt:lpwstr>Henderson, Simon Dr 2</vt:lpwstr>
  </property>
  <property fmtid="{D5CDD505-2E9C-101B-9397-08002B2CF9AE}" pid="12" name="Objective-Path">
    <vt:lpwstr>Objective Global Folder - PROD:Defence Business Units:Air Force:Air Force Headquarters:Deputy Chief of Air Force:Air Force Headquarters Agencies:DASA : Defence Aviation Safety Authority:Safety:Defence Aviation Safety - Assurance:DASA - DAVNOPS - ORA - Pol</vt:lpwstr>
  </property>
  <property fmtid="{D5CDD505-2E9C-101B-9397-08002B2CF9AE}" pid="13" name="Objective-Parent">
    <vt:lpwstr>New DASA Instruction and DASA Form 1307 - ADF Navigation Authorisations Processing</vt:lpwstr>
  </property>
  <property fmtid="{D5CDD505-2E9C-101B-9397-08002B2CF9AE}" pid="14" name="Objective-State">
    <vt:lpwstr>Being Drafted</vt:lpwstr>
  </property>
  <property fmtid="{D5CDD505-2E9C-101B-9397-08002B2CF9AE}" pid="15" name="Objective-Version">
    <vt:lpwstr>0.19</vt:lpwstr>
  </property>
  <property fmtid="{D5CDD505-2E9C-101B-9397-08002B2CF9AE}" pid="16" name="Objective-VersionNumber">
    <vt:i4>19</vt:i4>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Document Type [system]">
    <vt:lpwstr/>
  </property>
</Properties>
</file>